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xr:revisionPtr revIDLastSave="0" documentId="8_{F787A7D6-B5D6-431D-95A5-2BFF29D92849}" xr6:coauthVersionLast="45" xr6:coauthVersionMax="45" xr10:uidLastSave="{00000000-0000-0000-0000-000000000000}"/>
  <bookViews>
    <workbookView xWindow="-108" yWindow="-108" windowWidth="23256" windowHeight="12576" tabRatio="926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  <sheet name="Revenue" sheetId="11" r:id="rId11"/>
    <sheet name="GL293" sheetId="14" r:id="rId12"/>
    <sheet name="BS" sheetId="15" r:id="rId13"/>
    <sheet name="NACHRI 19" sheetId="12" r:id="rId14"/>
    <sheet name="NACHRI" sheetId="13" r:id="rId15"/>
    <sheet name="801 SCH 2019 " sheetId="22" r:id="rId16"/>
    <sheet name="802 SCH 2019 " sheetId="21" r:id="rId17"/>
    <sheet name="BS details" sheetId="16" r:id="rId18"/>
    <sheet name="P&amp;L detail" sheetId="23" r:id="rId19"/>
  </sheets>
  <externalReferences>
    <externalReference r:id="rId20"/>
    <externalReference r:id="rId21"/>
    <externalReference r:id="rId22"/>
    <externalReference r:id="rId23"/>
  </externalReferences>
  <definedNames>
    <definedName name="_Fill" localSheetId="9" hidden="1">'Prior Year'!$DR$819:$DR$864</definedName>
    <definedName name="_Fill" hidden="1">data!$DR$822:$DR$867</definedName>
    <definedName name="accF" localSheetId="17">'[1]07'!$A:$A</definedName>
    <definedName name="accF" localSheetId="18">'[1]07'!$A:$A</definedName>
    <definedName name="accF">#REF!</definedName>
    <definedName name="ACCT">[2]Hidden!$F$11</definedName>
    <definedName name="acctG" localSheetId="17">'[1]08'!$A:$A</definedName>
    <definedName name="acctG" localSheetId="18">'[1]08'!$A:$A</definedName>
    <definedName name="acctG">#REF!</definedName>
    <definedName name="ASSETTIE">#REF!</definedName>
    <definedName name="AUIDT">#REF!</definedName>
    <definedName name="budbalF" localSheetId="17">'[1]07'!$G:$G</definedName>
    <definedName name="budbalF" localSheetId="18">'[1]07'!$G:$G</definedName>
    <definedName name="budbalF">#REF!</definedName>
    <definedName name="budbalG" localSheetId="17">'[1]08'!$G:$G</definedName>
    <definedName name="budbalG" localSheetId="18">'[1]08'!$G:$G</definedName>
    <definedName name="budbalG">#REF!</definedName>
    <definedName name="Budget_Detail" localSheetId="17">#REF!</definedName>
    <definedName name="Budget_Detail" localSheetId="18">#REF!</definedName>
    <definedName name="Budget_Detail">#REF!</definedName>
    <definedName name="BUDGET1" localSheetId="17">#REF!</definedName>
    <definedName name="BUDGET1" localSheetId="18">#REF!</definedName>
    <definedName name="BUDGET1">#REF!</definedName>
    <definedName name="BUDGET2" localSheetId="17">#REF!</definedName>
    <definedName name="BUDGET2" localSheetId="18">#REF!</definedName>
    <definedName name="BUDGET2">#REF!</definedName>
    <definedName name="colgroup">[2]Orientation!$G$6</definedName>
    <definedName name="colsegment">[2]Orientation!$F$6</definedName>
    <definedName name="consol_assets" localSheetId="17">#REF!</definedName>
    <definedName name="consol_assets" localSheetId="18">#REF!</definedName>
    <definedName name="consol_assets">#REF!</definedName>
    <definedName name="consol_cashflow" localSheetId="17">#REF!</definedName>
    <definedName name="consol_cashflow" localSheetId="18">#REF!</definedName>
    <definedName name="consol_cashflow">#REF!</definedName>
    <definedName name="consol_cashflowstmt" localSheetId="17">#REF!</definedName>
    <definedName name="consol_cashflowstmt" localSheetId="18">#REF!</definedName>
    <definedName name="consol_cashflowstmt">#REF!</definedName>
    <definedName name="consol_debt_oplease" localSheetId="17">#REF!</definedName>
    <definedName name="consol_debt_oplease" localSheetId="18">#REF!</definedName>
    <definedName name="consol_debt_oplease">#REF!</definedName>
    <definedName name="consol_elims_bs" localSheetId="17">#REF!</definedName>
    <definedName name="consol_elims_bs" localSheetId="18">#REF!</definedName>
    <definedName name="consol_elims_bs">#REF!</definedName>
    <definedName name="consol_fairvalue" localSheetId="17">#REF!</definedName>
    <definedName name="consol_fairvalue" localSheetId="18">#REF!</definedName>
    <definedName name="consol_fairvalue">#REF!</definedName>
    <definedName name="consol_fb_roll" localSheetId="17">#REF!</definedName>
    <definedName name="consol_fb_roll" localSheetId="18">#REF!</definedName>
    <definedName name="consol_fb_roll">#REF!</definedName>
    <definedName name="consol_functionalex" localSheetId="17">#REF!</definedName>
    <definedName name="consol_functionalex" localSheetId="18">#REF!</definedName>
    <definedName name="consol_functionalex">#REF!</definedName>
    <definedName name="consol_is" localSheetId="17">#REF!</definedName>
    <definedName name="consol_is" localSheetId="18">#REF!</definedName>
    <definedName name="consol_is">#REF!</definedName>
    <definedName name="consol_liab_fb" localSheetId="17">#REF!</definedName>
    <definedName name="consol_liab_fb" localSheetId="18">#REF!</definedName>
    <definedName name="consol_liab_fb">#REF!</definedName>
    <definedName name="consol_liab_fg" localSheetId="17">#REF!</definedName>
    <definedName name="consol_liab_fg" localSheetId="18">#REF!</definedName>
    <definedName name="consol_liab_fg">#REF!</definedName>
    <definedName name="consol_netassets" localSheetId="17">#REF!</definedName>
    <definedName name="consol_netassets" localSheetId="18">#REF!</definedName>
    <definedName name="consol_netassets">#REF!</definedName>
    <definedName name="consol_propfnt" localSheetId="17">#REF!</definedName>
    <definedName name="consol_propfnt" localSheetId="18">#REF!</definedName>
    <definedName name="consol_propfnt">#REF!</definedName>
    <definedName name="consol_temp_perm_restr_na" localSheetId="17">#REF!</definedName>
    <definedName name="consol_temp_perm_restr_na" localSheetId="18">#REF!</definedName>
    <definedName name="consol_temp_perm_restr_na">#REF!</definedName>
    <definedName name="Consolidated_Bal_Sheet" localSheetId="17">#REF!</definedName>
    <definedName name="Consolidated_Bal_Sheet" localSheetId="18">#REF!</definedName>
    <definedName name="Consolidated_Bal_Sheet">#REF!</definedName>
    <definedName name="Consolidating_Bal_Sheet" localSheetId="17">#REF!</definedName>
    <definedName name="Consolidating_Bal_Sheet" localSheetId="18">#REF!</definedName>
    <definedName name="Consolidating_Bal_Sheet">#REF!</definedName>
    <definedName name="Consolidating_Budget_Stmt" localSheetId="18">#REF!</definedName>
    <definedName name="Consolidating_Budget_Stmt">#REF!</definedName>
    <definedName name="Consolidating_Stmt_of_Ops" localSheetId="17">#REF!</definedName>
    <definedName name="Consolidating_Stmt_of_Ops" localSheetId="18">#REF!</definedName>
    <definedName name="Consolidating_Stmt_of_Ops">#REF!</definedName>
    <definedName name="Costcenter" localSheetId="9">'Prior Year'!#REF!</definedName>
    <definedName name="Costcenter">data!#REF!</definedName>
    <definedName name="CWIP_Rollforward_Schedule___Audit_U_10">#REF!</definedName>
    <definedName name="DataRange">[3]Sheet1!$A$1:$C$18</definedName>
    <definedName name="DESCRIP">#REF!</definedName>
    <definedName name="drlFilter">[2]Settings!$D$27</definedName>
    <definedName name="Edit" localSheetId="9">'Prior Year'!$A$410:$E$477</definedName>
    <definedName name="Edit">data!$A$411:$E$478</definedName>
    <definedName name="ESTIMATE" localSheetId="17">#REF!</definedName>
    <definedName name="ESTIMATE" localSheetId="18">#REF!</definedName>
    <definedName name="ESTIMATE">#REF!</definedName>
    <definedName name="FBROLLFORWARD" localSheetId="17">#REF!</definedName>
    <definedName name="FBROLLFORWARD" localSheetId="18">#REF!</definedName>
    <definedName name="FBROLLFORWARD">#REF!</definedName>
    <definedName name="filter">[2]Settings!$B$14:$H$25</definedName>
    <definedName name="Funds" localSheetId="9">'Prior Year'!#REF!</definedName>
    <definedName name="Funds">data!#REF!</definedName>
    <definedName name="HeaderRange">[3]Sheet1!$A$1:$C$1</definedName>
    <definedName name="Hospital" localSheetId="9">'Prior Year'!#REF!</definedName>
    <definedName name="Hospital">data!#REF!</definedName>
    <definedName name="Inflation_Factors" localSheetId="17">#REF!</definedName>
    <definedName name="Inflation_Factors" localSheetId="18">#REF!</definedName>
    <definedName name="Inflation_Factors">#REF!</definedName>
    <definedName name="MetaSet">[2]Orientation!$C$22</definedName>
    <definedName name="name">[4]Introduction!$A$2</definedName>
    <definedName name="NOTES">#REF!</definedName>
    <definedName name="primtbl">[2]Orientation!$C$23</definedName>
    <definedName name="_xlnm.Print_Area" localSheetId="15">'801 SCH 2019 '!$A$1:$U$101</definedName>
    <definedName name="_xlnm.Print_Area" localSheetId="17">'BS details'!$A$1:$T$59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14">NACHRI!$A$9:$U$177</definedName>
    <definedName name="_xlnm.Print_Area" localSheetId="13">'NACHRI 19'!$A$1:$S$38</definedName>
    <definedName name="_xlnm.Print_Area" localSheetId="18">'P&amp;L detail'!$A$1:$W$54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Property_Schedule_Rollforward___Audit_U_5">#REF!</definedName>
    <definedName name="report_type">[2]Orientation!$C$24</definedName>
    <definedName name="ReportVersion">[2]Settings!$D$5</definedName>
    <definedName name="rngCreateLog">[2]Delivery!$B$12</definedName>
    <definedName name="rngFilePassword">[2]Delivery!$B$6</definedName>
    <definedName name="rngSourceTab">[2]Delivery!$E$8</definedName>
    <definedName name="rowgroup">[2]Orientation!$C$17</definedName>
    <definedName name="rowsegment">[2]Orientation!$B$17</definedName>
    <definedName name="SCOPE">#REF!</definedName>
    <definedName name="Sequential_Group">[2]Settings!$J$6</definedName>
    <definedName name="Sequential_Segment">[2]Settings!$I$6</definedName>
    <definedName name="Sequential_Sort">[2]Settings!$I$10:$J$11</definedName>
    <definedName name="SortRange">[3]Sheet1!$A$2:$C$18</definedName>
    <definedName name="STATEMENT" localSheetId="17">#REF!</definedName>
    <definedName name="STATEMENT" localSheetId="18">#REF!</definedName>
    <definedName name="STATEMENT">#REF!</definedName>
    <definedName name="SUMM">#REF!</definedName>
    <definedName name="summ_clin" localSheetId="17">#REF!</definedName>
    <definedName name="summ_clin" localSheetId="18">#REF!</definedName>
    <definedName name="summ_clin">#REF!</definedName>
    <definedName name="summ_nonop" localSheetId="17">#REF!</definedName>
    <definedName name="summ_nonop" localSheetId="18">#REF!</definedName>
    <definedName name="summ_nonop">#REF!</definedName>
    <definedName name="summ_op" localSheetId="17">#REF!</definedName>
    <definedName name="summ_op" localSheetId="18">#REF!</definedName>
    <definedName name="summ_op">#REF!</definedName>
    <definedName name="summary_title" localSheetId="17">#REF!</definedName>
    <definedName name="summary_title" localSheetId="18">#REF!</definedName>
    <definedName name="summary_title">#REF!</definedName>
    <definedName name="Supplemental_filter">[2]Settings!$C$31</definedName>
    <definedName name="Support" localSheetId="9">'Prior Year'!#REF!</definedName>
    <definedName name="Support">data!#REF!</definedName>
    <definedName name="timeseries">[2]Orientation!$B$6:$C$13</definedName>
    <definedName name="Titles">[3]Sheet1!$A$1:$A$1</definedName>
    <definedName name="TopSection">[3]Sheet1!$A$1:$C$1</definedName>
    <definedName name="U_5">#REF!</definedName>
    <definedName name="wrn.All." localSheetId="17" hidden="1">{#N/A,#N/A,FALSE,"Eastside";#N/A,#N/A,FALSE,"Third";#N/A,#N/A,FALSE,"Bainbridge";#N/A,#N/A,FALSE,"PTownd";#N/A,#N/A,FALSE,"Everett";#N/A,#N/A,FALSE,"Kent";#N/A,#N/A,FALSE,"Gift";#N/A,#N/A,FALSE,"RetAdm";#N/A,#N/A,FALSE,"Summary"}</definedName>
    <definedName name="wrn.All." localSheetId="18" hidden="1">{#N/A,#N/A,FALSE,"Eastside";#N/A,#N/A,FALSE,"Third";#N/A,#N/A,FALSE,"Bainbridge";#N/A,#N/A,FALSE,"PTownd";#N/A,#N/A,FALSE,"Everett";#N/A,#N/A,FALSE,"Kent";#N/A,#N/A,FALSE,"Gift";#N/A,#N/A,FALSE,"RetAdm";#N/A,#N/A,FALSE,"Summary"}</definedName>
    <definedName name="wrn.All." hidden="1">{#N/A,#N/A,FALSE,"Eastside";#N/A,#N/A,FALSE,"Third";#N/A,#N/A,FALSE,"Bainbridge";#N/A,#N/A,FALSE,"PTownd";#N/A,#N/A,FALSE,"Everett";#N/A,#N/A,FALSE,"Kent";#N/A,#N/A,FALSE,"Gift";#N/A,#N/A,FALSE,"RetAdm";#N/A,#N/A,FALSE,"Summary"}</definedName>
    <definedName name="wrn.Board._.Report." localSheetId="17" hidden="1">{#N/A,#N/A,FALSE,"Cover";#N/A,#N/A,FALSE,"Table of Contents";#N/A,#N/A,FALSE,"Hospital Combined";#N/A,#N/A,FALSE,"Clinical";#N/A,#N/A,FALSE,"Research"}</definedName>
    <definedName name="wrn.Board._.Report." localSheetId="18" hidden="1">{#N/A,#N/A,FALSE,"Cover";#N/A,#N/A,FALSE,"Table of Contents";#N/A,#N/A,FALSE,"Hospital Combined";#N/A,#N/A,FALSE,"Clinical";#N/A,#N/A,FALSE,"Research"}</definedName>
    <definedName name="wrn.Board._.Report." hidden="1">{#N/A,#N/A,FALSE,"Cover";#N/A,#N/A,FALSE,"Table of Contents";#N/A,#N/A,FALSE,"Hospital Combined";#N/A,#N/A,FALSE,"Clinical";#N/A,#N/A,FALSE,"Research"}</definedName>
    <definedName name="wrn.CHRMC._.Combined." localSheetId="17" hidden="1">{#N/A,#N/A,FALSE,"Board Report - Combined"}</definedName>
    <definedName name="wrn.CHRMC._.Combined." localSheetId="18" hidden="1">{#N/A,#N/A,FALSE,"Board Report - Combined"}</definedName>
    <definedName name="wrn.CHRMC._.Combined." hidden="1">{#N/A,#N/A,FALSE,"Board Report - Combined"}</definedName>
    <definedName name="wrn.rep1." localSheetId="17" hidden="1">{"add",#N/A,FALSE,"code"}</definedName>
    <definedName name="wrn.rep1." localSheetId="18" hidden="1">{"add",#N/A,FALSE,"code"}</definedName>
    <definedName name="wrn.rep1." hidden="1">{"add",#N/A,FALSE,"code"}</definedName>
    <definedName name="xperiod">[2]Orientation!$G$15</definedName>
    <definedName name="xtabin">[2]Hidden!$D$10:$H$11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9" i="1" l="1"/>
  <c r="CC76" i="1"/>
  <c r="CC70" i="1"/>
  <c r="CD69" i="1"/>
  <c r="CC69" i="1"/>
  <c r="CC66" i="1"/>
  <c r="H170" i="1" l="1"/>
  <c r="L79" i="23" l="1"/>
  <c r="U78" i="23"/>
  <c r="S78" i="23"/>
  <c r="M78" i="23"/>
  <c r="L78" i="23"/>
  <c r="K78" i="23"/>
  <c r="L69" i="23"/>
  <c r="T61" i="23"/>
  <c r="N53" i="23"/>
  <c r="E53" i="23"/>
  <c r="T53" i="23" s="1"/>
  <c r="V53" i="23" s="1"/>
  <c r="AF52" i="23"/>
  <c r="Q52" i="23"/>
  <c r="N52" i="23"/>
  <c r="E52" i="23"/>
  <c r="AF51" i="23"/>
  <c r="Q51" i="23"/>
  <c r="N51" i="23"/>
  <c r="E51" i="23"/>
  <c r="AF50" i="23"/>
  <c r="R78" i="23"/>
  <c r="P78" i="23"/>
  <c r="O78" i="23"/>
  <c r="J78" i="23"/>
  <c r="I78" i="23"/>
  <c r="H78" i="23"/>
  <c r="G78" i="23"/>
  <c r="N50" i="23"/>
  <c r="N78" i="23" s="1"/>
  <c r="E50" i="23"/>
  <c r="AF49" i="23"/>
  <c r="Q49" i="23"/>
  <c r="N49" i="23"/>
  <c r="E49" i="23"/>
  <c r="Q48" i="23"/>
  <c r="N48" i="23"/>
  <c r="E48" i="23"/>
  <c r="AF47" i="23"/>
  <c r="Q47" i="23"/>
  <c r="N47" i="23"/>
  <c r="E47" i="23"/>
  <c r="AF46" i="23"/>
  <c r="AF44" i="23"/>
  <c r="U43" i="23"/>
  <c r="M43" i="23"/>
  <c r="D43" i="23"/>
  <c r="AF42" i="23"/>
  <c r="Q42" i="23"/>
  <c r="N42" i="23"/>
  <c r="AF41" i="23"/>
  <c r="AB41" i="23"/>
  <c r="AB43" i="23" s="1"/>
  <c r="Q41" i="23"/>
  <c r="N41" i="23"/>
  <c r="E41" i="23"/>
  <c r="AF40" i="23"/>
  <c r="Q40" i="23"/>
  <c r="N40" i="23"/>
  <c r="E40" i="23"/>
  <c r="Q39" i="23"/>
  <c r="N39" i="23"/>
  <c r="E39" i="23"/>
  <c r="AF38" i="23"/>
  <c r="Q38" i="23"/>
  <c r="N38" i="23"/>
  <c r="E38" i="23"/>
  <c r="AF37" i="23"/>
  <c r="Q37" i="23"/>
  <c r="N37" i="23"/>
  <c r="E37" i="23"/>
  <c r="AF36" i="23"/>
  <c r="Q36" i="23"/>
  <c r="N36" i="23"/>
  <c r="E36" i="23"/>
  <c r="AF35" i="23"/>
  <c r="Q35" i="23"/>
  <c r="N35" i="23"/>
  <c r="E35" i="23"/>
  <c r="AF34" i="23"/>
  <c r="Q34" i="23"/>
  <c r="N34" i="23"/>
  <c r="E34" i="23"/>
  <c r="AF33" i="23"/>
  <c r="Q33" i="23"/>
  <c r="N33" i="23"/>
  <c r="E33" i="23"/>
  <c r="AF32" i="23"/>
  <c r="Q32" i="23"/>
  <c r="N32" i="23"/>
  <c r="E32" i="23"/>
  <c r="AF31" i="23"/>
  <c r="Q31" i="23"/>
  <c r="N31" i="23"/>
  <c r="E31" i="23"/>
  <c r="AF30" i="23"/>
  <c r="Q30" i="23"/>
  <c r="N30" i="23"/>
  <c r="E30" i="23"/>
  <c r="AE43" i="23"/>
  <c r="R43" i="23"/>
  <c r="Q29" i="23"/>
  <c r="O43" i="23"/>
  <c r="K43" i="23"/>
  <c r="J43" i="23"/>
  <c r="I43" i="23"/>
  <c r="G43" i="23"/>
  <c r="N29" i="23"/>
  <c r="C43" i="23"/>
  <c r="AF28" i="23"/>
  <c r="V28" i="23"/>
  <c r="AF27" i="23"/>
  <c r="AF25" i="23"/>
  <c r="Q25" i="23"/>
  <c r="F25" i="23"/>
  <c r="N25" i="23" s="1"/>
  <c r="E25" i="23"/>
  <c r="AF24" i="23"/>
  <c r="Q24" i="23"/>
  <c r="F24" i="23"/>
  <c r="N24" i="23" s="1"/>
  <c r="E24" i="23"/>
  <c r="AF23" i="23"/>
  <c r="AB23" i="23"/>
  <c r="Q23" i="23"/>
  <c r="F23" i="23"/>
  <c r="N23" i="23" s="1"/>
  <c r="E23" i="23"/>
  <c r="AF22" i="23"/>
  <c r="Q22" i="23"/>
  <c r="F22" i="23"/>
  <c r="N22" i="23" s="1"/>
  <c r="E22" i="23"/>
  <c r="AF21" i="23"/>
  <c r="AB21" i="23"/>
  <c r="Q21" i="23"/>
  <c r="F21" i="23"/>
  <c r="N21" i="23" s="1"/>
  <c r="E21" i="23"/>
  <c r="AB20" i="23"/>
  <c r="S39" i="23"/>
  <c r="F20" i="23"/>
  <c r="N20" i="23" s="1"/>
  <c r="E20" i="23"/>
  <c r="AF19" i="23"/>
  <c r="Q19" i="23"/>
  <c r="N19" i="23"/>
  <c r="E19" i="23"/>
  <c r="AF18" i="23"/>
  <c r="Q18" i="23"/>
  <c r="N18" i="23"/>
  <c r="E18" i="23"/>
  <c r="T18" i="23" s="1"/>
  <c r="U14" i="23"/>
  <c r="S14" i="23"/>
  <c r="M14" i="23"/>
  <c r="D14" i="23"/>
  <c r="Q13" i="23"/>
  <c r="N13" i="23"/>
  <c r="E13" i="23"/>
  <c r="R14" i="23"/>
  <c r="Q12" i="23"/>
  <c r="J14" i="23"/>
  <c r="N12" i="23"/>
  <c r="E12" i="23"/>
  <c r="Q11" i="23"/>
  <c r="I14" i="23"/>
  <c r="N11" i="23"/>
  <c r="E11" i="23"/>
  <c r="AE14" i="23"/>
  <c r="P14" i="23"/>
  <c r="Q10" i="23"/>
  <c r="K14" i="23"/>
  <c r="H14" i="23"/>
  <c r="E10" i="23"/>
  <c r="U8" i="23"/>
  <c r="S8" i="23"/>
  <c r="M8" i="23"/>
  <c r="M16" i="23" s="1"/>
  <c r="M26" i="23" s="1"/>
  <c r="M45" i="23" s="1"/>
  <c r="M54" i="23" s="1"/>
  <c r="D8" i="23"/>
  <c r="D16" i="23" s="1"/>
  <c r="D26" i="23" s="1"/>
  <c r="D45" i="23" s="1"/>
  <c r="D54" i="23" s="1"/>
  <c r="D69" i="23" s="1"/>
  <c r="Q7" i="23"/>
  <c r="I8" i="23"/>
  <c r="N7" i="23"/>
  <c r="E7" i="23"/>
  <c r="T7" i="23" s="1"/>
  <c r="AE8" i="23"/>
  <c r="P8" i="23"/>
  <c r="O8" i="23"/>
  <c r="K8" i="23"/>
  <c r="J8" i="23"/>
  <c r="H8" i="23"/>
  <c r="G8" i="23"/>
  <c r="F8" i="23"/>
  <c r="E6" i="23"/>
  <c r="AE5" i="23"/>
  <c r="C392" i="1"/>
  <c r="E497" i="14"/>
  <c r="F497" i="14"/>
  <c r="G497" i="14"/>
  <c r="D497" i="14"/>
  <c r="C384" i="1"/>
  <c r="C383" i="1"/>
  <c r="C382" i="1"/>
  <c r="C381" i="1"/>
  <c r="C378" i="1"/>
  <c r="E289" i="14"/>
  <c r="C370" i="1" s="1"/>
  <c r="F289" i="14"/>
  <c r="G289" i="14"/>
  <c r="D289" i="14"/>
  <c r="F293" i="14"/>
  <c r="G293" i="14"/>
  <c r="E293" i="14"/>
  <c r="D293" i="14"/>
  <c r="S16" i="23" l="1"/>
  <c r="S26" i="23" s="1"/>
  <c r="AF26" i="23" s="1"/>
  <c r="E14" i="23"/>
  <c r="T48" i="23"/>
  <c r="V48" i="23" s="1"/>
  <c r="T21" i="23"/>
  <c r="J16" i="23"/>
  <c r="J26" i="23" s="1"/>
  <c r="J45" i="23" s="1"/>
  <c r="J54" i="23" s="1"/>
  <c r="J79" i="23" s="1"/>
  <c r="U16" i="23"/>
  <c r="U26" i="23" s="1"/>
  <c r="U45" i="23" s="1"/>
  <c r="U54" i="23" s="1"/>
  <c r="U79" i="23" s="1"/>
  <c r="T13" i="23"/>
  <c r="AB26" i="23"/>
  <c r="AB45" i="23" s="1"/>
  <c r="T33" i="23"/>
  <c r="AC33" i="23" s="1"/>
  <c r="T36" i="23"/>
  <c r="T37" i="23"/>
  <c r="T42" i="23"/>
  <c r="V42" i="23" s="1"/>
  <c r="T49" i="23"/>
  <c r="AC49" i="23" s="1"/>
  <c r="H16" i="23"/>
  <c r="H26" i="23" s="1"/>
  <c r="P16" i="23"/>
  <c r="P26" i="23" s="1"/>
  <c r="I16" i="23"/>
  <c r="I26" i="23" s="1"/>
  <c r="I45" i="23" s="1"/>
  <c r="I54" i="23" s="1"/>
  <c r="I64" i="23" s="1"/>
  <c r="T25" i="23"/>
  <c r="AC25" i="23" s="1"/>
  <c r="T41" i="23"/>
  <c r="V21" i="23"/>
  <c r="AC21" i="23"/>
  <c r="I79" i="23"/>
  <c r="AC18" i="23"/>
  <c r="V18" i="23"/>
  <c r="AE16" i="23"/>
  <c r="AE26" i="23" s="1"/>
  <c r="AE45" i="23" s="1"/>
  <c r="AE54" i="23" s="1"/>
  <c r="Q14" i="23"/>
  <c r="V7" i="23"/>
  <c r="AC7" i="23"/>
  <c r="E8" i="23"/>
  <c r="E16" i="23" s="1"/>
  <c r="E26" i="23" s="1"/>
  <c r="K16" i="23"/>
  <c r="K26" i="23" s="1"/>
  <c r="K45" i="23" s="1"/>
  <c r="K54" i="23" s="1"/>
  <c r="T22" i="23"/>
  <c r="T23" i="23"/>
  <c r="AC13" i="23"/>
  <c r="V13" i="23"/>
  <c r="Q6" i="23"/>
  <c r="Q8" i="23" s="1"/>
  <c r="Q16" i="23" s="1"/>
  <c r="T12" i="23"/>
  <c r="AF20" i="23"/>
  <c r="H43" i="23"/>
  <c r="H45" i="23" s="1"/>
  <c r="H54" i="23" s="1"/>
  <c r="Q43" i="23"/>
  <c r="T35" i="23"/>
  <c r="T51" i="23"/>
  <c r="R8" i="23"/>
  <c r="R16" i="23" s="1"/>
  <c r="R26" i="23" s="1"/>
  <c r="R45" i="23" s="1"/>
  <c r="R54" i="23" s="1"/>
  <c r="C8" i="23"/>
  <c r="F14" i="23"/>
  <c r="F16" i="23" s="1"/>
  <c r="F26" i="23" s="1"/>
  <c r="F45" i="23" s="1"/>
  <c r="F54" i="23" s="1"/>
  <c r="N10" i="23"/>
  <c r="M69" i="23"/>
  <c r="M79" i="23"/>
  <c r="S43" i="23"/>
  <c r="AF43" i="23" s="1"/>
  <c r="AF39" i="23"/>
  <c r="T24" i="23"/>
  <c r="AC36" i="23"/>
  <c r="V36" i="23"/>
  <c r="E78" i="23"/>
  <c r="T19" i="23"/>
  <c r="AC37" i="23"/>
  <c r="V37" i="23"/>
  <c r="G14" i="23"/>
  <c r="G16" i="23" s="1"/>
  <c r="G26" i="23" s="1"/>
  <c r="G45" i="23" s="1"/>
  <c r="G54" i="23" s="1"/>
  <c r="N6" i="23"/>
  <c r="N8" i="23" s="1"/>
  <c r="T11" i="23"/>
  <c r="C14" i="23"/>
  <c r="AF29" i="23"/>
  <c r="T38" i="23"/>
  <c r="T47" i="23"/>
  <c r="Q20" i="23"/>
  <c r="T20" i="23" s="1"/>
  <c r="N43" i="23"/>
  <c r="T30" i="23"/>
  <c r="T32" i="23"/>
  <c r="V41" i="23"/>
  <c r="AC41" i="23"/>
  <c r="O14" i="23"/>
  <c r="O16" i="23" s="1"/>
  <c r="O26" i="23" s="1"/>
  <c r="O45" i="23" s="1"/>
  <c r="O54" i="23" s="1"/>
  <c r="P43" i="23"/>
  <c r="P45" i="23" s="1"/>
  <c r="P54" i="23" s="1"/>
  <c r="T31" i="23"/>
  <c r="T34" i="23"/>
  <c r="T39" i="23"/>
  <c r="T40" i="23"/>
  <c r="T52" i="23"/>
  <c r="Q50" i="23"/>
  <c r="Q78" i="23" s="1"/>
  <c r="F78" i="23"/>
  <c r="E29" i="23"/>
  <c r="F43" i="23"/>
  <c r="C189" i="1"/>
  <c r="C184" i="1"/>
  <c r="C180" i="1"/>
  <c r="C179" i="1"/>
  <c r="C176" i="1"/>
  <c r="C175" i="1"/>
  <c r="C171" i="1"/>
  <c r="C170" i="1"/>
  <c r="C169" i="1"/>
  <c r="C168" i="1"/>
  <c r="C167" i="1"/>
  <c r="C166" i="1"/>
  <c r="C165" i="1"/>
  <c r="C264" i="1"/>
  <c r="C282" i="1"/>
  <c r="V33" i="23" l="1"/>
  <c r="J69" i="23"/>
  <c r="D173" i="1"/>
  <c r="V49" i="23"/>
  <c r="Q26" i="23"/>
  <c r="V25" i="23"/>
  <c r="I69" i="23"/>
  <c r="S45" i="23"/>
  <c r="AF45" i="23" s="1"/>
  <c r="T50" i="23"/>
  <c r="F69" i="23"/>
  <c r="F79" i="23"/>
  <c r="H69" i="23"/>
  <c r="H79" i="23"/>
  <c r="P79" i="23"/>
  <c r="P62" i="23"/>
  <c r="P69" i="23"/>
  <c r="AC34" i="23"/>
  <c r="V34" i="23"/>
  <c r="AC30" i="23"/>
  <c r="V30" i="23"/>
  <c r="N14" i="23"/>
  <c r="T10" i="23"/>
  <c r="AC20" i="23"/>
  <c r="V20" i="23"/>
  <c r="AC11" i="23"/>
  <c r="V11" i="23"/>
  <c r="AC24" i="23"/>
  <c r="V24" i="23"/>
  <c r="O79" i="23"/>
  <c r="O62" i="23"/>
  <c r="O69" i="23"/>
  <c r="T6" i="23"/>
  <c r="G69" i="23"/>
  <c r="G64" i="23"/>
  <c r="G79" i="23"/>
  <c r="AC52" i="23"/>
  <c r="V52" i="23"/>
  <c r="AC47" i="23"/>
  <c r="V47" i="23"/>
  <c r="R62" i="23"/>
  <c r="R69" i="23"/>
  <c r="R79" i="23"/>
  <c r="V12" i="23"/>
  <c r="AC12" i="23"/>
  <c r="V23" i="23"/>
  <c r="AC23" i="23"/>
  <c r="AC40" i="23"/>
  <c r="V40" i="23"/>
  <c r="AC38" i="23"/>
  <c r="V38" i="23"/>
  <c r="AC50" i="23"/>
  <c r="V50" i="23"/>
  <c r="V78" i="23" s="1"/>
  <c r="T78" i="23"/>
  <c r="AC51" i="23"/>
  <c r="V51" i="23"/>
  <c r="Q45" i="23"/>
  <c r="Q54" i="23" s="1"/>
  <c r="AC22" i="23"/>
  <c r="V22" i="23"/>
  <c r="AC39" i="23"/>
  <c r="V39" i="23"/>
  <c r="AC32" i="23"/>
  <c r="V32" i="23"/>
  <c r="AC35" i="23"/>
  <c r="V35" i="23"/>
  <c r="K69" i="23"/>
  <c r="K79" i="23"/>
  <c r="T29" i="23"/>
  <c r="E43" i="23"/>
  <c r="E45" i="23" s="1"/>
  <c r="E54" i="23" s="1"/>
  <c r="AC31" i="23"/>
  <c r="V31" i="23"/>
  <c r="N16" i="23"/>
  <c r="N26" i="23" s="1"/>
  <c r="N45" i="23" s="1"/>
  <c r="N54" i="23" s="1"/>
  <c r="V19" i="23"/>
  <c r="AC19" i="23"/>
  <c r="C16" i="23"/>
  <c r="C26" i="23" s="1"/>
  <c r="C45" i="23" s="1"/>
  <c r="C54" i="23" s="1"/>
  <c r="S54" i="23" l="1"/>
  <c r="AF54" i="23" s="1"/>
  <c r="E69" i="23"/>
  <c r="E79" i="23"/>
  <c r="C69" i="23"/>
  <c r="Q62" i="23"/>
  <c r="Q69" i="23"/>
  <c r="Q79" i="23"/>
  <c r="AC6" i="23"/>
  <c r="V6" i="23"/>
  <c r="V8" i="23" s="1"/>
  <c r="T8" i="23"/>
  <c r="AC29" i="23"/>
  <c r="T43" i="23"/>
  <c r="AC43" i="23" s="1"/>
  <c r="V29" i="23"/>
  <c r="V43" i="23" s="1"/>
  <c r="N69" i="23"/>
  <c r="N64" i="23"/>
  <c r="N79" i="23"/>
  <c r="T14" i="23"/>
  <c r="AC14" i="23" s="1"/>
  <c r="AC10" i="23"/>
  <c r="V10" i="23"/>
  <c r="V14" i="23" s="1"/>
  <c r="S79" i="23" l="1"/>
  <c r="S69" i="23"/>
  <c r="S62" i="23"/>
  <c r="AC8" i="23"/>
  <c r="T16" i="23"/>
  <c r="V16" i="23"/>
  <c r="V26" i="23" s="1"/>
  <c r="V45" i="23" s="1"/>
  <c r="V54" i="23" s="1"/>
  <c r="V79" i="23" l="1"/>
  <c r="V62" i="23"/>
  <c r="T26" i="23"/>
  <c r="AC16" i="23"/>
  <c r="T45" i="23" l="1"/>
  <c r="AC26" i="23"/>
  <c r="T54" i="23" l="1"/>
  <c r="AC45" i="23"/>
  <c r="T69" i="23" l="1"/>
  <c r="AC54" i="23"/>
  <c r="T79" i="23"/>
  <c r="T62" i="23"/>
  <c r="D216" i="1" l="1"/>
  <c r="H119" i="22"/>
  <c r="H120" i="22"/>
  <c r="H121" i="22"/>
  <c r="F121" i="22" s="1"/>
  <c r="C211" i="1" s="1"/>
  <c r="H122" i="22"/>
  <c r="H123" i="22"/>
  <c r="F123" i="22" s="1"/>
  <c r="C213" i="1" s="1"/>
  <c r="H124" i="22"/>
  <c r="H125" i="22"/>
  <c r="F125" i="22" s="1"/>
  <c r="C215" i="1" s="1"/>
  <c r="H118" i="22"/>
  <c r="G119" i="22"/>
  <c r="D209" i="1" s="1"/>
  <c r="G120" i="22"/>
  <c r="D210" i="1" s="1"/>
  <c r="G121" i="22"/>
  <c r="D211" i="1" s="1"/>
  <c r="G122" i="22"/>
  <c r="D212" i="1" s="1"/>
  <c r="G123" i="22"/>
  <c r="D213" i="1" s="1"/>
  <c r="G124" i="22"/>
  <c r="D214" i="1" s="1"/>
  <c r="G125" i="22"/>
  <c r="D215" i="1" s="1"/>
  <c r="G118" i="22"/>
  <c r="H106" i="22"/>
  <c r="H107" i="22"/>
  <c r="H108" i="22"/>
  <c r="H109" i="22"/>
  <c r="H110" i="22"/>
  <c r="H111" i="22"/>
  <c r="H112" i="22"/>
  <c r="H105" i="22"/>
  <c r="G106" i="22"/>
  <c r="D196" i="1" s="1"/>
  <c r="G107" i="22"/>
  <c r="D197" i="1" s="1"/>
  <c r="G108" i="22"/>
  <c r="D198" i="1" s="1"/>
  <c r="G109" i="22"/>
  <c r="D199" i="1" s="1"/>
  <c r="G110" i="22"/>
  <c r="D200" i="1" s="1"/>
  <c r="G111" i="22"/>
  <c r="D201" i="1" s="1"/>
  <c r="G112" i="22"/>
  <c r="D202" i="1" s="1"/>
  <c r="G105" i="22"/>
  <c r="D195" i="1" s="1"/>
  <c r="I127" i="22"/>
  <c r="J127" i="22"/>
  <c r="E119" i="22"/>
  <c r="E120" i="22"/>
  <c r="E121" i="22"/>
  <c r="E122" i="22"/>
  <c r="E123" i="22"/>
  <c r="E124" i="22"/>
  <c r="E125" i="22"/>
  <c r="E126" i="22"/>
  <c r="F126" i="22" s="1"/>
  <c r="C216" i="1" s="1"/>
  <c r="E118" i="22"/>
  <c r="I114" i="22"/>
  <c r="J114" i="22"/>
  <c r="E106" i="22"/>
  <c r="E107" i="22"/>
  <c r="E108" i="22"/>
  <c r="F108" i="22" s="1"/>
  <c r="C198" i="1" s="1"/>
  <c r="E109" i="22"/>
  <c r="E110" i="22"/>
  <c r="E111" i="22"/>
  <c r="E112" i="22"/>
  <c r="F112" i="22" s="1"/>
  <c r="C202" i="1" s="1"/>
  <c r="E105" i="22"/>
  <c r="F110" i="22" l="1"/>
  <c r="C200" i="1" s="1"/>
  <c r="F109" i="22"/>
  <c r="C199" i="1" s="1"/>
  <c r="F122" i="22"/>
  <c r="C212" i="1" s="1"/>
  <c r="F107" i="22"/>
  <c r="C197" i="1" s="1"/>
  <c r="F120" i="22"/>
  <c r="C210" i="1" s="1"/>
  <c r="F106" i="22"/>
  <c r="C196" i="1" s="1"/>
  <c r="F119" i="22"/>
  <c r="C209" i="1" s="1"/>
  <c r="F105" i="22"/>
  <c r="C195" i="1" s="1"/>
  <c r="F118" i="22"/>
  <c r="F127" i="22" s="1"/>
  <c r="F111" i="22"/>
  <c r="C201" i="1" s="1"/>
  <c r="F124" i="22"/>
  <c r="C214" i="1" s="1"/>
  <c r="H127" i="22"/>
  <c r="G127" i="22"/>
  <c r="E127" i="22"/>
  <c r="R2" i="22" l="1"/>
  <c r="F9" i="22"/>
  <c r="P9" i="22"/>
  <c r="R9" i="22"/>
  <c r="X9" i="22" s="1"/>
  <c r="W9" i="22"/>
  <c r="F10" i="22"/>
  <c r="P10" i="22" s="1"/>
  <c r="R10" i="22" s="1"/>
  <c r="X10" i="22" s="1"/>
  <c r="W10" i="22"/>
  <c r="F11" i="22"/>
  <c r="P11" i="22" s="1"/>
  <c r="W11" i="22"/>
  <c r="F12" i="22"/>
  <c r="P12" i="22"/>
  <c r="R12" i="22" s="1"/>
  <c r="X12" i="22" s="1"/>
  <c r="W12" i="22"/>
  <c r="P13" i="22"/>
  <c r="R13" i="22" s="1"/>
  <c r="X13" i="22" s="1"/>
  <c r="W13" i="22"/>
  <c r="P14" i="22"/>
  <c r="R14" i="22" s="1"/>
  <c r="X14" i="22" s="1"/>
  <c r="W14" i="22"/>
  <c r="P15" i="22"/>
  <c r="R15" i="22" s="1"/>
  <c r="W15" i="22"/>
  <c r="P16" i="22"/>
  <c r="R16" i="22"/>
  <c r="X16" i="22" s="1"/>
  <c r="U16" i="22"/>
  <c r="W16" i="22" s="1"/>
  <c r="P17" i="22"/>
  <c r="R17" i="22" s="1"/>
  <c r="X17" i="22" s="1"/>
  <c r="W17" i="22"/>
  <c r="P18" i="22"/>
  <c r="R18" i="22" s="1"/>
  <c r="W18" i="22"/>
  <c r="P19" i="22"/>
  <c r="R19" i="22"/>
  <c r="X19" i="22" s="1"/>
  <c r="W19" i="22"/>
  <c r="P20" i="22"/>
  <c r="R20" i="22" s="1"/>
  <c r="X20" i="22" s="1"/>
  <c r="W20" i="22"/>
  <c r="P21" i="22"/>
  <c r="R21" i="22" s="1"/>
  <c r="X21" i="22" s="1"/>
  <c r="W21" i="22"/>
  <c r="P22" i="22"/>
  <c r="R22" i="22" s="1"/>
  <c r="X22" i="22" s="1"/>
  <c r="U22" i="22"/>
  <c r="W22" i="22" s="1"/>
  <c r="P23" i="22"/>
  <c r="R23" i="22" s="1"/>
  <c r="X23" i="22" s="1"/>
  <c r="W23" i="22"/>
  <c r="P24" i="22"/>
  <c r="R24" i="22" s="1"/>
  <c r="X24" i="22" s="1"/>
  <c r="W24" i="22"/>
  <c r="P25" i="22"/>
  <c r="R25" i="22" s="1"/>
  <c r="X25" i="22" s="1"/>
  <c r="W25" i="22"/>
  <c r="P26" i="22"/>
  <c r="R26" i="22" s="1"/>
  <c r="X26" i="22" s="1"/>
  <c r="W26" i="22"/>
  <c r="P27" i="22"/>
  <c r="R27" i="22" s="1"/>
  <c r="X27" i="22" s="1"/>
  <c r="W27" i="22"/>
  <c r="P28" i="22"/>
  <c r="R28" i="22" s="1"/>
  <c r="X28" i="22" s="1"/>
  <c r="W28" i="22"/>
  <c r="P29" i="22"/>
  <c r="R29" i="22" s="1"/>
  <c r="X29" i="22" s="1"/>
  <c r="W29" i="22"/>
  <c r="P30" i="22"/>
  <c r="R30" i="22" s="1"/>
  <c r="X30" i="22" s="1"/>
  <c r="W30" i="22"/>
  <c r="P31" i="22"/>
  <c r="R31" i="22" s="1"/>
  <c r="X31" i="22" s="1"/>
  <c r="W31" i="22"/>
  <c r="P32" i="22"/>
  <c r="R32" i="22"/>
  <c r="X32" i="22" s="1"/>
  <c r="W32" i="22"/>
  <c r="P33" i="22"/>
  <c r="R33" i="22" s="1"/>
  <c r="X33" i="22" s="1"/>
  <c r="W33" i="22"/>
  <c r="P34" i="22"/>
  <c r="R34" i="22" s="1"/>
  <c r="X34" i="22" s="1"/>
  <c r="W34" i="22"/>
  <c r="P35" i="22"/>
  <c r="R35" i="22"/>
  <c r="X35" i="22" s="1"/>
  <c r="W35" i="22"/>
  <c r="P36" i="22"/>
  <c r="R36" i="22" s="1"/>
  <c r="X36" i="22" s="1"/>
  <c r="W36" i="22"/>
  <c r="P37" i="22"/>
  <c r="R37" i="22" s="1"/>
  <c r="X37" i="22" s="1"/>
  <c r="W37" i="22"/>
  <c r="P38" i="22"/>
  <c r="R38" i="22" s="1"/>
  <c r="X38" i="22" s="1"/>
  <c r="W38" i="22"/>
  <c r="E39" i="22"/>
  <c r="G39" i="22"/>
  <c r="G42" i="22" s="1"/>
  <c r="H39" i="22"/>
  <c r="H42" i="22" s="1"/>
  <c r="I39" i="22"/>
  <c r="I42" i="22" s="1"/>
  <c r="J39" i="22"/>
  <c r="K39" i="22"/>
  <c r="L39" i="22"/>
  <c r="L42" i="22" s="1"/>
  <c r="M39" i="22"/>
  <c r="M42" i="22" s="1"/>
  <c r="N39" i="22"/>
  <c r="N42" i="22" s="1"/>
  <c r="O39" i="22"/>
  <c r="O42" i="22" s="1"/>
  <c r="Q39" i="22"/>
  <c r="Q42" i="22" s="1"/>
  <c r="S39" i="22"/>
  <c r="S42" i="22" s="1"/>
  <c r="P40" i="22"/>
  <c r="R40" i="22" s="1"/>
  <c r="X40" i="22" s="1"/>
  <c r="W40" i="22"/>
  <c r="P41" i="22"/>
  <c r="R41" i="22" s="1"/>
  <c r="X41" i="22" s="1"/>
  <c r="W41" i="22"/>
  <c r="E42" i="22"/>
  <c r="J42" i="22"/>
  <c r="K42" i="22"/>
  <c r="G50" i="21" s="1"/>
  <c r="P51" i="22"/>
  <c r="R51" i="22" s="1"/>
  <c r="X51" i="22" s="1"/>
  <c r="W51" i="22"/>
  <c r="P52" i="22"/>
  <c r="R52" i="22" s="1"/>
  <c r="X52" i="22" s="1"/>
  <c r="U52" i="22"/>
  <c r="W52" i="22"/>
  <c r="P53" i="22"/>
  <c r="R53" i="22" s="1"/>
  <c r="X53" i="22" s="1"/>
  <c r="W53" i="22"/>
  <c r="P54" i="22"/>
  <c r="R54" i="22" s="1"/>
  <c r="X54" i="22" s="1"/>
  <c r="W54" i="22"/>
  <c r="P55" i="22"/>
  <c r="R55" i="22"/>
  <c r="X55" i="22" s="1"/>
  <c r="W55" i="22"/>
  <c r="P56" i="22"/>
  <c r="R56" i="22" s="1"/>
  <c r="X56" i="22" s="1"/>
  <c r="W56" i="22"/>
  <c r="P57" i="22"/>
  <c r="R57" i="22" s="1"/>
  <c r="X57" i="22" s="1"/>
  <c r="W57" i="22"/>
  <c r="P58" i="22"/>
  <c r="R58" i="22" s="1"/>
  <c r="X58" i="22" s="1"/>
  <c r="U58" i="22"/>
  <c r="W58" i="22" s="1"/>
  <c r="P59" i="22"/>
  <c r="R59" i="22"/>
  <c r="X59" i="22" s="1"/>
  <c r="W59" i="22"/>
  <c r="P60" i="22"/>
  <c r="R60" i="22"/>
  <c r="W60" i="22"/>
  <c r="X60" i="22"/>
  <c r="P61" i="22"/>
  <c r="R61" i="22"/>
  <c r="X61" i="22" s="1"/>
  <c r="W61" i="22"/>
  <c r="K62" i="22"/>
  <c r="P62" i="22" s="1"/>
  <c r="R62" i="22" s="1"/>
  <c r="X62" i="22" s="1"/>
  <c r="W62" i="22"/>
  <c r="P63" i="22"/>
  <c r="R63" i="22" s="1"/>
  <c r="X63" i="22" s="1"/>
  <c r="W63" i="22"/>
  <c r="P64" i="22"/>
  <c r="R64" i="22" s="1"/>
  <c r="X64" i="22" s="1"/>
  <c r="W64" i="22"/>
  <c r="P65" i="22"/>
  <c r="R65" i="22" s="1"/>
  <c r="X65" i="22" s="1"/>
  <c r="W65" i="22"/>
  <c r="P66" i="22"/>
  <c r="R66" i="22"/>
  <c r="W66" i="22"/>
  <c r="X66" i="22"/>
  <c r="P67" i="22"/>
  <c r="R67" i="22" s="1"/>
  <c r="X67" i="22" s="1"/>
  <c r="W67" i="22"/>
  <c r="P68" i="22"/>
  <c r="R68" i="22"/>
  <c r="X68" i="22" s="1"/>
  <c r="W68" i="22"/>
  <c r="P69" i="22"/>
  <c r="R69" i="22" s="1"/>
  <c r="X69" i="22" s="1"/>
  <c r="W69" i="22"/>
  <c r="P70" i="22"/>
  <c r="R70" i="22" s="1"/>
  <c r="X70" i="22" s="1"/>
  <c r="W70" i="22"/>
  <c r="P71" i="22"/>
  <c r="R71" i="22" s="1"/>
  <c r="X71" i="22" s="1"/>
  <c r="W71" i="22"/>
  <c r="P72" i="22"/>
  <c r="R72" i="22"/>
  <c r="X72" i="22" s="1"/>
  <c r="W72" i="22"/>
  <c r="P73" i="22"/>
  <c r="R73" i="22" s="1"/>
  <c r="X73" i="22" s="1"/>
  <c r="W73" i="22"/>
  <c r="P74" i="22"/>
  <c r="R74" i="22" s="1"/>
  <c r="X74" i="22" s="1"/>
  <c r="W74" i="22"/>
  <c r="E75" i="22"/>
  <c r="E79" i="22" s="1"/>
  <c r="E99" i="22" s="1"/>
  <c r="G99" i="22" s="1"/>
  <c r="G75" i="22"/>
  <c r="G79" i="22" s="1"/>
  <c r="H75" i="22"/>
  <c r="I75" i="22"/>
  <c r="J75" i="22"/>
  <c r="J79" i="22" s="1"/>
  <c r="L75" i="22"/>
  <c r="L79" i="22" s="1"/>
  <c r="M75" i="22"/>
  <c r="M79" i="22" s="1"/>
  <c r="N75" i="22"/>
  <c r="N79" i="22" s="1"/>
  <c r="O75" i="22"/>
  <c r="O79" i="22" s="1"/>
  <c r="G55" i="21" s="1"/>
  <c r="Q75" i="22"/>
  <c r="S75" i="22"/>
  <c r="S79" i="22" s="1"/>
  <c r="P76" i="22"/>
  <c r="R76" i="22" s="1"/>
  <c r="X76" i="22" s="1"/>
  <c r="W76" i="22"/>
  <c r="P77" i="22"/>
  <c r="R77" i="22" s="1"/>
  <c r="X77" i="22" s="1"/>
  <c r="W77" i="22"/>
  <c r="P78" i="22"/>
  <c r="R78" i="22" s="1"/>
  <c r="W78" i="22"/>
  <c r="F79" i="22"/>
  <c r="H79" i="22"/>
  <c r="Q79" i="22"/>
  <c r="Q83" i="22"/>
  <c r="I90" i="22"/>
  <c r="E94" i="22"/>
  <c r="G94" i="22"/>
  <c r="E95" i="22"/>
  <c r="G95" i="22" s="1"/>
  <c r="E96" i="22"/>
  <c r="G96" i="22" s="1"/>
  <c r="G97" i="22"/>
  <c r="U97" i="22"/>
  <c r="Q3" i="21"/>
  <c r="Q14" i="21"/>
  <c r="W14" i="21" s="1"/>
  <c r="V14" i="21"/>
  <c r="Q15" i="21"/>
  <c r="W15" i="21" s="1"/>
  <c r="V15" i="21"/>
  <c r="Q16" i="21"/>
  <c r="W16" i="21" s="1"/>
  <c r="V16" i="21"/>
  <c r="Q17" i="21"/>
  <c r="W17" i="21" s="1"/>
  <c r="V17" i="21"/>
  <c r="C19" i="21"/>
  <c r="E113" i="22" s="1"/>
  <c r="E114" i="22" s="1"/>
  <c r="E19" i="21"/>
  <c r="G38" i="21" s="1"/>
  <c r="G19" i="21"/>
  <c r="G113" i="22" s="1"/>
  <c r="I19" i="21"/>
  <c r="K19" i="21"/>
  <c r="M19" i="21"/>
  <c r="N19" i="21"/>
  <c r="O19" i="21"/>
  <c r="T19" i="21"/>
  <c r="U19" i="21"/>
  <c r="G22" i="21"/>
  <c r="G24" i="21"/>
  <c r="G45" i="21"/>
  <c r="K45" i="21" s="1"/>
  <c r="G40" i="21" l="1"/>
  <c r="V19" i="21"/>
  <c r="D203" i="1"/>
  <c r="G114" i="22"/>
  <c r="P75" i="22"/>
  <c r="P79" i="22" s="1"/>
  <c r="G98" i="22"/>
  <c r="Q81" i="22"/>
  <c r="Q89" i="22" s="1"/>
  <c r="Q91" i="22" s="1"/>
  <c r="G39" i="21"/>
  <c r="K39" i="21"/>
  <c r="K75" i="22"/>
  <c r="K79" i="22" s="1"/>
  <c r="G58" i="21" s="1"/>
  <c r="G49" i="21"/>
  <c r="G41" i="21"/>
  <c r="P39" i="22"/>
  <c r="P42" i="22" s="1"/>
  <c r="R11" i="22"/>
  <c r="W39" i="22"/>
  <c r="W42" i="22" s="1"/>
  <c r="R95" i="22"/>
  <c r="U95" i="22" s="1"/>
  <c r="X18" i="22"/>
  <c r="X15" i="22"/>
  <c r="R94" i="22"/>
  <c r="I82" i="22"/>
  <c r="I89" i="22" s="1"/>
  <c r="I91" i="22" s="1"/>
  <c r="X75" i="22"/>
  <c r="X79" i="22" s="1"/>
  <c r="W19" i="21"/>
  <c r="G100" i="22"/>
  <c r="W75" i="22"/>
  <c r="W79" i="22" s="1"/>
  <c r="G23" i="21"/>
  <c r="G28" i="21" s="1"/>
  <c r="G47" i="21"/>
  <c r="U39" i="22"/>
  <c r="U42" i="22" s="1"/>
  <c r="G52" i="21"/>
  <c r="E98" i="22"/>
  <c r="E100" i="22" s="1"/>
  <c r="I79" i="22"/>
  <c r="G54" i="21" s="1"/>
  <c r="U75" i="22"/>
  <c r="U79" i="22" s="1"/>
  <c r="F39" i="22"/>
  <c r="F42" i="22" s="1"/>
  <c r="G43" i="21" s="1"/>
  <c r="R75" i="22"/>
  <c r="R79" i="22" s="1"/>
  <c r="R99" i="22" s="1"/>
  <c r="U99" i="22" s="1"/>
  <c r="Q19" i="21"/>
  <c r="Q22" i="21" l="1"/>
  <c r="Q29" i="21" s="1"/>
  <c r="H113" i="22"/>
  <c r="G60" i="21"/>
  <c r="G64" i="21" s="1"/>
  <c r="G29" i="21"/>
  <c r="G30" i="21" s="1"/>
  <c r="U94" i="22"/>
  <c r="R96" i="22"/>
  <c r="U96" i="22" s="1"/>
  <c r="R39" i="22"/>
  <c r="R42" i="22" s="1"/>
  <c r="R45" i="22" s="1"/>
  <c r="X11" i="22"/>
  <c r="X39" i="22" s="1"/>
  <c r="X42" i="22" s="1"/>
  <c r="F113" i="22" l="1"/>
  <c r="H114" i="22"/>
  <c r="R98" i="22"/>
  <c r="R100" i="22" s="1"/>
  <c r="U98" i="22"/>
  <c r="U100" i="22" s="1"/>
  <c r="C203" i="1" l="1"/>
  <c r="F114" i="22"/>
  <c r="C332" i="1"/>
  <c r="C327" i="1"/>
  <c r="C326" i="1"/>
  <c r="C324" i="1"/>
  <c r="C323" i="1"/>
  <c r="C322" i="1"/>
  <c r="C321" i="1"/>
  <c r="C316" i="1"/>
  <c r="C318" i="1"/>
  <c r="C317" i="1"/>
  <c r="C313" i="1"/>
  <c r="C325" i="1" s="1"/>
  <c r="C312" i="1"/>
  <c r="C311" i="1"/>
  <c r="C310" i="1"/>
  <c r="C309" i="1"/>
  <c r="C308" i="1"/>
  <c r="C307" i="1"/>
  <c r="C306" i="1"/>
  <c r="C305" i="1"/>
  <c r="C304" i="1"/>
  <c r="C263" i="1"/>
  <c r="C259" i="1"/>
  <c r="C258" i="1"/>
  <c r="C257" i="1"/>
  <c r="C255" i="1"/>
  <c r="C253" i="1"/>
  <c r="C252" i="1"/>
  <c r="C250" i="1"/>
  <c r="G74" i="16"/>
  <c r="G75" i="16" s="1"/>
  <c r="G67" i="16"/>
  <c r="N63" i="16"/>
  <c r="N64" i="16" s="1"/>
  <c r="N62" i="16"/>
  <c r="L62" i="16"/>
  <c r="L63" i="16" s="1"/>
  <c r="L64" i="16" s="1"/>
  <c r="G62" i="16"/>
  <c r="G63" i="16" s="1"/>
  <c r="G64" i="16" s="1"/>
  <c r="J61" i="16"/>
  <c r="M61" i="16" s="1"/>
  <c r="O61" i="16" s="1"/>
  <c r="K62" i="16"/>
  <c r="K63" i="16" s="1"/>
  <c r="K64" i="16" s="1"/>
  <c r="I62" i="16"/>
  <c r="I63" i="16" s="1"/>
  <c r="I64" i="16" s="1"/>
  <c r="J60" i="16"/>
  <c r="F62" i="16"/>
  <c r="F63" i="16" s="1"/>
  <c r="F64" i="16" s="1"/>
  <c r="J59" i="16"/>
  <c r="M59" i="16" s="1"/>
  <c r="O59" i="16" s="1"/>
  <c r="J58" i="16"/>
  <c r="M58" i="16" s="1"/>
  <c r="O58" i="16" s="1"/>
  <c r="X54" i="16"/>
  <c r="N54" i="16"/>
  <c r="N55" i="16" s="1"/>
  <c r="Y53" i="16"/>
  <c r="J53" i="16"/>
  <c r="Y52" i="16"/>
  <c r="L54" i="16"/>
  <c r="K54" i="16"/>
  <c r="J52" i="16"/>
  <c r="M52" i="16"/>
  <c r="O52" i="16" s="1"/>
  <c r="W52" i="16" s="1"/>
  <c r="Y51" i="16"/>
  <c r="J51" i="16"/>
  <c r="M51" i="16" s="1"/>
  <c r="I54" i="16"/>
  <c r="H54" i="16"/>
  <c r="G54" i="16"/>
  <c r="Y50" i="16"/>
  <c r="O50" i="16"/>
  <c r="J50" i="16"/>
  <c r="Y49" i="16"/>
  <c r="J49" i="16"/>
  <c r="M49" i="16"/>
  <c r="O49" i="16" s="1"/>
  <c r="J48" i="16"/>
  <c r="L48" i="16" s="1"/>
  <c r="Y48" i="16" s="1"/>
  <c r="Y47" i="16"/>
  <c r="J47" i="16"/>
  <c r="M47" i="16"/>
  <c r="O47" i="16" s="1"/>
  <c r="N45" i="16"/>
  <c r="K45" i="16"/>
  <c r="H45" i="16"/>
  <c r="J44" i="16"/>
  <c r="X45" i="16"/>
  <c r="I45" i="16"/>
  <c r="J43" i="16"/>
  <c r="G45" i="16"/>
  <c r="F45" i="16"/>
  <c r="Y42" i="16"/>
  <c r="J42" i="16"/>
  <c r="M42" i="16"/>
  <c r="O42" i="16" s="1"/>
  <c r="Y41" i="16"/>
  <c r="J41" i="16"/>
  <c r="M41" i="16" s="1"/>
  <c r="O41" i="16" s="1"/>
  <c r="J40" i="16"/>
  <c r="M40" i="16"/>
  <c r="O40" i="16" s="1"/>
  <c r="Y39" i="16"/>
  <c r="J39" i="16"/>
  <c r="M39" i="16" s="1"/>
  <c r="O39" i="16" s="1"/>
  <c r="Y38" i="16"/>
  <c r="J38" i="16"/>
  <c r="M38" i="16" s="1"/>
  <c r="O38" i="16" s="1"/>
  <c r="Y37" i="16"/>
  <c r="K46" i="16"/>
  <c r="J37" i="16"/>
  <c r="I46" i="16"/>
  <c r="G46" i="16"/>
  <c r="F46" i="16"/>
  <c r="Y36" i="16"/>
  <c r="U35" i="16"/>
  <c r="X34" i="16"/>
  <c r="L34" i="16"/>
  <c r="I34" i="16"/>
  <c r="H34" i="16"/>
  <c r="F34" i="16"/>
  <c r="Y33" i="16"/>
  <c r="J33" i="16"/>
  <c r="M33" i="16" s="1"/>
  <c r="O33" i="16" s="1"/>
  <c r="Y32" i="16"/>
  <c r="N34" i="16"/>
  <c r="K34" i="16"/>
  <c r="J32" i="16"/>
  <c r="G34" i="16"/>
  <c r="Y31" i="16"/>
  <c r="J31" i="16"/>
  <c r="M31" i="16" s="1"/>
  <c r="O31" i="16" s="1"/>
  <c r="Y30" i="16"/>
  <c r="J30" i="16"/>
  <c r="L29" i="16"/>
  <c r="Y29" i="16" s="1"/>
  <c r="J29" i="16"/>
  <c r="Y27" i="16"/>
  <c r="J27" i="16"/>
  <c r="M27" i="16" s="1"/>
  <c r="O27" i="16" s="1"/>
  <c r="Y25" i="16"/>
  <c r="J25" i="16"/>
  <c r="M25" i="16" s="1"/>
  <c r="O25" i="16" s="1"/>
  <c r="N24" i="16"/>
  <c r="N26" i="16" s="1"/>
  <c r="N28" i="16" s="1"/>
  <c r="L24" i="16"/>
  <c r="L26" i="16" s="1"/>
  <c r="L28" i="16" s="1"/>
  <c r="I24" i="16"/>
  <c r="I26" i="16" s="1"/>
  <c r="I28" i="16" s="1"/>
  <c r="G24" i="16"/>
  <c r="G26" i="16" s="1"/>
  <c r="G28" i="16" s="1"/>
  <c r="Y23" i="16"/>
  <c r="J23" i="16"/>
  <c r="M23" i="16"/>
  <c r="O23" i="16" s="1"/>
  <c r="M22" i="16"/>
  <c r="O22" i="16" s="1"/>
  <c r="X24" i="16"/>
  <c r="K24" i="16"/>
  <c r="K26" i="16" s="1"/>
  <c r="K28" i="16" s="1"/>
  <c r="J21" i="16"/>
  <c r="F24" i="16"/>
  <c r="F26" i="16" s="1"/>
  <c r="F28" i="16" s="1"/>
  <c r="Y20" i="16"/>
  <c r="Y19" i="16"/>
  <c r="Y18" i="16"/>
  <c r="Y16" i="16"/>
  <c r="J16" i="16"/>
  <c r="N15" i="16"/>
  <c r="L15" i="16"/>
  <c r="I15" i="16"/>
  <c r="F15" i="16"/>
  <c r="Y14" i="16"/>
  <c r="J14" i="16"/>
  <c r="Y13" i="16"/>
  <c r="K15" i="16"/>
  <c r="H15" i="16"/>
  <c r="G15" i="16"/>
  <c r="N12" i="16"/>
  <c r="N17" i="16" s="1"/>
  <c r="K12" i="16"/>
  <c r="Y11" i="16"/>
  <c r="J11" i="16"/>
  <c r="M11" i="16" s="1"/>
  <c r="O11" i="16" s="1"/>
  <c r="J10" i="16"/>
  <c r="G12" i="16"/>
  <c r="X12" i="16"/>
  <c r="I12" i="16"/>
  <c r="H12" i="16"/>
  <c r="F12" i="16"/>
  <c r="Y8" i="16"/>
  <c r="J8" i="16"/>
  <c r="M8" i="16" s="1"/>
  <c r="O8" i="16" s="1"/>
  <c r="J34" i="16" l="1"/>
  <c r="J45" i="16"/>
  <c r="I55" i="16"/>
  <c r="J24" i="16"/>
  <c r="J26" i="16" s="1"/>
  <c r="J28" i="16" s="1"/>
  <c r="Y24" i="16"/>
  <c r="M32" i="16"/>
  <c r="O32" i="16" s="1"/>
  <c r="O34" i="16" s="1"/>
  <c r="Y34" i="16"/>
  <c r="K17" i="16"/>
  <c r="K35" i="16" s="1"/>
  <c r="K82" i="16" s="1"/>
  <c r="G55" i="16"/>
  <c r="Y54" i="16"/>
  <c r="O51" i="16"/>
  <c r="M48" i="16"/>
  <c r="O48" i="16" s="1"/>
  <c r="L44" i="16"/>
  <c r="Y44" i="16" s="1"/>
  <c r="J54" i="16"/>
  <c r="M53" i="16"/>
  <c r="O53" i="16" s="1"/>
  <c r="W53" i="16" s="1"/>
  <c r="J62" i="16"/>
  <c r="J63" i="16" s="1"/>
  <c r="J64" i="16" s="1"/>
  <c r="K55" i="16"/>
  <c r="G17" i="16"/>
  <c r="G35" i="16" s="1"/>
  <c r="G82" i="16" s="1"/>
  <c r="L10" i="16"/>
  <c r="Y10" i="16" s="1"/>
  <c r="H17" i="16"/>
  <c r="N35" i="16"/>
  <c r="N82" i="16" s="1"/>
  <c r="M16" i="16"/>
  <c r="O16" i="16" s="1"/>
  <c r="I17" i="16"/>
  <c r="I35" i="16" s="1"/>
  <c r="I82" i="16" s="1"/>
  <c r="M14" i="16"/>
  <c r="O14" i="16" s="1"/>
  <c r="M29" i="16"/>
  <c r="O29" i="16" s="1"/>
  <c r="M30" i="16"/>
  <c r="O30" i="16" s="1"/>
  <c r="J46" i="16"/>
  <c r="L43" i="16"/>
  <c r="H46" i="16"/>
  <c r="H55" i="16" s="1"/>
  <c r="Y7" i="16"/>
  <c r="X15" i="16"/>
  <c r="Y15" i="16" s="1"/>
  <c r="F17" i="16"/>
  <c r="F35" i="16" s="1"/>
  <c r="F82" i="16" s="1"/>
  <c r="M19" i="16"/>
  <c r="H24" i="16"/>
  <c r="H26" i="16" s="1"/>
  <c r="H28" i="16" s="1"/>
  <c r="X26" i="16"/>
  <c r="X46" i="16"/>
  <c r="X55" i="16" s="1"/>
  <c r="F54" i="16"/>
  <c r="F55" i="16" s="1"/>
  <c r="M60" i="16"/>
  <c r="H62" i="16"/>
  <c r="H63" i="16" s="1"/>
  <c r="H64" i="16" s="1"/>
  <c r="M10" i="16"/>
  <c r="O10" i="16" s="1"/>
  <c r="M37" i="16"/>
  <c r="M21" i="16"/>
  <c r="J7" i="16"/>
  <c r="Y21" i="16"/>
  <c r="J9" i="16"/>
  <c r="J12" i="16" s="1"/>
  <c r="J13" i="16"/>
  <c r="J15" i="16" s="1"/>
  <c r="M34" i="16" l="1"/>
  <c r="M44" i="16"/>
  <c r="O44" i="16" s="1"/>
  <c r="K56" i="16"/>
  <c r="H35" i="16"/>
  <c r="H82" i="16" s="1"/>
  <c r="F56" i="16"/>
  <c r="I56" i="16"/>
  <c r="J55" i="16"/>
  <c r="X17" i="16"/>
  <c r="O60" i="16"/>
  <c r="O62" i="16" s="1"/>
  <c r="O63" i="16" s="1"/>
  <c r="O64" i="16" s="1"/>
  <c r="M62" i="16"/>
  <c r="M63" i="16" s="1"/>
  <c r="M64" i="16" s="1"/>
  <c r="O19" i="16"/>
  <c r="L46" i="16"/>
  <c r="L45" i="16"/>
  <c r="Y45" i="16" s="1"/>
  <c r="Y43" i="16"/>
  <c r="L9" i="16"/>
  <c r="M13" i="16"/>
  <c r="M54" i="16"/>
  <c r="J17" i="16"/>
  <c r="J35" i="16" s="1"/>
  <c r="J82" i="16" s="1"/>
  <c r="O54" i="16"/>
  <c r="W51" i="16"/>
  <c r="M7" i="16"/>
  <c r="X28" i="16"/>
  <c r="Y28" i="16" s="1"/>
  <c r="Y26" i="16"/>
  <c r="O21" i="16"/>
  <c r="O24" i="16" s="1"/>
  <c r="M24" i="16"/>
  <c r="M26" i="16" s="1"/>
  <c r="M28" i="16" s="1"/>
  <c r="O37" i="16"/>
  <c r="M43" i="16"/>
  <c r="M46" i="16" s="1"/>
  <c r="N56" i="16"/>
  <c r="G56" i="16"/>
  <c r="H56" i="16" l="1"/>
  <c r="O13" i="16"/>
  <c r="O15" i="16" s="1"/>
  <c r="M15" i="16"/>
  <c r="W54" i="16"/>
  <c r="X35" i="16"/>
  <c r="X56" i="16" s="1"/>
  <c r="Y9" i="16"/>
  <c r="L12" i="16"/>
  <c r="J56" i="16"/>
  <c r="M45" i="16"/>
  <c r="O43" i="16"/>
  <c r="O45" i="16" s="1"/>
  <c r="O7" i="16"/>
  <c r="Y46" i="16"/>
  <c r="L55" i="16"/>
  <c r="M9" i="16"/>
  <c r="M55" i="16"/>
  <c r="O26" i="16"/>
  <c r="O28" i="16" s="1"/>
  <c r="O46" i="16" l="1"/>
  <c r="O55" i="16" s="1"/>
  <c r="M12" i="16"/>
  <c r="M17" i="16" s="1"/>
  <c r="M35" i="16" s="1"/>
  <c r="M82" i="16" s="1"/>
  <c r="O9" i="16"/>
  <c r="O12" i="16" s="1"/>
  <c r="O17" i="16" s="1"/>
  <c r="O35" i="16" s="1"/>
  <c r="O82" i="16" s="1"/>
  <c r="Y12" i="16"/>
  <c r="L17" i="16"/>
  <c r="Y55" i="16"/>
  <c r="M56" i="16" l="1"/>
  <c r="L35" i="16"/>
  <c r="Y17" i="16"/>
  <c r="O56" i="16"/>
  <c r="L82" i="16" l="1"/>
  <c r="Y35" i="16"/>
  <c r="L56" i="16"/>
  <c r="C239" i="1" l="1"/>
  <c r="C238" i="1"/>
  <c r="C234" i="1"/>
  <c r="C233" i="1"/>
  <c r="C228" i="1"/>
  <c r="C227" i="1"/>
  <c r="C226" i="1"/>
  <c r="C225" i="1"/>
  <c r="C224" i="1"/>
  <c r="C223" i="1"/>
  <c r="C221" i="1"/>
  <c r="E175" i="13"/>
  <c r="AO172" i="13"/>
  <c r="AO171" i="13"/>
  <c r="AO170" i="13"/>
  <c r="AO169" i="13"/>
  <c r="AO168" i="13"/>
  <c r="AO167" i="13"/>
  <c r="AO166" i="13"/>
  <c r="AO165" i="13"/>
  <c r="AO164" i="13"/>
  <c r="AO163" i="13"/>
  <c r="J163" i="13"/>
  <c r="AO162" i="13"/>
  <c r="J162" i="13"/>
  <c r="AO161" i="13"/>
  <c r="G161" i="13"/>
  <c r="AO160" i="13"/>
  <c r="AO159" i="13"/>
  <c r="AO158" i="13"/>
  <c r="AO157" i="13"/>
  <c r="J157" i="13"/>
  <c r="AO156" i="13"/>
  <c r="AO155" i="13"/>
  <c r="AO154" i="13"/>
  <c r="AO153" i="13"/>
  <c r="AO152" i="13"/>
  <c r="AO151" i="13"/>
  <c r="AO150" i="13"/>
  <c r="AO149" i="13"/>
  <c r="AO148" i="13"/>
  <c r="AO147" i="13"/>
  <c r="AO146" i="13"/>
  <c r="AO145" i="13"/>
  <c r="AO144" i="13"/>
  <c r="I143" i="13"/>
  <c r="H143" i="13"/>
  <c r="G143" i="13"/>
  <c r="F143" i="13"/>
  <c r="E143" i="13"/>
  <c r="D143" i="13"/>
  <c r="AO142" i="13"/>
  <c r="J142" i="13"/>
  <c r="J141" i="13"/>
  <c r="J140" i="13"/>
  <c r="J139" i="13"/>
  <c r="J138" i="13"/>
  <c r="J137" i="13"/>
  <c r="J136" i="13"/>
  <c r="J135" i="13"/>
  <c r="J134" i="13"/>
  <c r="J133" i="13"/>
  <c r="J132" i="13"/>
  <c r="J131" i="13"/>
  <c r="J130" i="13"/>
  <c r="J129" i="13"/>
  <c r="J128" i="13"/>
  <c r="J127" i="13"/>
  <c r="J126" i="13"/>
  <c r="J125" i="13"/>
  <c r="J124" i="13"/>
  <c r="J123" i="13"/>
  <c r="J122" i="13"/>
  <c r="J121" i="13"/>
  <c r="J120" i="13"/>
  <c r="J119" i="13"/>
  <c r="J118" i="13"/>
  <c r="J117" i="13"/>
  <c r="J116" i="13"/>
  <c r="J115" i="13"/>
  <c r="J114" i="13"/>
  <c r="J113" i="13"/>
  <c r="J112" i="13"/>
  <c r="J111" i="13"/>
  <c r="J110" i="13"/>
  <c r="J109" i="13"/>
  <c r="J108" i="13"/>
  <c r="J107" i="13"/>
  <c r="J106" i="13"/>
  <c r="J105" i="13"/>
  <c r="J104" i="13"/>
  <c r="J103" i="13"/>
  <c r="J102" i="13"/>
  <c r="J101" i="13"/>
  <c r="J100" i="13"/>
  <c r="J99" i="13"/>
  <c r="J98" i="13"/>
  <c r="J97" i="13"/>
  <c r="J96" i="13"/>
  <c r="AO95" i="13"/>
  <c r="I92" i="13"/>
  <c r="H92" i="13"/>
  <c r="G92" i="13"/>
  <c r="F92" i="13"/>
  <c r="E92" i="13"/>
  <c r="D92" i="13"/>
  <c r="S91" i="13"/>
  <c r="J91" i="13"/>
  <c r="S90" i="13"/>
  <c r="J90" i="13"/>
  <c r="S89" i="13"/>
  <c r="S140" i="13" s="1"/>
  <c r="J89" i="13"/>
  <c r="Q88" i="13"/>
  <c r="N88" i="13"/>
  <c r="R88" i="13"/>
  <c r="J88" i="13"/>
  <c r="R87" i="13"/>
  <c r="Q87" i="13"/>
  <c r="N87" i="13"/>
  <c r="J87" i="13"/>
  <c r="Q86" i="13"/>
  <c r="N86" i="13"/>
  <c r="R86" i="13"/>
  <c r="J86" i="13"/>
  <c r="Q85" i="13"/>
  <c r="N85" i="13"/>
  <c r="R85" i="13"/>
  <c r="J85" i="13"/>
  <c r="R84" i="13"/>
  <c r="Q84" i="13"/>
  <c r="N84" i="13"/>
  <c r="J84" i="13"/>
  <c r="Q83" i="13"/>
  <c r="N83" i="13"/>
  <c r="R83" i="13"/>
  <c r="J83" i="13"/>
  <c r="R82" i="13"/>
  <c r="Q82" i="13"/>
  <c r="N82" i="13"/>
  <c r="J82" i="13"/>
  <c r="R81" i="13"/>
  <c r="Q81" i="13"/>
  <c r="N81" i="13"/>
  <c r="J81" i="13"/>
  <c r="R80" i="13"/>
  <c r="Q80" i="13"/>
  <c r="N80" i="13"/>
  <c r="J80" i="13"/>
  <c r="R79" i="13"/>
  <c r="Q79" i="13"/>
  <c r="N79" i="13"/>
  <c r="J79" i="13"/>
  <c r="R78" i="13"/>
  <c r="Q78" i="13"/>
  <c r="N78" i="13"/>
  <c r="J78" i="13"/>
  <c r="Q77" i="13"/>
  <c r="R77" i="13"/>
  <c r="J77" i="13"/>
  <c r="Q76" i="13"/>
  <c r="N76" i="13"/>
  <c r="J76" i="13"/>
  <c r="Q75" i="13"/>
  <c r="J75" i="13"/>
  <c r="Q74" i="13"/>
  <c r="J74" i="13"/>
  <c r="Q73" i="13"/>
  <c r="N73" i="13"/>
  <c r="R73" i="13"/>
  <c r="J73" i="13"/>
  <c r="Q72" i="13"/>
  <c r="N72" i="13"/>
  <c r="R72" i="13"/>
  <c r="J72" i="13"/>
  <c r="Q71" i="13"/>
  <c r="R71" i="13"/>
  <c r="J71" i="13"/>
  <c r="Q70" i="13"/>
  <c r="N70" i="13"/>
  <c r="R70" i="13"/>
  <c r="J70" i="13"/>
  <c r="Q69" i="13"/>
  <c r="N69" i="13"/>
  <c r="R69" i="13"/>
  <c r="J69" i="13"/>
  <c r="S68" i="13"/>
  <c r="Q68" i="13"/>
  <c r="N68" i="13"/>
  <c r="R68" i="13"/>
  <c r="J68" i="13"/>
  <c r="Q67" i="13"/>
  <c r="N67" i="13"/>
  <c r="S67" i="13" s="1"/>
  <c r="R67" i="13"/>
  <c r="J67" i="13"/>
  <c r="Q66" i="13"/>
  <c r="N66" i="13"/>
  <c r="R66" i="13"/>
  <c r="J66" i="13"/>
  <c r="Q65" i="13"/>
  <c r="J65" i="13"/>
  <c r="Q64" i="13"/>
  <c r="N64" i="13"/>
  <c r="R64" i="13"/>
  <c r="J64" i="13"/>
  <c r="Q63" i="13"/>
  <c r="N63" i="13"/>
  <c r="S63" i="13" s="1"/>
  <c r="R63" i="13"/>
  <c r="J63" i="13"/>
  <c r="Q62" i="13"/>
  <c r="N62" i="13"/>
  <c r="R62" i="13"/>
  <c r="J62" i="13"/>
  <c r="T61" i="13"/>
  <c r="R61" i="13"/>
  <c r="Q61" i="13"/>
  <c r="N61" i="13"/>
  <c r="S61" i="13" s="1"/>
  <c r="J61" i="13"/>
  <c r="Q60" i="13"/>
  <c r="N60" i="13"/>
  <c r="J60" i="13"/>
  <c r="R59" i="13"/>
  <c r="Q59" i="13"/>
  <c r="N59" i="13"/>
  <c r="J59" i="13"/>
  <c r="R58" i="13"/>
  <c r="Q58" i="13"/>
  <c r="N58" i="13"/>
  <c r="J58" i="13"/>
  <c r="Q57" i="13"/>
  <c r="N57" i="13"/>
  <c r="J57" i="13"/>
  <c r="R56" i="13"/>
  <c r="Q56" i="13"/>
  <c r="N56" i="13"/>
  <c r="J56" i="13"/>
  <c r="R55" i="13"/>
  <c r="Q55" i="13"/>
  <c r="N55" i="13"/>
  <c r="J55" i="13"/>
  <c r="R54" i="13"/>
  <c r="Q54" i="13"/>
  <c r="N54" i="13"/>
  <c r="J54" i="13"/>
  <c r="R53" i="13"/>
  <c r="Q53" i="13"/>
  <c r="N53" i="13"/>
  <c r="J53" i="13"/>
  <c r="R52" i="13"/>
  <c r="Q52" i="13"/>
  <c r="N52" i="13"/>
  <c r="J52" i="13"/>
  <c r="Q51" i="13"/>
  <c r="J51" i="13"/>
  <c r="Q50" i="13"/>
  <c r="N50" i="13"/>
  <c r="J50" i="13"/>
  <c r="R49" i="13"/>
  <c r="Q49" i="13"/>
  <c r="N49" i="13"/>
  <c r="J49" i="13"/>
  <c r="Q48" i="13"/>
  <c r="J48" i="13"/>
  <c r="R47" i="13"/>
  <c r="Q47" i="13"/>
  <c r="N47" i="13"/>
  <c r="J47" i="13"/>
  <c r="R46" i="13"/>
  <c r="Q46" i="13"/>
  <c r="N46" i="13"/>
  <c r="J46" i="13"/>
  <c r="Q45" i="13"/>
  <c r="J45" i="13"/>
  <c r="AO44" i="13"/>
  <c r="O44" i="13"/>
  <c r="N44" i="13"/>
  <c r="M44" i="13"/>
  <c r="I44" i="13"/>
  <c r="R44" i="13" s="1"/>
  <c r="H44" i="13"/>
  <c r="Q44" i="13" s="1"/>
  <c r="G44" i="13"/>
  <c r="P44" i="13" s="1"/>
  <c r="AO43" i="13"/>
  <c r="AE42" i="13"/>
  <c r="AD42" i="13"/>
  <c r="AB42" i="13"/>
  <c r="AA42" i="13"/>
  <c r="X42" i="13"/>
  <c r="W42" i="13"/>
  <c r="I42" i="13"/>
  <c r="H42" i="13"/>
  <c r="G42" i="13"/>
  <c r="F42" i="13"/>
  <c r="E42" i="13"/>
  <c r="D42" i="13"/>
  <c r="J41" i="13"/>
  <c r="R40" i="13"/>
  <c r="S40" i="13" s="1"/>
  <c r="J40" i="13"/>
  <c r="R39" i="13"/>
  <c r="S39" i="13" s="1"/>
  <c r="J39" i="13"/>
  <c r="R38" i="13"/>
  <c r="S38" i="13" s="1"/>
  <c r="J38" i="13"/>
  <c r="R37" i="13"/>
  <c r="S37" i="13" s="1"/>
  <c r="J37" i="13"/>
  <c r="R36" i="13"/>
  <c r="S36" i="13" s="1"/>
  <c r="J36" i="13"/>
  <c r="J35" i="13"/>
  <c r="R34" i="13"/>
  <c r="S34" i="13" s="1"/>
  <c r="J34" i="13"/>
  <c r="S33" i="13"/>
  <c r="R33" i="13"/>
  <c r="J33" i="13"/>
  <c r="J32" i="13"/>
  <c r="R31" i="13"/>
  <c r="S31" i="13" s="1"/>
  <c r="J31" i="13"/>
  <c r="J30" i="13"/>
  <c r="R29" i="13"/>
  <c r="S29" i="13" s="1"/>
  <c r="J29" i="13"/>
  <c r="J28" i="13"/>
  <c r="R27" i="13"/>
  <c r="S27" i="13" s="1"/>
  <c r="J27" i="13"/>
  <c r="T26" i="13"/>
  <c r="R26" i="13"/>
  <c r="J26" i="13"/>
  <c r="R25" i="13"/>
  <c r="S25" i="13" s="1"/>
  <c r="J25" i="13"/>
  <c r="R24" i="13"/>
  <c r="J24" i="13"/>
  <c r="J23" i="13"/>
  <c r="R22" i="13"/>
  <c r="S22" i="13" s="1"/>
  <c r="J22" i="13"/>
  <c r="J21" i="13"/>
  <c r="R20" i="13"/>
  <c r="S20" i="13" s="1"/>
  <c r="J20" i="13"/>
  <c r="R19" i="13"/>
  <c r="S19" i="13" s="1"/>
  <c r="J19" i="13"/>
  <c r="R18" i="13"/>
  <c r="J18" i="13"/>
  <c r="R17" i="13"/>
  <c r="S17" i="13" s="1"/>
  <c r="J17" i="13"/>
  <c r="R16" i="13"/>
  <c r="J16" i="13"/>
  <c r="R15" i="13"/>
  <c r="S15" i="13" s="1"/>
  <c r="J15" i="13"/>
  <c r="R14" i="13"/>
  <c r="J14" i="13"/>
  <c r="R13" i="13"/>
  <c r="S13" i="13" s="1"/>
  <c r="J13" i="13"/>
  <c r="R12" i="13"/>
  <c r="J12" i="13"/>
  <c r="S11" i="13"/>
  <c r="R11" i="13"/>
  <c r="J11" i="13"/>
  <c r="R10" i="13"/>
  <c r="J10" i="13"/>
  <c r="R9" i="13"/>
  <c r="Q9" i="13"/>
  <c r="P9" i="13"/>
  <c r="O9" i="13"/>
  <c r="N9" i="13"/>
  <c r="M9" i="13"/>
  <c r="A45" i="12"/>
  <c r="H36" i="12"/>
  <c r="G36" i="12"/>
  <c r="H35" i="12"/>
  <c r="G35" i="12"/>
  <c r="G34" i="12" s="1"/>
  <c r="H32" i="12"/>
  <c r="G32" i="12"/>
  <c r="H29" i="12"/>
  <c r="G29" i="12"/>
  <c r="H27" i="12"/>
  <c r="H25" i="12" s="1"/>
  <c r="G27" i="12"/>
  <c r="G25" i="12" s="1"/>
  <c r="H17" i="12"/>
  <c r="H15" i="12" s="1"/>
  <c r="G17" i="12"/>
  <c r="G15" i="12" s="1"/>
  <c r="H13" i="12"/>
  <c r="G13" i="12"/>
  <c r="H12" i="12"/>
  <c r="G12" i="12"/>
  <c r="H9" i="12"/>
  <c r="G9" i="12"/>
  <c r="S83" i="13" l="1"/>
  <c r="S134" i="13" s="1"/>
  <c r="S66" i="13"/>
  <c r="S72" i="13"/>
  <c r="S64" i="13"/>
  <c r="S80" i="13"/>
  <c r="S88" i="13"/>
  <c r="S56" i="13"/>
  <c r="S59" i="13"/>
  <c r="S87" i="13"/>
  <c r="S138" i="13" s="1"/>
  <c r="S62" i="13"/>
  <c r="S73" i="13"/>
  <c r="H34" i="12"/>
  <c r="S49" i="13"/>
  <c r="S70" i="13"/>
  <c r="H11" i="12"/>
  <c r="H18" i="12" s="1"/>
  <c r="G11" i="12"/>
  <c r="G18" i="12" s="1"/>
  <c r="G38" i="12" s="1"/>
  <c r="S69" i="13"/>
  <c r="S120" i="13" s="1"/>
  <c r="S117" i="13"/>
  <c r="S113" i="13"/>
  <c r="S115" i="13"/>
  <c r="R65" i="13"/>
  <c r="R35" i="13"/>
  <c r="S35" i="13" s="1"/>
  <c r="R50" i="13"/>
  <c r="R57" i="13"/>
  <c r="S57" i="13" s="1"/>
  <c r="R28" i="13"/>
  <c r="S28" i="13" s="1"/>
  <c r="R30" i="13"/>
  <c r="S30" i="13" s="1"/>
  <c r="R32" i="13"/>
  <c r="S32" i="13" s="1"/>
  <c r="J42" i="13"/>
  <c r="L15" i="13" s="1"/>
  <c r="S46" i="13"/>
  <c r="N48" i="13"/>
  <c r="R48" i="13"/>
  <c r="S50" i="13"/>
  <c r="S101" i="13" s="1"/>
  <c r="S52" i="13"/>
  <c r="S103" i="13" s="1"/>
  <c r="S54" i="13"/>
  <c r="S121" i="13"/>
  <c r="S124" i="13"/>
  <c r="S119" i="13"/>
  <c r="S131" i="13"/>
  <c r="N51" i="13"/>
  <c r="R51" i="13"/>
  <c r="S53" i="13"/>
  <c r="S58" i="13"/>
  <c r="R41" i="13"/>
  <c r="S41" i="13" s="1"/>
  <c r="N65" i="13"/>
  <c r="S65" i="13" s="1"/>
  <c r="L14" i="13"/>
  <c r="N45" i="13"/>
  <c r="R45" i="13"/>
  <c r="S47" i="13"/>
  <c r="S10" i="13"/>
  <c r="S12" i="13"/>
  <c r="S14" i="13"/>
  <c r="S16" i="13"/>
  <c r="S18" i="13"/>
  <c r="R21" i="13"/>
  <c r="S21" i="13" s="1"/>
  <c r="R23" i="13"/>
  <c r="S23" i="13" s="1"/>
  <c r="S24" i="13"/>
  <c r="S26" i="13"/>
  <c r="S55" i="13"/>
  <c r="S106" i="13" s="1"/>
  <c r="R60" i="13"/>
  <c r="S60" i="13" s="1"/>
  <c r="N74" i="13"/>
  <c r="R74" i="13"/>
  <c r="S74" i="13" s="1"/>
  <c r="S78" i="13"/>
  <c r="S123" i="13"/>
  <c r="N75" i="13"/>
  <c r="R75" i="13"/>
  <c r="L162" i="13"/>
  <c r="L163" i="13"/>
  <c r="T58" i="13" s="1"/>
  <c r="T92" i="13" s="1"/>
  <c r="H160" i="13"/>
  <c r="J92" i="13"/>
  <c r="L87" i="13" s="1"/>
  <c r="L138" i="13" s="1"/>
  <c r="N77" i="13"/>
  <c r="S77" i="13" s="1"/>
  <c r="J143" i="13"/>
  <c r="K126" i="13" s="1"/>
  <c r="S82" i="13"/>
  <c r="S84" i="13"/>
  <c r="L86" i="13"/>
  <c r="S141" i="13"/>
  <c r="N71" i="13"/>
  <c r="S71" i="13" s="1"/>
  <c r="S81" i="13"/>
  <c r="L69" i="13"/>
  <c r="L120" i="13" s="1"/>
  <c r="R76" i="13"/>
  <c r="S76" i="13" s="1"/>
  <c r="S79" i="13"/>
  <c r="L68" i="13"/>
  <c r="L119" i="13" s="1"/>
  <c r="E160" i="13"/>
  <c r="S85" i="13"/>
  <c r="S136" i="13" s="1"/>
  <c r="S86" i="13"/>
  <c r="K33" i="13" l="1"/>
  <c r="K25" i="13"/>
  <c r="K20" i="13"/>
  <c r="L72" i="13"/>
  <c r="K58" i="13"/>
  <c r="S45" i="13"/>
  <c r="S96" i="13" s="1"/>
  <c r="L33" i="13"/>
  <c r="K30" i="13"/>
  <c r="L18" i="13"/>
  <c r="K11" i="13"/>
  <c r="S48" i="13"/>
  <c r="K34" i="13"/>
  <c r="L16" i="13"/>
  <c r="L20" i="13"/>
  <c r="L11" i="13"/>
  <c r="J160" i="13"/>
  <c r="F183" i="13" s="1"/>
  <c r="K56" i="13"/>
  <c r="K75" i="13"/>
  <c r="K31" i="13"/>
  <c r="L31" i="13"/>
  <c r="K19" i="13"/>
  <c r="S51" i="13"/>
  <c r="L22" i="13"/>
  <c r="H38" i="12"/>
  <c r="K118" i="13"/>
  <c r="L48" i="13"/>
  <c r="K106" i="13"/>
  <c r="L75" i="13"/>
  <c r="L126" i="13" s="1"/>
  <c r="L71" i="13"/>
  <c r="L122" i="13" s="1"/>
  <c r="L58" i="13"/>
  <c r="L17" i="13"/>
  <c r="K73" i="13"/>
  <c r="L56" i="13"/>
  <c r="L73" i="13"/>
  <c r="L124" i="13" s="1"/>
  <c r="K87" i="13"/>
  <c r="S139" i="13"/>
  <c r="S109" i="13"/>
  <c r="S107" i="13"/>
  <c r="S99" i="13"/>
  <c r="S111" i="13"/>
  <c r="S128" i="13"/>
  <c r="S129" i="13"/>
  <c r="S104" i="13"/>
  <c r="S118" i="13"/>
  <c r="K117" i="13"/>
  <c r="S122" i="13"/>
  <c r="K119" i="13"/>
  <c r="S102" i="13"/>
  <c r="K115" i="13"/>
  <c r="S135" i="13"/>
  <c r="K46" i="13"/>
  <c r="S94" i="13"/>
  <c r="K112" i="13"/>
  <c r="L65" i="13"/>
  <c r="L66" i="13"/>
  <c r="L117" i="13" s="1"/>
  <c r="J154" i="13" s="1"/>
  <c r="L70" i="13"/>
  <c r="L121" i="13" s="1"/>
  <c r="S133" i="13"/>
  <c r="K111" i="13"/>
  <c r="K45" i="13"/>
  <c r="K29" i="13"/>
  <c r="S98" i="13"/>
  <c r="L36" i="13"/>
  <c r="L29" i="13"/>
  <c r="L12" i="13"/>
  <c r="L45" i="13"/>
  <c r="K22" i="13"/>
  <c r="K85" i="13"/>
  <c r="L40" i="13"/>
  <c r="L137" i="13" s="1"/>
  <c r="L46" i="13"/>
  <c r="L19" i="13"/>
  <c r="S132" i="13"/>
  <c r="S112" i="13"/>
  <c r="S125" i="13"/>
  <c r="S100" i="13"/>
  <c r="S116" i="13"/>
  <c r="L25" i="13"/>
  <c r="L111" i="13" s="1"/>
  <c r="K12" i="13"/>
  <c r="K40" i="13"/>
  <c r="S114" i="13"/>
  <c r="S97" i="13"/>
  <c r="S130" i="13"/>
  <c r="S108" i="13"/>
  <c r="L13" i="13"/>
  <c r="L99" i="13" s="1"/>
  <c r="K142" i="13"/>
  <c r="K124" i="13"/>
  <c r="K123" i="13"/>
  <c r="K144" i="13"/>
  <c r="K104" i="13"/>
  <c r="K101" i="13"/>
  <c r="K98" i="13"/>
  <c r="K143" i="13"/>
  <c r="K102" i="13"/>
  <c r="K99" i="13"/>
  <c r="K96" i="13"/>
  <c r="K103" i="13"/>
  <c r="K100" i="13"/>
  <c r="K97" i="13"/>
  <c r="K137" i="13"/>
  <c r="K134" i="13"/>
  <c r="K131" i="13"/>
  <c r="K132" i="13"/>
  <c r="K138" i="13"/>
  <c r="K133" i="13"/>
  <c r="K135" i="13"/>
  <c r="K130" i="13"/>
  <c r="K136" i="13"/>
  <c r="K109" i="13"/>
  <c r="K116" i="13"/>
  <c r="S75" i="13"/>
  <c r="S110" i="13"/>
  <c r="L123" i="13"/>
  <c r="S105" i="13"/>
  <c r="S137" i="13"/>
  <c r="K114" i="13"/>
  <c r="J94" i="13"/>
  <c r="L90" i="13"/>
  <c r="L141" i="13" s="1"/>
  <c r="K84" i="13"/>
  <c r="L82" i="13"/>
  <c r="L133" i="13" s="1"/>
  <c r="K81" i="13"/>
  <c r="K83" i="13"/>
  <c r="L78" i="13"/>
  <c r="L129" i="13" s="1"/>
  <c r="L89" i="13"/>
  <c r="L140" i="13" s="1"/>
  <c r="K86" i="13"/>
  <c r="L80" i="13"/>
  <c r="K79" i="13"/>
  <c r="L77" i="13"/>
  <c r="L128" i="13" s="1"/>
  <c r="L74" i="13"/>
  <c r="L125" i="13" s="1"/>
  <c r="K92" i="13"/>
  <c r="L81" i="13"/>
  <c r="L132" i="13" s="1"/>
  <c r="K80" i="13"/>
  <c r="K88" i="13"/>
  <c r="K82" i="13"/>
  <c r="K69" i="13"/>
  <c r="K62" i="13"/>
  <c r="L59" i="13"/>
  <c r="L52" i="13"/>
  <c r="L49" i="13"/>
  <c r="L100" i="13" s="1"/>
  <c r="L83" i="13"/>
  <c r="K70" i="13"/>
  <c r="K65" i="13"/>
  <c r="L61" i="13"/>
  <c r="L54" i="13"/>
  <c r="L51" i="13"/>
  <c r="L102" i="13" s="1"/>
  <c r="L79" i="13"/>
  <c r="K67" i="13"/>
  <c r="K61" i="13"/>
  <c r="K54" i="13"/>
  <c r="K51" i="13"/>
  <c r="K72" i="13"/>
  <c r="K63" i="13"/>
  <c r="K59" i="13"/>
  <c r="L53" i="13"/>
  <c r="L47" i="13"/>
  <c r="K47" i="13"/>
  <c r="K52" i="13"/>
  <c r="K66" i="13"/>
  <c r="L57" i="13"/>
  <c r="K78" i="13"/>
  <c r="K68" i="13"/>
  <c r="K53" i="13"/>
  <c r="L60" i="13"/>
  <c r="K50" i="13"/>
  <c r="K64" i="13"/>
  <c r="K60" i="13"/>
  <c r="L55" i="13"/>
  <c r="K49" i="13"/>
  <c r="L50" i="13"/>
  <c r="L101" i="13" s="1"/>
  <c r="K48" i="13"/>
  <c r="L64" i="13"/>
  <c r="K42" i="13"/>
  <c r="K37" i="13"/>
  <c r="K32" i="13"/>
  <c r="L26" i="13"/>
  <c r="K26" i="13"/>
  <c r="K24" i="13"/>
  <c r="K18" i="13"/>
  <c r="K16" i="13"/>
  <c r="K14" i="13"/>
  <c r="L35" i="13"/>
  <c r="L37" i="13"/>
  <c r="L134" i="13" s="1"/>
  <c r="K35" i="13"/>
  <c r="L23" i="13"/>
  <c r="L109" i="13" s="1"/>
  <c r="L21" i="13"/>
  <c r="L107" i="13" s="1"/>
  <c r="L38" i="13"/>
  <c r="K23" i="13"/>
  <c r="K21" i="13"/>
  <c r="L41" i="13"/>
  <c r="K39" i="13"/>
  <c r="K41" i="13"/>
  <c r="L32" i="13"/>
  <c r="L30" i="13"/>
  <c r="L28" i="13"/>
  <c r="K38" i="13"/>
  <c r="K127" i="13"/>
  <c r="K110" i="13"/>
  <c r="L62" i="13"/>
  <c r="K9" i="12" s="1"/>
  <c r="B8" i="11" s="1"/>
  <c r="L63" i="13"/>
  <c r="L67" i="13"/>
  <c r="K77" i="13"/>
  <c r="K107" i="13"/>
  <c r="L76" i="13"/>
  <c r="K28" i="13"/>
  <c r="S42" i="13"/>
  <c r="K36" i="13"/>
  <c r="L27" i="13"/>
  <c r="L10" i="13"/>
  <c r="K17" i="13"/>
  <c r="L85" i="13"/>
  <c r="K120" i="13"/>
  <c r="K108" i="13"/>
  <c r="L88" i="13"/>
  <c r="K74" i="13"/>
  <c r="L91" i="13"/>
  <c r="L142" i="13" s="1"/>
  <c r="K76" i="13"/>
  <c r="L164" i="13"/>
  <c r="T23" i="13"/>
  <c r="T42" i="13" s="1"/>
  <c r="L84" i="13"/>
  <c r="K10" i="13"/>
  <c r="K71" i="13"/>
  <c r="K55" i="13"/>
  <c r="K27" i="13"/>
  <c r="L34" i="13"/>
  <c r="L24" i="13"/>
  <c r="K113" i="13"/>
  <c r="S127" i="13"/>
  <c r="K13" i="13"/>
  <c r="K57" i="13"/>
  <c r="L39" i="13"/>
  <c r="L135" i="13" s="1"/>
  <c r="K15" i="13"/>
  <c r="K12" i="12" l="1"/>
  <c r="J161" i="13"/>
  <c r="L131" i="13"/>
  <c r="L104" i="13"/>
  <c r="I17" i="12"/>
  <c r="L108" i="13"/>
  <c r="S92" i="13"/>
  <c r="S93" i="13" s="1"/>
  <c r="L103" i="13"/>
  <c r="K32" i="12"/>
  <c r="L130" i="13"/>
  <c r="L112" i="13"/>
  <c r="J151" i="13" s="1"/>
  <c r="L136" i="13"/>
  <c r="B142" i="1"/>
  <c r="L127" i="13"/>
  <c r="L105" i="13"/>
  <c r="I12" i="12"/>
  <c r="M12" i="12" s="1"/>
  <c r="L110" i="13"/>
  <c r="I13" i="12"/>
  <c r="I35" i="12"/>
  <c r="L96" i="13"/>
  <c r="L42" i="13"/>
  <c r="L116" i="13"/>
  <c r="I29" i="12"/>
  <c r="L92" i="13"/>
  <c r="L93" i="13" s="1"/>
  <c r="K35" i="12"/>
  <c r="K17" i="12"/>
  <c r="K15" i="12" s="1"/>
  <c r="K13" i="12"/>
  <c r="K11" i="12" s="1"/>
  <c r="L139" i="13"/>
  <c r="D170" i="13" s="1"/>
  <c r="H170" i="13" s="1"/>
  <c r="L114" i="13"/>
  <c r="I27" i="12"/>
  <c r="J146" i="13"/>
  <c r="L113" i="13"/>
  <c r="I9" i="12"/>
  <c r="B7" i="11" s="1"/>
  <c r="K36" i="12"/>
  <c r="L106" i="13"/>
  <c r="L98" i="13"/>
  <c r="K29" i="12"/>
  <c r="L97" i="13"/>
  <c r="K27" i="12"/>
  <c r="K25" i="12" s="1"/>
  <c r="I15" i="12"/>
  <c r="L118" i="13"/>
  <c r="I32" i="12"/>
  <c r="M32" i="12" s="1"/>
  <c r="S126" i="13"/>
  <c r="S143" i="13" s="1"/>
  <c r="D172" i="13"/>
  <c r="H172" i="13" s="1"/>
  <c r="J147" i="13"/>
  <c r="L115" i="13"/>
  <c r="I36" i="12"/>
  <c r="M13" i="12" l="1"/>
  <c r="M11" i="12" s="1"/>
  <c r="J149" i="13"/>
  <c r="B141" i="1"/>
  <c r="D173" i="13"/>
  <c r="H173" i="13" s="1"/>
  <c r="M27" i="12"/>
  <c r="I25" i="12"/>
  <c r="L143" i="13"/>
  <c r="L144" i="13" s="1"/>
  <c r="J148" i="13"/>
  <c r="D171" i="13"/>
  <c r="H171" i="13" s="1"/>
  <c r="J153" i="13"/>
  <c r="K34" i="12"/>
  <c r="M35" i="12"/>
  <c r="I34" i="12"/>
  <c r="J152" i="13"/>
  <c r="D174" i="13"/>
  <c r="H174" i="13" s="1"/>
  <c r="U39" i="13"/>
  <c r="U19" i="13"/>
  <c r="U72" i="13"/>
  <c r="AO72" i="13" s="1"/>
  <c r="U31" i="13"/>
  <c r="U14" i="13"/>
  <c r="U51" i="13"/>
  <c r="AO51" i="13" s="1"/>
  <c r="U84" i="13"/>
  <c r="AO84" i="13" s="1"/>
  <c r="M17" i="12"/>
  <c r="S95" i="13"/>
  <c r="U33" i="13" s="1"/>
  <c r="J155" i="13"/>
  <c r="J150" i="13"/>
  <c r="D169" i="13"/>
  <c r="M9" i="12"/>
  <c r="I11" i="12"/>
  <c r="I18" i="12" s="1"/>
  <c r="C7" i="11" s="1"/>
  <c r="C141" i="1" s="1"/>
  <c r="M29" i="12"/>
  <c r="M36" i="12"/>
  <c r="K18" i="12"/>
  <c r="C8" i="11" s="1"/>
  <c r="L43" i="13"/>
  <c r="U28" i="13" l="1"/>
  <c r="U80" i="13"/>
  <c r="AO80" i="13" s="1"/>
  <c r="U82" i="13"/>
  <c r="U56" i="13"/>
  <c r="AO56" i="13" s="1"/>
  <c r="U81" i="13"/>
  <c r="U36" i="13"/>
  <c r="U48" i="13"/>
  <c r="AO48" i="13" s="1"/>
  <c r="U68" i="13"/>
  <c r="U119" i="13" s="1"/>
  <c r="AO119" i="13" s="1"/>
  <c r="U71" i="13"/>
  <c r="U15" i="13"/>
  <c r="U53" i="13"/>
  <c r="AO53" i="13" s="1"/>
  <c r="U76" i="13"/>
  <c r="AO76" i="13" s="1"/>
  <c r="U26" i="13"/>
  <c r="U40" i="13"/>
  <c r="U137" i="13" s="1"/>
  <c r="U20" i="13"/>
  <c r="C142" i="1"/>
  <c r="D8" i="11"/>
  <c r="D142" i="1" s="1"/>
  <c r="U45" i="13"/>
  <c r="U12" i="13"/>
  <c r="U85" i="13"/>
  <c r="AO85" i="13" s="1"/>
  <c r="U18" i="13"/>
  <c r="U104" i="13" s="1"/>
  <c r="AO104" i="13" s="1"/>
  <c r="U83" i="13"/>
  <c r="AO83" i="13" s="1"/>
  <c r="U63" i="13"/>
  <c r="AO63" i="13" s="1"/>
  <c r="U29" i="13"/>
  <c r="AO29" i="13" s="1"/>
  <c r="U61" i="13"/>
  <c r="AO61" i="13" s="1"/>
  <c r="U17" i="13"/>
  <c r="AO17" i="13" s="1"/>
  <c r="U91" i="13"/>
  <c r="AO91" i="13" s="1"/>
  <c r="U10" i="13"/>
  <c r="U96" i="13" s="1"/>
  <c r="U21" i="13"/>
  <c r="U32" i="13"/>
  <c r="U30" i="13"/>
  <c r="U47" i="13"/>
  <c r="AO47" i="13" s="1"/>
  <c r="U67" i="13"/>
  <c r="AO67" i="13" s="1"/>
  <c r="U22" i="13"/>
  <c r="U59" i="13"/>
  <c r="AO59" i="13" s="1"/>
  <c r="U73" i="13"/>
  <c r="AO73" i="13" s="1"/>
  <c r="U25" i="13"/>
  <c r="U89" i="13"/>
  <c r="U140" i="13" s="1"/>
  <c r="AO140" i="13" s="1"/>
  <c r="U52" i="13"/>
  <c r="AO52" i="13" s="1"/>
  <c r="U75" i="13"/>
  <c r="AO75" i="13" s="1"/>
  <c r="U35" i="13"/>
  <c r="U86" i="13"/>
  <c r="AO86" i="13" s="1"/>
  <c r="U79" i="13"/>
  <c r="AO79" i="13" s="1"/>
  <c r="U46" i="13"/>
  <c r="AO46" i="13" s="1"/>
  <c r="U58" i="13"/>
  <c r="AO58" i="13" s="1"/>
  <c r="U38" i="13"/>
  <c r="AO38" i="13" s="1"/>
  <c r="U49" i="13"/>
  <c r="AO49" i="13" s="1"/>
  <c r="U64" i="13"/>
  <c r="AO64" i="13" s="1"/>
  <c r="U66" i="13"/>
  <c r="AO66" i="13" s="1"/>
  <c r="U87" i="13"/>
  <c r="U138" i="13" s="1"/>
  <c r="AO138" i="13" s="1"/>
  <c r="J156" i="13"/>
  <c r="K146" i="13" s="1"/>
  <c r="D7" i="11"/>
  <c r="D141" i="1" s="1"/>
  <c r="U23" i="13"/>
  <c r="U109" i="13" s="1"/>
  <c r="AO109" i="13" s="1"/>
  <c r="U50" i="13"/>
  <c r="AO50" i="13" s="1"/>
  <c r="U74" i="13"/>
  <c r="U24" i="13"/>
  <c r="AO24" i="13" s="1"/>
  <c r="U65" i="13"/>
  <c r="AO65" i="13" s="1"/>
  <c r="U60" i="13"/>
  <c r="AO60" i="13" s="1"/>
  <c r="U27" i="13"/>
  <c r="U37" i="13"/>
  <c r="U134" i="13" s="1"/>
  <c r="AO134" i="13" s="1"/>
  <c r="U34" i="13"/>
  <c r="AO34" i="13" s="1"/>
  <c r="U62" i="13"/>
  <c r="AO62" i="13" s="1"/>
  <c r="U11" i="13"/>
  <c r="AO11" i="13" s="1"/>
  <c r="I38" i="12"/>
  <c r="I40" i="12" s="1"/>
  <c r="K147" i="13"/>
  <c r="U123" i="13"/>
  <c r="AO123" i="13" s="1"/>
  <c r="AO33" i="13"/>
  <c r="AO18" i="13"/>
  <c r="AO23" i="13"/>
  <c r="AO32" i="13"/>
  <c r="U100" i="13"/>
  <c r="AO100" i="13" s="1"/>
  <c r="AO14" i="13"/>
  <c r="AO15" i="13"/>
  <c r="U114" i="13"/>
  <c r="AO114" i="13" s="1"/>
  <c r="AO28" i="13"/>
  <c r="AO30" i="13"/>
  <c r="AO31" i="13"/>
  <c r="AO27" i="13"/>
  <c r="P9" i="12"/>
  <c r="N9" i="12" s="1"/>
  <c r="AO40" i="13"/>
  <c r="U124" i="13"/>
  <c r="AO124" i="13" s="1"/>
  <c r="U135" i="13"/>
  <c r="AO135" i="13" s="1"/>
  <c r="AO39" i="13"/>
  <c r="M15" i="12"/>
  <c r="M18" i="12" s="1"/>
  <c r="U133" i="13"/>
  <c r="AO133" i="13" s="1"/>
  <c r="AO82" i="13"/>
  <c r="AO36" i="13"/>
  <c r="M34" i="12"/>
  <c r="AO45" i="13"/>
  <c r="U127" i="13"/>
  <c r="AO127" i="13" s="1"/>
  <c r="AO87" i="13"/>
  <c r="U130" i="13"/>
  <c r="AO130" i="13" s="1"/>
  <c r="AO35" i="13"/>
  <c r="U131" i="13"/>
  <c r="AO131" i="13" s="1"/>
  <c r="AO19" i="13"/>
  <c r="K153" i="13"/>
  <c r="M25" i="12"/>
  <c r="U125" i="13"/>
  <c r="AO125" i="13" s="1"/>
  <c r="AO74" i="13"/>
  <c r="AO37" i="13"/>
  <c r="AO25" i="13"/>
  <c r="H169" i="13"/>
  <c r="D175" i="13"/>
  <c r="D176" i="13" s="1"/>
  <c r="AO10" i="13"/>
  <c r="U132" i="13"/>
  <c r="AO132" i="13" s="1"/>
  <c r="AO81" i="13"/>
  <c r="AO71" i="13"/>
  <c r="U122" i="13"/>
  <c r="AO122" i="13" s="1"/>
  <c r="AO20" i="13"/>
  <c r="P17" i="12"/>
  <c r="P15" i="12" s="1"/>
  <c r="U107" i="13"/>
  <c r="AO107" i="13" s="1"/>
  <c r="AO21" i="13"/>
  <c r="AO12" i="13"/>
  <c r="U112" i="13"/>
  <c r="AO112" i="13" s="1"/>
  <c r="AO26" i="13"/>
  <c r="AO22" i="13"/>
  <c r="K38" i="12"/>
  <c r="K40" i="12" s="1"/>
  <c r="U77" i="13"/>
  <c r="U57" i="13"/>
  <c r="AO57" i="13" s="1"/>
  <c r="U54" i="13"/>
  <c r="AO54" i="13" s="1"/>
  <c r="U16" i="13"/>
  <c r="U55" i="13"/>
  <c r="AO55" i="13" s="1"/>
  <c r="U41" i="13"/>
  <c r="U78" i="13"/>
  <c r="U70" i="13"/>
  <c r="U69" i="13"/>
  <c r="U88" i="13"/>
  <c r="AO88" i="13" s="1"/>
  <c r="U90" i="13"/>
  <c r="U13" i="13"/>
  <c r="U117" i="13" l="1"/>
  <c r="AO117" i="13" s="1"/>
  <c r="AO68" i="13"/>
  <c r="P27" i="12"/>
  <c r="P25" i="12" s="1"/>
  <c r="U115" i="13"/>
  <c r="AO115" i="13" s="1"/>
  <c r="U126" i="13"/>
  <c r="AO126" i="13" s="1"/>
  <c r="U108" i="13"/>
  <c r="AO108" i="13" s="1"/>
  <c r="U98" i="13"/>
  <c r="AO98" i="13" s="1"/>
  <c r="U136" i="13"/>
  <c r="AO136" i="13" s="1"/>
  <c r="M38" i="12"/>
  <c r="R32" i="12" s="1"/>
  <c r="S32" i="12" s="1"/>
  <c r="U111" i="13"/>
  <c r="AO111" i="13" s="1"/>
  <c r="U110" i="13"/>
  <c r="AO110" i="13" s="1"/>
  <c r="U97" i="13"/>
  <c r="P12" i="12"/>
  <c r="N12" i="12" s="1"/>
  <c r="N11" i="12" s="1"/>
  <c r="K154" i="13"/>
  <c r="U105" i="13"/>
  <c r="AO105" i="13" s="1"/>
  <c r="U113" i="13"/>
  <c r="AO113" i="13" s="1"/>
  <c r="P32" i="12"/>
  <c r="N32" i="12" s="1"/>
  <c r="K151" i="13"/>
  <c r="U116" i="13"/>
  <c r="AO116" i="13" s="1"/>
  <c r="U118" i="13"/>
  <c r="J158" i="13"/>
  <c r="U103" i="13"/>
  <c r="AO103" i="13" s="1"/>
  <c r="AO89" i="13"/>
  <c r="K148" i="13"/>
  <c r="P13" i="12"/>
  <c r="N13" i="12" s="1"/>
  <c r="U101" i="13"/>
  <c r="AO101" i="13" s="1"/>
  <c r="K149" i="13"/>
  <c r="K156" i="13"/>
  <c r="K150" i="13"/>
  <c r="K152" i="13"/>
  <c r="K155" i="13"/>
  <c r="P29" i="12"/>
  <c r="N29" i="12" s="1"/>
  <c r="R12" i="12"/>
  <c r="R13" i="12"/>
  <c r="S13" i="12" s="1"/>
  <c r="R27" i="12"/>
  <c r="S27" i="12" s="1"/>
  <c r="R9" i="12"/>
  <c r="S9" i="12" s="1"/>
  <c r="R17" i="12"/>
  <c r="S17" i="12" s="1"/>
  <c r="R29" i="12"/>
  <c r="S29" i="12" s="1"/>
  <c r="H175" i="13"/>
  <c r="I169" i="13" s="1"/>
  <c r="AO97" i="13"/>
  <c r="U99" i="13"/>
  <c r="AO99" i="13" s="1"/>
  <c r="AO13" i="13"/>
  <c r="U139" i="13"/>
  <c r="AO139" i="13" s="1"/>
  <c r="AO41" i="13"/>
  <c r="U141" i="13"/>
  <c r="AO141" i="13" s="1"/>
  <c r="AO90" i="13"/>
  <c r="U102" i="13"/>
  <c r="AO16" i="13"/>
  <c r="P36" i="12"/>
  <c r="N36" i="12" s="1"/>
  <c r="U42" i="13"/>
  <c r="U92" i="13"/>
  <c r="AO92" i="13" s="1"/>
  <c r="J172" i="13"/>
  <c r="AO137" i="13"/>
  <c r="U120" i="13"/>
  <c r="AO120" i="13" s="1"/>
  <c r="AO69" i="13"/>
  <c r="U106" i="13"/>
  <c r="AO106" i="13" s="1"/>
  <c r="AO118" i="13"/>
  <c r="AO70" i="13"/>
  <c r="U121" i="13"/>
  <c r="AO121" i="13" s="1"/>
  <c r="P35" i="12"/>
  <c r="N27" i="12"/>
  <c r="N25" i="12" s="1"/>
  <c r="N17" i="12"/>
  <c r="N15" i="12" s="1"/>
  <c r="U129" i="13"/>
  <c r="AO129" i="13" s="1"/>
  <c r="AO78" i="13"/>
  <c r="U128" i="13"/>
  <c r="AO128" i="13" s="1"/>
  <c r="AO77" i="13"/>
  <c r="AO96" i="13"/>
  <c r="J171" i="13"/>
  <c r="J174" i="13"/>
  <c r="R35" i="12" l="1"/>
  <c r="S35" i="12" s="1"/>
  <c r="R36" i="12"/>
  <c r="S36" i="12" s="1"/>
  <c r="P11" i="12"/>
  <c r="P18" i="12" s="1"/>
  <c r="U143" i="13"/>
  <c r="AO143" i="13" s="1"/>
  <c r="J173" i="13"/>
  <c r="AO102" i="13"/>
  <c r="J170" i="13"/>
  <c r="I175" i="13"/>
  <c r="H176" i="13"/>
  <c r="I170" i="13"/>
  <c r="I173" i="13"/>
  <c r="I172" i="13"/>
  <c r="I171" i="13"/>
  <c r="I174" i="13"/>
  <c r="P34" i="12"/>
  <c r="P38" i="12" s="1"/>
  <c r="N35" i="12"/>
  <c r="N34" i="12" s="1"/>
  <c r="U93" i="13"/>
  <c r="AO42" i="13"/>
  <c r="N18" i="12"/>
  <c r="J169" i="13"/>
  <c r="S12" i="12"/>
  <c r="S18" i="12" s="1"/>
  <c r="R18" i="12"/>
  <c r="R38" i="12" l="1"/>
  <c r="S38" i="12"/>
  <c r="N38" i="12"/>
  <c r="U94" i="13"/>
  <c r="AO94" i="13" s="1"/>
  <c r="AO93" i="13"/>
  <c r="J175" i="13"/>
  <c r="K170" i="13" s="1"/>
  <c r="K169" i="13" l="1"/>
  <c r="K173" i="13"/>
  <c r="J176" i="13"/>
  <c r="K174" i="13"/>
  <c r="K172" i="13"/>
  <c r="K171" i="13"/>
  <c r="K175" i="13" l="1"/>
  <c r="D9" i="11"/>
  <c r="C9" i="11"/>
  <c r="B9" i="11"/>
  <c r="E8" i="11"/>
  <c r="E7" i="11"/>
  <c r="E9" i="11" l="1"/>
  <c r="E550" i="10"/>
  <c r="E546" i="10"/>
  <c r="F546" i="10"/>
  <c r="F545" i="10"/>
  <c r="E545" i="10"/>
  <c r="F544" i="10"/>
  <c r="E544" i="10"/>
  <c r="E540" i="10"/>
  <c r="H540" i="10"/>
  <c r="E539" i="10"/>
  <c r="E538" i="10"/>
  <c r="E537" i="10"/>
  <c r="F537" i="10"/>
  <c r="H536" i="10"/>
  <c r="F536" i="10"/>
  <c r="E536" i="10"/>
  <c r="F535" i="10"/>
  <c r="E535" i="10"/>
  <c r="H535" i="10"/>
  <c r="F534" i="10"/>
  <c r="E534" i="10"/>
  <c r="H534" i="10"/>
  <c r="H533" i="10"/>
  <c r="E533" i="10"/>
  <c r="F533" i="10"/>
  <c r="E532" i="10"/>
  <c r="E531" i="10"/>
  <c r="E530" i="10"/>
  <c r="E529" i="10"/>
  <c r="F529" i="10"/>
  <c r="H528" i="10"/>
  <c r="F528" i="10"/>
  <c r="E528" i="10"/>
  <c r="F527" i="10"/>
  <c r="E527" i="10"/>
  <c r="F526" i="10"/>
  <c r="E526" i="10"/>
  <c r="E525" i="10"/>
  <c r="F525" i="10"/>
  <c r="E524" i="10"/>
  <c r="E523" i="10"/>
  <c r="E522" i="10"/>
  <c r="F521" i="10"/>
  <c r="F520" i="10"/>
  <c r="E520" i="10"/>
  <c r="E519" i="10"/>
  <c r="E518" i="10"/>
  <c r="E517" i="10"/>
  <c r="E516" i="10"/>
  <c r="E515" i="10"/>
  <c r="F515" i="10"/>
  <c r="F514" i="10"/>
  <c r="E514" i="10"/>
  <c r="F513" i="10"/>
  <c r="E511" i="10"/>
  <c r="F511" i="10"/>
  <c r="F510" i="10"/>
  <c r="E510" i="10"/>
  <c r="F509" i="10"/>
  <c r="E509" i="10"/>
  <c r="F508" i="10"/>
  <c r="E508" i="10"/>
  <c r="H508" i="10"/>
  <c r="H507" i="10"/>
  <c r="E507" i="10"/>
  <c r="F507" i="10"/>
  <c r="E506" i="10"/>
  <c r="H506" i="10"/>
  <c r="E505" i="10"/>
  <c r="E504" i="10"/>
  <c r="H503" i="10"/>
  <c r="E503" i="10"/>
  <c r="F503" i="10"/>
  <c r="H502" i="10"/>
  <c r="F502" i="10"/>
  <c r="E502" i="10"/>
  <c r="F501" i="10"/>
  <c r="E501" i="10"/>
  <c r="F500" i="10"/>
  <c r="E500" i="10"/>
  <c r="H499" i="10"/>
  <c r="F499" i="10"/>
  <c r="E499" i="10"/>
  <c r="E498" i="10"/>
  <c r="E497" i="10"/>
  <c r="E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B439" i="10"/>
  <c r="B438" i="10"/>
  <c r="B440" i="10" s="1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D390" i="10"/>
  <c r="B441" i="10" s="1"/>
  <c r="D372" i="10"/>
  <c r="D367" i="10"/>
  <c r="C448" i="10" s="1"/>
  <c r="D361" i="10"/>
  <c r="D368" i="10" s="1"/>
  <c r="D329" i="10"/>
  <c r="D328" i="10"/>
  <c r="D330" i="10" s="1"/>
  <c r="D319" i="10"/>
  <c r="D314" i="10"/>
  <c r="D290" i="10"/>
  <c r="D283" i="10"/>
  <c r="D275" i="10"/>
  <c r="B476" i="10" s="1"/>
  <c r="D265" i="10"/>
  <c r="D260" i="10"/>
  <c r="D240" i="10"/>
  <c r="B447" i="10" s="1"/>
  <c r="D236" i="10"/>
  <c r="B446" i="10" s="1"/>
  <c r="D229" i="10"/>
  <c r="B445" i="10" s="1"/>
  <c r="D221" i="10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C469" i="10" s="1"/>
  <c r="E195" i="10"/>
  <c r="D190" i="10"/>
  <c r="D437" i="10" s="1"/>
  <c r="D186" i="10"/>
  <c r="D436" i="10" s="1"/>
  <c r="D181" i="10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C414" i="10" s="1"/>
  <c r="E127" i="10"/>
  <c r="CE80" i="10"/>
  <c r="L612" i="10" s="1"/>
  <c r="CF79" i="10"/>
  <c r="Y79" i="10"/>
  <c r="H79" i="10"/>
  <c r="E79" i="10"/>
  <c r="C79" i="10"/>
  <c r="U78" i="10"/>
  <c r="R78" i="10"/>
  <c r="E78" i="10"/>
  <c r="CE78" i="10" s="1"/>
  <c r="I612" i="10" s="1"/>
  <c r="CE77" i="10"/>
  <c r="G612" i="10" s="1"/>
  <c r="BE76" i="10"/>
  <c r="AJ76" i="10"/>
  <c r="Y76" i="10"/>
  <c r="P76" i="10"/>
  <c r="H76" i="10"/>
  <c r="E76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CE74" i="10"/>
  <c r="C464" i="10" s="1"/>
  <c r="CE73" i="10"/>
  <c r="C463" i="10" s="1"/>
  <c r="CE70" i="10"/>
  <c r="C458" i="10" s="1"/>
  <c r="CD69" i="10"/>
  <c r="C438" i="10" s="1"/>
  <c r="CC69" i="10"/>
  <c r="BN69" i="10"/>
  <c r="BE69" i="10"/>
  <c r="BE68" i="10"/>
  <c r="CE68" i="10" s="1"/>
  <c r="C434" i="10" s="1"/>
  <c r="CC66" i="10"/>
  <c r="BE66" i="10"/>
  <c r="BE65" i="10"/>
  <c r="CE65" i="10" s="1"/>
  <c r="C431" i="10" s="1"/>
  <c r="BU64" i="10"/>
  <c r="BA64" i="10"/>
  <c r="CE63" i="10"/>
  <c r="C429" i="10" s="1"/>
  <c r="CE61" i="10"/>
  <c r="C427" i="10" s="1"/>
  <c r="CE60" i="10"/>
  <c r="H612" i="10" s="1"/>
  <c r="B53" i="10"/>
  <c r="CE51" i="10"/>
  <c r="B49" i="10"/>
  <c r="CE47" i="10"/>
  <c r="D339" i="10" l="1"/>
  <c r="C482" i="10" s="1"/>
  <c r="J48" i="10"/>
  <c r="J62" i="10" s="1"/>
  <c r="AH48" i="10"/>
  <c r="AH62" i="10" s="1"/>
  <c r="BJ48" i="10"/>
  <c r="BJ62" i="10" s="1"/>
  <c r="BR48" i="10"/>
  <c r="BR62" i="10" s="1"/>
  <c r="D48" i="10"/>
  <c r="D62" i="10" s="1"/>
  <c r="AB48" i="10"/>
  <c r="AB62" i="10" s="1"/>
  <c r="BB48" i="10"/>
  <c r="BB62" i="10" s="1"/>
  <c r="P48" i="10"/>
  <c r="P62" i="10" s="1"/>
  <c r="AN48" i="10"/>
  <c r="AN62" i="10" s="1"/>
  <c r="V48" i="10"/>
  <c r="V62" i="10" s="1"/>
  <c r="AT48" i="10"/>
  <c r="AT62" i="10" s="1"/>
  <c r="BZ48" i="10"/>
  <c r="BZ62" i="10" s="1"/>
  <c r="K48" i="10"/>
  <c r="K62" i="10" s="1"/>
  <c r="W48" i="10"/>
  <c r="W62" i="10" s="1"/>
  <c r="AO48" i="10"/>
  <c r="AO62" i="10" s="1"/>
  <c r="AU48" i="10"/>
  <c r="AU62" i="10" s="1"/>
  <c r="BK48" i="10"/>
  <c r="BK62" i="10" s="1"/>
  <c r="BS48" i="10"/>
  <c r="BS62" i="10" s="1"/>
  <c r="CA48" i="10"/>
  <c r="CA62" i="10" s="1"/>
  <c r="R48" i="10"/>
  <c r="R62" i="10" s="1"/>
  <c r="AP48" i="10"/>
  <c r="AP62" i="10" s="1"/>
  <c r="BE48" i="10"/>
  <c r="BE62" i="10" s="1"/>
  <c r="BU48" i="10"/>
  <c r="BU62" i="10" s="1"/>
  <c r="AC48" i="10"/>
  <c r="AC62" i="10" s="1"/>
  <c r="X48" i="10"/>
  <c r="X62" i="10" s="1"/>
  <c r="AW48" i="10"/>
  <c r="AW62" i="10" s="1"/>
  <c r="BM48" i="10"/>
  <c r="BM62" i="10" s="1"/>
  <c r="CC48" i="10"/>
  <c r="CC62" i="10" s="1"/>
  <c r="G48" i="10"/>
  <c r="G62" i="10" s="1"/>
  <c r="M48" i="10"/>
  <c r="M62" i="10" s="1"/>
  <c r="S48" i="10"/>
  <c r="S62" i="10" s="1"/>
  <c r="Y48" i="10"/>
  <c r="Y62" i="10" s="1"/>
  <c r="AE48" i="10"/>
  <c r="AE62" i="10" s="1"/>
  <c r="AK48" i="10"/>
  <c r="AK62" i="10" s="1"/>
  <c r="AQ48" i="10"/>
  <c r="AQ62" i="10" s="1"/>
  <c r="AX48" i="10"/>
  <c r="AX62" i="10" s="1"/>
  <c r="BF48" i="10"/>
  <c r="BF62" i="10" s="1"/>
  <c r="BN48" i="10"/>
  <c r="BN62" i="10" s="1"/>
  <c r="BV48" i="10"/>
  <c r="BV62" i="10" s="1"/>
  <c r="L48" i="10"/>
  <c r="L62" i="10" s="1"/>
  <c r="AJ48" i="10"/>
  <c r="AJ62" i="10" s="1"/>
  <c r="H48" i="10"/>
  <c r="H62" i="10" s="1"/>
  <c r="N48" i="10"/>
  <c r="N62" i="10" s="1"/>
  <c r="T48" i="10"/>
  <c r="T62" i="10" s="1"/>
  <c r="Z48" i="10"/>
  <c r="Z62" i="10" s="1"/>
  <c r="AF48" i="10"/>
  <c r="AF62" i="10" s="1"/>
  <c r="AL48" i="10"/>
  <c r="AL62" i="10" s="1"/>
  <c r="AR48" i="10"/>
  <c r="AR62" i="10" s="1"/>
  <c r="AY48" i="10"/>
  <c r="AY62" i="10" s="1"/>
  <c r="BG48" i="10"/>
  <c r="BG62" i="10" s="1"/>
  <c r="BO48" i="10"/>
  <c r="BO62" i="10" s="1"/>
  <c r="BW48" i="10"/>
  <c r="BW62" i="10" s="1"/>
  <c r="E217" i="10"/>
  <c r="C478" i="10" s="1"/>
  <c r="E48" i="10"/>
  <c r="E62" i="10" s="1"/>
  <c r="Q48" i="10"/>
  <c r="Q62" i="10" s="1"/>
  <c r="AI48" i="10"/>
  <c r="AI62" i="10" s="1"/>
  <c r="BC48" i="10"/>
  <c r="BC62" i="10" s="1"/>
  <c r="F48" i="10"/>
  <c r="F62" i="10" s="1"/>
  <c r="AD48" i="10"/>
  <c r="AD62" i="10" s="1"/>
  <c r="C48" i="10"/>
  <c r="C62" i="10" s="1"/>
  <c r="I48" i="10"/>
  <c r="I62" i="10" s="1"/>
  <c r="O48" i="10"/>
  <c r="O62" i="10" s="1"/>
  <c r="U48" i="10"/>
  <c r="U62" i="10" s="1"/>
  <c r="AA48" i="10"/>
  <c r="AA62" i="10" s="1"/>
  <c r="AG48" i="10"/>
  <c r="AG62" i="10" s="1"/>
  <c r="AM48" i="10"/>
  <c r="AM62" i="10" s="1"/>
  <c r="AS48" i="10"/>
  <c r="AS62" i="10" s="1"/>
  <c r="BA48" i="10"/>
  <c r="BA62" i="10" s="1"/>
  <c r="BI48" i="10"/>
  <c r="BI62" i="10" s="1"/>
  <c r="BQ48" i="10"/>
  <c r="BQ62" i="10" s="1"/>
  <c r="BY48" i="10"/>
  <c r="BY62" i="10" s="1"/>
  <c r="CE66" i="10"/>
  <c r="C432" i="10" s="1"/>
  <c r="AV48" i="10"/>
  <c r="AV62" i="10" s="1"/>
  <c r="AZ48" i="10"/>
  <c r="AZ62" i="10" s="1"/>
  <c r="BD48" i="10"/>
  <c r="BD62" i="10" s="1"/>
  <c r="BH48" i="10"/>
  <c r="BH62" i="10" s="1"/>
  <c r="BL48" i="10"/>
  <c r="BL62" i="10" s="1"/>
  <c r="BP48" i="10"/>
  <c r="BP62" i="10" s="1"/>
  <c r="BT48" i="10"/>
  <c r="BT62" i="10" s="1"/>
  <c r="BX48" i="10"/>
  <c r="BX62" i="10" s="1"/>
  <c r="CB48" i="10"/>
  <c r="CB62" i="10" s="1"/>
  <c r="CF77" i="10"/>
  <c r="C473" i="10"/>
  <c r="CE64" i="10"/>
  <c r="F612" i="10" s="1"/>
  <c r="CE76" i="10"/>
  <c r="D463" i="10"/>
  <c r="CE79" i="10"/>
  <c r="J612" i="10" s="1"/>
  <c r="D464" i="10"/>
  <c r="D373" i="10"/>
  <c r="D391" i="10" s="1"/>
  <c r="D393" i="10" s="1"/>
  <c r="D396" i="10" s="1"/>
  <c r="D277" i="10"/>
  <c r="D292" i="10" s="1"/>
  <c r="D341" i="10" s="1"/>
  <c r="C481" i="10" s="1"/>
  <c r="C468" i="10"/>
  <c r="E204" i="10"/>
  <c r="C476" i="10" s="1"/>
  <c r="D242" i="10"/>
  <c r="B448" i="10" s="1"/>
  <c r="B444" i="10"/>
  <c r="F523" i="10"/>
  <c r="F531" i="10"/>
  <c r="H504" i="10"/>
  <c r="F504" i="10"/>
  <c r="C439" i="10"/>
  <c r="CE69" i="10"/>
  <c r="C440" i="10" s="1"/>
  <c r="CF76" i="10"/>
  <c r="BZ52" i="10" s="1"/>
  <c r="BZ67" i="10" s="1"/>
  <c r="BZ71" i="10" s="1"/>
  <c r="AJ52" i="10"/>
  <c r="AJ67" i="10" s="1"/>
  <c r="AJ71" i="10" s="1"/>
  <c r="H538" i="10"/>
  <c r="F538" i="10"/>
  <c r="CE75" i="10"/>
  <c r="F516" i="10"/>
  <c r="H505" i="10"/>
  <c r="F505" i="10"/>
  <c r="F517" i="10"/>
  <c r="F519" i="10"/>
  <c r="CD71" i="10"/>
  <c r="C575" i="10" s="1"/>
  <c r="C615" i="10"/>
  <c r="B465" i="10"/>
  <c r="F522" i="10"/>
  <c r="D435" i="10"/>
  <c r="D438" i="10"/>
  <c r="F530" i="10"/>
  <c r="F496" i="10"/>
  <c r="F512" i="10"/>
  <c r="F539" i="10"/>
  <c r="H497" i="10"/>
  <c r="F497" i="10"/>
  <c r="F498" i="10"/>
  <c r="F506" i="10"/>
  <c r="F518" i="10"/>
  <c r="F524" i="10"/>
  <c r="F532" i="10"/>
  <c r="F540" i="10"/>
  <c r="F550" i="10"/>
  <c r="F493" i="1"/>
  <c r="D493" i="1"/>
  <c r="B493" i="1"/>
  <c r="AK52" i="10" l="1"/>
  <c r="AK67" i="10" s="1"/>
  <c r="AK71" i="10" s="1"/>
  <c r="BQ52" i="10"/>
  <c r="BQ67" i="10" s="1"/>
  <c r="BQ71" i="10" s="1"/>
  <c r="S52" i="10"/>
  <c r="S67" i="10" s="1"/>
  <c r="S71" i="10" s="1"/>
  <c r="AA52" i="10"/>
  <c r="AA67" i="10" s="1"/>
  <c r="AA71" i="10" s="1"/>
  <c r="L52" i="10"/>
  <c r="L67" i="10" s="1"/>
  <c r="L71" i="10" s="1"/>
  <c r="D612" i="10"/>
  <c r="BJ52" i="10"/>
  <c r="BJ67" i="10" s="1"/>
  <c r="BJ71" i="10" s="1"/>
  <c r="CE62" i="10"/>
  <c r="C428" i="10" s="1"/>
  <c r="BG52" i="10"/>
  <c r="BG67" i="10" s="1"/>
  <c r="BG71" i="10" s="1"/>
  <c r="C552" i="10" s="1"/>
  <c r="E52" i="10"/>
  <c r="E67" i="10" s="1"/>
  <c r="E71" i="10" s="1"/>
  <c r="V52" i="10"/>
  <c r="V67" i="10" s="1"/>
  <c r="V71" i="10" s="1"/>
  <c r="C687" i="10" s="1"/>
  <c r="AR52" i="10"/>
  <c r="AR67" i="10" s="1"/>
  <c r="AR71" i="10" s="1"/>
  <c r="BY52" i="10"/>
  <c r="BY67" i="10" s="1"/>
  <c r="BY71" i="10" s="1"/>
  <c r="C645" i="10" s="1"/>
  <c r="BO52" i="10"/>
  <c r="BO67" i="10" s="1"/>
  <c r="BO71" i="10" s="1"/>
  <c r="BX52" i="10"/>
  <c r="BX67" i="10" s="1"/>
  <c r="BX71" i="10" s="1"/>
  <c r="N52" i="10"/>
  <c r="N67" i="10" s="1"/>
  <c r="N71" i="10" s="1"/>
  <c r="C679" i="10" s="1"/>
  <c r="B575" i="1"/>
  <c r="BV52" i="10"/>
  <c r="BV67" i="10" s="1"/>
  <c r="BV71" i="10" s="1"/>
  <c r="C642" i="10" s="1"/>
  <c r="AC52" i="10"/>
  <c r="AC67" i="10" s="1"/>
  <c r="AC71" i="10" s="1"/>
  <c r="C522" i="10" s="1"/>
  <c r="BB52" i="10"/>
  <c r="BB67" i="10" s="1"/>
  <c r="BB71" i="10" s="1"/>
  <c r="C52" i="10"/>
  <c r="C67" i="10" s="1"/>
  <c r="AQ52" i="10"/>
  <c r="AQ67" i="10" s="1"/>
  <c r="AQ71" i="10" s="1"/>
  <c r="C708" i="10" s="1"/>
  <c r="BW52" i="10"/>
  <c r="BW67" i="10" s="1"/>
  <c r="BW71" i="10" s="1"/>
  <c r="C568" i="10" s="1"/>
  <c r="T52" i="10"/>
  <c r="T67" i="10" s="1"/>
  <c r="T71" i="10" s="1"/>
  <c r="C513" i="10" s="1"/>
  <c r="AZ52" i="10"/>
  <c r="AZ67" i="10" s="1"/>
  <c r="AZ71" i="10" s="1"/>
  <c r="C628" i="10" s="1"/>
  <c r="M52" i="10"/>
  <c r="M67" i="10" s="1"/>
  <c r="M71" i="10" s="1"/>
  <c r="C678" i="10" s="1"/>
  <c r="AS52" i="10"/>
  <c r="AS67" i="10" s="1"/>
  <c r="AS71" i="10" s="1"/>
  <c r="C710" i="10" s="1"/>
  <c r="BN52" i="10"/>
  <c r="BN67" i="10" s="1"/>
  <c r="BN71" i="10" s="1"/>
  <c r="AL52" i="10"/>
  <c r="AL67" i="10" s="1"/>
  <c r="AL71" i="10" s="1"/>
  <c r="C703" i="10" s="1"/>
  <c r="BR52" i="10"/>
  <c r="BR67" i="10" s="1"/>
  <c r="BR71" i="10" s="1"/>
  <c r="C563" i="10" s="1"/>
  <c r="CE48" i="10"/>
  <c r="C430" i="10"/>
  <c r="D465" i="10"/>
  <c r="K52" i="10"/>
  <c r="K67" i="10" s="1"/>
  <c r="K71" i="10" s="1"/>
  <c r="AY52" i="10"/>
  <c r="AY67" i="10" s="1"/>
  <c r="AY71" i="10" s="1"/>
  <c r="C544" i="10" s="1"/>
  <c r="AB52" i="10"/>
  <c r="AB67" i="10" s="1"/>
  <c r="AB71" i="10" s="1"/>
  <c r="BH52" i="10"/>
  <c r="BH67" i="10" s="1"/>
  <c r="BH71" i="10" s="1"/>
  <c r="C636" i="10" s="1"/>
  <c r="U52" i="10"/>
  <c r="U67" i="10" s="1"/>
  <c r="U71" i="10" s="1"/>
  <c r="C514" i="10" s="1"/>
  <c r="BI52" i="10"/>
  <c r="BI67" i="10" s="1"/>
  <c r="BI71" i="10" s="1"/>
  <c r="C634" i="10" s="1"/>
  <c r="F52" i="10"/>
  <c r="F67" i="10" s="1"/>
  <c r="F71" i="10" s="1"/>
  <c r="C671" i="10" s="1"/>
  <c r="AT52" i="10"/>
  <c r="AT67" i="10" s="1"/>
  <c r="AT71" i="10" s="1"/>
  <c r="C711" i="10" s="1"/>
  <c r="C709" i="10"/>
  <c r="C537" i="10"/>
  <c r="C567" i="10"/>
  <c r="C632" i="10"/>
  <c r="C547" i="10"/>
  <c r="C506" i="10"/>
  <c r="G506" i="10" s="1"/>
  <c r="C686" i="10"/>
  <c r="C646" i="10"/>
  <c r="C571" i="10"/>
  <c r="C676" i="10"/>
  <c r="C504" i="10"/>
  <c r="G504" i="10" s="1"/>
  <c r="C554" i="10"/>
  <c r="C684" i="10"/>
  <c r="C512" i="10"/>
  <c r="C644" i="10"/>
  <c r="C569" i="10"/>
  <c r="C505" i="10"/>
  <c r="G505" i="10" s="1"/>
  <c r="C677" i="10"/>
  <c r="C536" i="10"/>
  <c r="G536" i="10" s="1"/>
  <c r="C694" i="10"/>
  <c r="C627" i="10"/>
  <c r="C560" i="10"/>
  <c r="C539" i="10"/>
  <c r="C670" i="10"/>
  <c r="C498" i="10"/>
  <c r="C555" i="10"/>
  <c r="C617" i="10"/>
  <c r="C693" i="10"/>
  <c r="C521" i="10"/>
  <c r="C702" i="10"/>
  <c r="C530" i="10"/>
  <c r="C515" i="10"/>
  <c r="C562" i="10"/>
  <c r="C623" i="10"/>
  <c r="K612" i="10"/>
  <c r="C465" i="10"/>
  <c r="C701" i="10"/>
  <c r="C529" i="10"/>
  <c r="C520" i="10"/>
  <c r="C692" i="10"/>
  <c r="CC52" i="10"/>
  <c r="CC67" i="10" s="1"/>
  <c r="CC71" i="10" s="1"/>
  <c r="BK52" i="10"/>
  <c r="BK67" i="10" s="1"/>
  <c r="BK71" i="10" s="1"/>
  <c r="AU52" i="10"/>
  <c r="AU67" i="10" s="1"/>
  <c r="AU71" i="10" s="1"/>
  <c r="AE52" i="10"/>
  <c r="AE67" i="10" s="1"/>
  <c r="AE71" i="10" s="1"/>
  <c r="O52" i="10"/>
  <c r="O67" i="10" s="1"/>
  <c r="O71" i="10" s="1"/>
  <c r="BT52" i="10"/>
  <c r="BT67" i="10" s="1"/>
  <c r="BT71" i="10" s="1"/>
  <c r="BS52" i="10"/>
  <c r="BS67" i="10" s="1"/>
  <c r="BS71" i="10" s="1"/>
  <c r="AG52" i="10"/>
  <c r="AG67" i="10" s="1"/>
  <c r="AG71" i="10" s="1"/>
  <c r="CB52" i="10"/>
  <c r="CB67" i="10" s="1"/>
  <c r="CB71" i="10" s="1"/>
  <c r="BF52" i="10"/>
  <c r="BF67" i="10" s="1"/>
  <c r="BF71" i="10" s="1"/>
  <c r="AP52" i="10"/>
  <c r="AP67" i="10" s="1"/>
  <c r="AP71" i="10" s="1"/>
  <c r="Z52" i="10"/>
  <c r="Z67" i="10" s="1"/>
  <c r="Z71" i="10" s="1"/>
  <c r="J52" i="10"/>
  <c r="J67" i="10" s="1"/>
  <c r="J71" i="10" s="1"/>
  <c r="AM52" i="10"/>
  <c r="AM67" i="10" s="1"/>
  <c r="AM71" i="10" s="1"/>
  <c r="AH52" i="10"/>
  <c r="AH67" i="10" s="1"/>
  <c r="AH71" i="10" s="1"/>
  <c r="BM52" i="10"/>
  <c r="BM67" i="10" s="1"/>
  <c r="BM71" i="10" s="1"/>
  <c r="AF52" i="10"/>
  <c r="AF67" i="10" s="1"/>
  <c r="AF71" i="10" s="1"/>
  <c r="CA52" i="10"/>
  <c r="CA67" i="10" s="1"/>
  <c r="CA71" i="10" s="1"/>
  <c r="BE52" i="10"/>
  <c r="BE67" i="10" s="1"/>
  <c r="BE71" i="10" s="1"/>
  <c r="AO52" i="10"/>
  <c r="AO67" i="10" s="1"/>
  <c r="AO71" i="10" s="1"/>
  <c r="Y52" i="10"/>
  <c r="Y67" i="10" s="1"/>
  <c r="Y71" i="10" s="1"/>
  <c r="I52" i="10"/>
  <c r="I67" i="10" s="1"/>
  <c r="I71" i="10" s="1"/>
  <c r="W52" i="10"/>
  <c r="W67" i="10" s="1"/>
  <c r="W71" i="10" s="1"/>
  <c r="AX52" i="10"/>
  <c r="AX67" i="10" s="1"/>
  <c r="AX71" i="10" s="1"/>
  <c r="BL52" i="10"/>
  <c r="BL67" i="10" s="1"/>
  <c r="BL71" i="10" s="1"/>
  <c r="BU52" i="10"/>
  <c r="BU67" i="10" s="1"/>
  <c r="BU71" i="10" s="1"/>
  <c r="BD52" i="10"/>
  <c r="BD67" i="10" s="1"/>
  <c r="BD71" i="10" s="1"/>
  <c r="AN52" i="10"/>
  <c r="AN67" i="10" s="1"/>
  <c r="AN71" i="10" s="1"/>
  <c r="X52" i="10"/>
  <c r="X67" i="10" s="1"/>
  <c r="X71" i="10" s="1"/>
  <c r="H52" i="10"/>
  <c r="H67" i="10" s="1"/>
  <c r="H71" i="10" s="1"/>
  <c r="BC52" i="10"/>
  <c r="BC67" i="10" s="1"/>
  <c r="BC71" i="10" s="1"/>
  <c r="G52" i="10"/>
  <c r="G67" i="10" s="1"/>
  <c r="G71" i="10" s="1"/>
  <c r="R52" i="10"/>
  <c r="R67" i="10" s="1"/>
  <c r="R71" i="10" s="1"/>
  <c r="AW52" i="10"/>
  <c r="AW67" i="10" s="1"/>
  <c r="AW71" i="10" s="1"/>
  <c r="AV52" i="10"/>
  <c r="AV67" i="10" s="1"/>
  <c r="AV71" i="10" s="1"/>
  <c r="Q52" i="10"/>
  <c r="Q67" i="10" s="1"/>
  <c r="Q71" i="10" s="1"/>
  <c r="P52" i="10"/>
  <c r="P67" i="10" s="1"/>
  <c r="P71" i="10" s="1"/>
  <c r="C559" i="10"/>
  <c r="C619" i="10"/>
  <c r="AI52" i="10"/>
  <c r="AI67" i="10" s="1"/>
  <c r="AI71" i="10" s="1"/>
  <c r="D52" i="10"/>
  <c r="D67" i="10" s="1"/>
  <c r="D71" i="10" s="1"/>
  <c r="BP52" i="10"/>
  <c r="BP67" i="10" s="1"/>
  <c r="BP71" i="10" s="1"/>
  <c r="BA52" i="10"/>
  <c r="BA67" i="10" s="1"/>
  <c r="BA71" i="10" s="1"/>
  <c r="AD52" i="10"/>
  <c r="AD67" i="10" s="1"/>
  <c r="AD71" i="10" s="1"/>
  <c r="A493" i="1"/>
  <c r="D221" i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C75" i="1"/>
  <c r="C26" i="9" s="1"/>
  <c r="CE80" i="1"/>
  <c r="CE78" i="1"/>
  <c r="CE69" i="1"/>
  <c r="I371" i="9" s="1"/>
  <c r="D372" i="1"/>
  <c r="C125" i="8" s="1"/>
  <c r="D260" i="1"/>
  <c r="C16" i="8" s="1"/>
  <c r="D265" i="1"/>
  <c r="C22" i="8" s="1"/>
  <c r="D290" i="1"/>
  <c r="D314" i="1"/>
  <c r="C68" i="8" s="1"/>
  <c r="D319" i="1"/>
  <c r="C74" i="8" s="1"/>
  <c r="D328" i="1"/>
  <c r="C84" i="8" s="1"/>
  <c r="D329" i="1"/>
  <c r="C85" i="8" s="1"/>
  <c r="D229" i="1"/>
  <c r="D236" i="1"/>
  <c r="C365" i="1" s="1"/>
  <c r="D240" i="1"/>
  <c r="E209" i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32" i="6" s="1"/>
  <c r="E196" i="1"/>
  <c r="E197" i="1"/>
  <c r="C269" i="1" s="1"/>
  <c r="B470" i="1" s="1"/>
  <c r="E198" i="1"/>
  <c r="C270" i="1" s="1"/>
  <c r="E199" i="1"/>
  <c r="C271" i="1" s="1"/>
  <c r="E200" i="1"/>
  <c r="C272" i="1" s="1"/>
  <c r="C30" i="8" s="1"/>
  <c r="E201" i="1"/>
  <c r="F13" i="6" s="1"/>
  <c r="E202" i="1"/>
  <c r="E203" i="1"/>
  <c r="C274" i="1" s="1"/>
  <c r="B475" i="1" s="1"/>
  <c r="D204" i="1"/>
  <c r="E16" i="6" s="1"/>
  <c r="B204" i="1"/>
  <c r="C16" i="6" s="1"/>
  <c r="D190" i="1"/>
  <c r="D186" i="1"/>
  <c r="D181" i="1"/>
  <c r="C386" i="1" s="1"/>
  <c r="C137" i="8" s="1"/>
  <c r="D177" i="1"/>
  <c r="E154" i="1"/>
  <c r="E153" i="1"/>
  <c r="E28" i="4" s="1"/>
  <c r="E152" i="1"/>
  <c r="D28" i="4" s="1"/>
  <c r="E151" i="1"/>
  <c r="C28" i="4" s="1"/>
  <c r="E150" i="1"/>
  <c r="E148" i="1"/>
  <c r="F19" i="4" s="1"/>
  <c r="E147" i="1"/>
  <c r="E146" i="1"/>
  <c r="D19" i="4" s="1"/>
  <c r="E145" i="1"/>
  <c r="C19" i="4" s="1"/>
  <c r="E144" i="1"/>
  <c r="C417" i="1" s="1"/>
  <c r="E141" i="1"/>
  <c r="E10" i="4" s="1"/>
  <c r="E140" i="1"/>
  <c r="D10" i="4" s="1"/>
  <c r="E139" i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1" i="1"/>
  <c r="C459" i="1"/>
  <c r="B459" i="1"/>
  <c r="B458" i="1"/>
  <c r="B455" i="1"/>
  <c r="B454" i="1"/>
  <c r="B453" i="1"/>
  <c r="C429" i="1"/>
  <c r="C432" i="1"/>
  <c r="C439" i="1"/>
  <c r="C438" i="1"/>
  <c r="B433" i="1"/>
  <c r="B432" i="1"/>
  <c r="B431" i="1"/>
  <c r="B430" i="1"/>
  <c r="B429" i="1"/>
  <c r="B427" i="1"/>
  <c r="D424" i="1"/>
  <c r="B424" i="1"/>
  <c r="B423" i="1"/>
  <c r="D421" i="1"/>
  <c r="B421" i="1"/>
  <c r="B420" i="1"/>
  <c r="D418" i="1"/>
  <c r="B418" i="1"/>
  <c r="B417" i="1"/>
  <c r="D415" i="1"/>
  <c r="C415" i="1"/>
  <c r="B415" i="1"/>
  <c r="B414" i="1"/>
  <c r="C3" i="8"/>
  <c r="A3" i="8"/>
  <c r="C149" i="8"/>
  <c r="C148" i="8"/>
  <c r="C144" i="8"/>
  <c r="C135" i="8"/>
  <c r="C134" i="8"/>
  <c r="C133" i="8"/>
  <c r="C132" i="8"/>
  <c r="C131" i="8"/>
  <c r="C129" i="8"/>
  <c r="C124" i="8"/>
  <c r="C123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29" i="8"/>
  <c r="C28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L48" i="1"/>
  <c r="L62" i="1" s="1"/>
  <c r="E44" i="9" s="1"/>
  <c r="I377" i="9"/>
  <c r="C464" i="1"/>
  <c r="G122" i="9"/>
  <c r="D366" i="9"/>
  <c r="CE64" i="1"/>
  <c r="F612" i="1" s="1"/>
  <c r="D368" i="9"/>
  <c r="C276" i="9"/>
  <c r="CE70" i="1"/>
  <c r="C458" i="1" s="1"/>
  <c r="CE76" i="1"/>
  <c r="CE77" i="1"/>
  <c r="I381" i="9" s="1"/>
  <c r="I29" i="9"/>
  <c r="C95" i="9"/>
  <c r="CE79" i="1"/>
  <c r="J612" i="1" s="1"/>
  <c r="E142" i="1"/>
  <c r="G9" i="4"/>
  <c r="F9" i="4"/>
  <c r="E138" i="1"/>
  <c r="C414" i="1" s="1"/>
  <c r="C204" i="1"/>
  <c r="D16" i="6" s="1"/>
  <c r="E195" i="1"/>
  <c r="C267" i="1" s="1"/>
  <c r="C25" i="8" s="1"/>
  <c r="C28" i="6"/>
  <c r="B217" i="1"/>
  <c r="C32" i="6" s="1"/>
  <c r="D283" i="1"/>
  <c r="C42" i="8" s="1"/>
  <c r="C40" i="8"/>
  <c r="E515" i="1"/>
  <c r="H73" i="9"/>
  <c r="E105" i="9"/>
  <c r="E519" i="1"/>
  <c r="E528" i="1"/>
  <c r="G137" i="9"/>
  <c r="C9" i="5"/>
  <c r="F28" i="4"/>
  <c r="F24" i="6"/>
  <c r="M48" i="1"/>
  <c r="M62" i="1" s="1"/>
  <c r="C427" i="1"/>
  <c r="CD71" i="1"/>
  <c r="E373" i="9" s="1"/>
  <c r="AK48" i="1"/>
  <c r="AK62" i="1" s="1"/>
  <c r="BE48" i="1"/>
  <c r="BE62" i="1" s="1"/>
  <c r="Q48" i="1"/>
  <c r="Q62" i="1" s="1"/>
  <c r="BG48" i="1"/>
  <c r="BG62" i="1" s="1"/>
  <c r="C268" i="9" s="1"/>
  <c r="K48" i="1"/>
  <c r="K62" i="1" s="1"/>
  <c r="C615" i="1"/>
  <c r="I612" i="1"/>
  <c r="E372" i="9"/>
  <c r="BX48" i="1"/>
  <c r="BX62" i="1" s="1"/>
  <c r="BL48" i="1"/>
  <c r="BL62" i="1" s="1"/>
  <c r="AZ48" i="1"/>
  <c r="AZ62" i="1" s="1"/>
  <c r="AP48" i="1"/>
  <c r="AP62" i="1" s="1"/>
  <c r="AD48" i="1"/>
  <c r="AD62" i="1" s="1"/>
  <c r="F48" i="1"/>
  <c r="F62" i="1" s="1"/>
  <c r="CF76" i="1"/>
  <c r="BC52" i="1" s="1"/>
  <c r="BC67" i="1" s="1"/>
  <c r="C434" i="1" l="1"/>
  <c r="C507" i="10"/>
  <c r="G507" i="10" s="1"/>
  <c r="B10" i="4"/>
  <c r="I366" i="9"/>
  <c r="C499" i="10"/>
  <c r="G499" i="10" s="1"/>
  <c r="D433" i="1"/>
  <c r="C685" i="10"/>
  <c r="C430" i="1"/>
  <c r="B19" i="4"/>
  <c r="CC52" i="1"/>
  <c r="CC67" i="1" s="1"/>
  <c r="C218" i="9"/>
  <c r="BW52" i="1"/>
  <c r="BW67" i="1" s="1"/>
  <c r="BA52" i="1"/>
  <c r="BA67" i="1" s="1"/>
  <c r="AR48" i="1"/>
  <c r="AR62" i="1" s="1"/>
  <c r="I172" i="9" s="1"/>
  <c r="BI48" i="1"/>
  <c r="BI62" i="1" s="1"/>
  <c r="E268" i="9" s="1"/>
  <c r="AS48" i="1"/>
  <c r="AS62" i="1" s="1"/>
  <c r="S52" i="1"/>
  <c r="S67" i="1" s="1"/>
  <c r="R48" i="1"/>
  <c r="R62" i="1" s="1"/>
  <c r="BR48" i="1"/>
  <c r="BR62" i="1" s="1"/>
  <c r="E48" i="1"/>
  <c r="E62" i="1" s="1"/>
  <c r="AC48" i="1"/>
  <c r="AC62" i="1" s="1"/>
  <c r="H108" i="9" s="1"/>
  <c r="H52" i="1"/>
  <c r="H67" i="1" s="1"/>
  <c r="H17" i="9" s="1"/>
  <c r="V48" i="1"/>
  <c r="V62" i="1" s="1"/>
  <c r="H76" i="9" s="1"/>
  <c r="AX48" i="1"/>
  <c r="AX62" i="1" s="1"/>
  <c r="BT48" i="1"/>
  <c r="BT62" i="1" s="1"/>
  <c r="I300" i="9" s="1"/>
  <c r="AQ48" i="1"/>
  <c r="AQ62" i="1" s="1"/>
  <c r="CC48" i="1"/>
  <c r="CC62" i="1" s="1"/>
  <c r="AO48" i="1"/>
  <c r="AO62" i="1" s="1"/>
  <c r="G48" i="1"/>
  <c r="G62" i="1" s="1"/>
  <c r="G12" i="9" s="1"/>
  <c r="D48" i="1"/>
  <c r="D62" i="1" s="1"/>
  <c r="D12" i="9" s="1"/>
  <c r="AE52" i="1"/>
  <c r="AE67" i="1" s="1"/>
  <c r="C145" i="9" s="1"/>
  <c r="I372" i="9"/>
  <c r="Z48" i="1"/>
  <c r="Z62" i="1" s="1"/>
  <c r="E108" i="9" s="1"/>
  <c r="AN48" i="1"/>
  <c r="AN62" i="1" s="1"/>
  <c r="BJ48" i="1"/>
  <c r="BJ62" i="1" s="1"/>
  <c r="BV48" i="1"/>
  <c r="BV62" i="1" s="1"/>
  <c r="AY48" i="1"/>
  <c r="AY62" i="1" s="1"/>
  <c r="I48" i="1"/>
  <c r="I62" i="1" s="1"/>
  <c r="I12" i="9" s="1"/>
  <c r="AW48" i="1"/>
  <c r="AW62" i="1" s="1"/>
  <c r="U48" i="1"/>
  <c r="U62" i="1" s="1"/>
  <c r="G76" i="9" s="1"/>
  <c r="AE48" i="1"/>
  <c r="AE62" i="1" s="1"/>
  <c r="C140" i="9" s="1"/>
  <c r="BZ48" i="1"/>
  <c r="BZ62" i="1" s="1"/>
  <c r="H332" i="9" s="1"/>
  <c r="H48" i="1"/>
  <c r="H62" i="1" s="1"/>
  <c r="I363" i="9"/>
  <c r="I382" i="9"/>
  <c r="AF48" i="1"/>
  <c r="AF62" i="1" s="1"/>
  <c r="D140" i="9" s="1"/>
  <c r="BB48" i="1"/>
  <c r="BB62" i="1" s="1"/>
  <c r="CB48" i="1"/>
  <c r="CB62" i="1" s="1"/>
  <c r="C364" i="9" s="1"/>
  <c r="Y48" i="1"/>
  <c r="Y62" i="1" s="1"/>
  <c r="D108" i="9" s="1"/>
  <c r="AR52" i="1"/>
  <c r="AR67" i="1" s="1"/>
  <c r="I177" i="9" s="1"/>
  <c r="AT52" i="1"/>
  <c r="AT67" i="1" s="1"/>
  <c r="D209" i="9" s="1"/>
  <c r="I380" i="9"/>
  <c r="N48" i="1"/>
  <c r="N62" i="1" s="1"/>
  <c r="AH48" i="1"/>
  <c r="AH62" i="1" s="1"/>
  <c r="F140" i="9" s="1"/>
  <c r="AT48" i="1"/>
  <c r="AT62" i="1" s="1"/>
  <c r="BD48" i="1"/>
  <c r="BD62" i="1" s="1"/>
  <c r="G236" i="9" s="1"/>
  <c r="BP48" i="1"/>
  <c r="BP62" i="1" s="1"/>
  <c r="CA48" i="1"/>
  <c r="CA62" i="1" s="1"/>
  <c r="I332" i="9" s="1"/>
  <c r="C48" i="1"/>
  <c r="C62" i="1" s="1"/>
  <c r="AA48" i="1"/>
  <c r="AA62" i="1" s="1"/>
  <c r="F108" i="9" s="1"/>
  <c r="BW48" i="1"/>
  <c r="BW62" i="1" s="1"/>
  <c r="AG48" i="1"/>
  <c r="AG62" i="1" s="1"/>
  <c r="E140" i="9" s="1"/>
  <c r="BU48" i="1"/>
  <c r="BU62" i="1" s="1"/>
  <c r="C332" i="9" s="1"/>
  <c r="BQ48" i="1"/>
  <c r="BQ62" i="1" s="1"/>
  <c r="AM48" i="1"/>
  <c r="AM62" i="1" s="1"/>
  <c r="D172" i="9" s="1"/>
  <c r="AU48" i="1"/>
  <c r="AU62" i="1" s="1"/>
  <c r="E204" i="9" s="1"/>
  <c r="T48" i="1"/>
  <c r="T62" i="1" s="1"/>
  <c r="F76" i="9" s="1"/>
  <c r="B472" i="1"/>
  <c r="W48" i="1"/>
  <c r="W62" i="1" s="1"/>
  <c r="I76" i="9" s="1"/>
  <c r="BN48" i="1"/>
  <c r="BN62" i="1" s="1"/>
  <c r="C300" i="9" s="1"/>
  <c r="S48" i="1"/>
  <c r="S62" i="1" s="1"/>
  <c r="BM48" i="1"/>
  <c r="BM62" i="1" s="1"/>
  <c r="I268" i="9" s="1"/>
  <c r="P48" i="1"/>
  <c r="P62" i="1" s="1"/>
  <c r="I44" i="9" s="1"/>
  <c r="BF48" i="1"/>
  <c r="BF62" i="1" s="1"/>
  <c r="O48" i="1"/>
  <c r="O62" i="1" s="1"/>
  <c r="H44" i="9" s="1"/>
  <c r="X48" i="1"/>
  <c r="X62" i="1" s="1"/>
  <c r="F11" i="6"/>
  <c r="C472" i="1"/>
  <c r="R52" i="1"/>
  <c r="R67" i="1" s="1"/>
  <c r="J48" i="1"/>
  <c r="J62" i="1" s="1"/>
  <c r="BY48" i="1"/>
  <c r="BY62" i="1" s="1"/>
  <c r="BO48" i="1"/>
  <c r="BO62" i="1" s="1"/>
  <c r="D300" i="9" s="1"/>
  <c r="BA48" i="1"/>
  <c r="BA62" i="1" s="1"/>
  <c r="D236" i="9" s="1"/>
  <c r="BS48" i="1"/>
  <c r="BS62" i="1" s="1"/>
  <c r="BO52" i="1"/>
  <c r="BO67" i="1" s="1"/>
  <c r="D305" i="9" s="1"/>
  <c r="AJ48" i="1"/>
  <c r="AJ62" i="1" s="1"/>
  <c r="H140" i="9" s="1"/>
  <c r="AV48" i="1"/>
  <c r="AV62" i="1" s="1"/>
  <c r="AI48" i="1"/>
  <c r="AI62" i="1" s="1"/>
  <c r="BI52" i="1"/>
  <c r="BI67" i="1" s="1"/>
  <c r="AL48" i="1"/>
  <c r="AL62" i="1" s="1"/>
  <c r="BH48" i="1"/>
  <c r="BH62" i="1" s="1"/>
  <c r="BC48" i="1"/>
  <c r="BC62" i="1" s="1"/>
  <c r="F236" i="9" s="1"/>
  <c r="AB48" i="1"/>
  <c r="AB62" i="1" s="1"/>
  <c r="AF52" i="1"/>
  <c r="AF67" i="1" s="1"/>
  <c r="D145" i="9" s="1"/>
  <c r="W52" i="1"/>
  <c r="W67" i="1" s="1"/>
  <c r="BZ52" i="1"/>
  <c r="BZ67" i="1" s="1"/>
  <c r="H337" i="9" s="1"/>
  <c r="F12" i="6"/>
  <c r="C27" i="5"/>
  <c r="C446" i="1"/>
  <c r="D463" i="1"/>
  <c r="B473" i="1"/>
  <c r="C117" i="8"/>
  <c r="B435" i="1"/>
  <c r="C359" i="1"/>
  <c r="G142" i="1"/>
  <c r="D435" i="1"/>
  <c r="F332" i="9"/>
  <c r="AN52" i="1"/>
  <c r="AN67" i="1" s="1"/>
  <c r="J52" i="1"/>
  <c r="J67" i="1" s="1"/>
  <c r="J71" i="1" s="1"/>
  <c r="BG52" i="1"/>
  <c r="BG67" i="1" s="1"/>
  <c r="AJ52" i="1"/>
  <c r="AJ67" i="1" s="1"/>
  <c r="E52" i="1"/>
  <c r="E67" i="1" s="1"/>
  <c r="L52" i="1"/>
  <c r="L67" i="1" s="1"/>
  <c r="E49" i="9" s="1"/>
  <c r="AD52" i="1"/>
  <c r="AD67" i="1" s="1"/>
  <c r="AD71" i="1" s="1"/>
  <c r="BP52" i="1"/>
  <c r="BP67" i="1" s="1"/>
  <c r="AC52" i="1"/>
  <c r="AC67" i="1" s="1"/>
  <c r="BX52" i="1"/>
  <c r="BX67" i="1" s="1"/>
  <c r="F337" i="9" s="1"/>
  <c r="BT52" i="1"/>
  <c r="BT67" i="1" s="1"/>
  <c r="Z52" i="1"/>
  <c r="Z67" i="1" s="1"/>
  <c r="X52" i="1"/>
  <c r="X67" i="1" s="1"/>
  <c r="C113" i="9" s="1"/>
  <c r="AL52" i="1"/>
  <c r="AL67" i="1" s="1"/>
  <c r="AL71" i="1" s="1"/>
  <c r="BL52" i="1"/>
  <c r="BL67" i="1" s="1"/>
  <c r="AB52" i="1"/>
  <c r="AB67" i="1" s="1"/>
  <c r="G113" i="9" s="1"/>
  <c r="AV52" i="1"/>
  <c r="AV67" i="1" s="1"/>
  <c r="G108" i="9"/>
  <c r="F10" i="4"/>
  <c r="C360" i="1"/>
  <c r="D330" i="1"/>
  <c r="C86" i="8" s="1"/>
  <c r="C545" i="10"/>
  <c r="C618" i="10"/>
  <c r="C538" i="10"/>
  <c r="G538" i="10" s="1"/>
  <c r="BU52" i="1"/>
  <c r="BU67" i="1" s="1"/>
  <c r="C337" i="9" s="1"/>
  <c r="C52" i="1"/>
  <c r="C67" i="1" s="1"/>
  <c r="Q52" i="1"/>
  <c r="Q67" i="1" s="1"/>
  <c r="CA52" i="1"/>
  <c r="CA67" i="1" s="1"/>
  <c r="CA71" i="1" s="1"/>
  <c r="C204" i="9"/>
  <c r="C421" i="1"/>
  <c r="C440" i="1"/>
  <c r="BH52" i="1"/>
  <c r="BH67" i="1" s="1"/>
  <c r="BH71" i="1" s="1"/>
  <c r="C636" i="1" s="1"/>
  <c r="AH52" i="1"/>
  <c r="AH67" i="1" s="1"/>
  <c r="F145" i="9" s="1"/>
  <c r="AZ52" i="1"/>
  <c r="AZ67" i="1" s="1"/>
  <c r="C241" i="9" s="1"/>
  <c r="I52" i="1"/>
  <c r="I67" i="1" s="1"/>
  <c r="AG52" i="1"/>
  <c r="AG67" i="1" s="1"/>
  <c r="E145" i="9" s="1"/>
  <c r="N52" i="1"/>
  <c r="N67" i="1" s="1"/>
  <c r="BJ52" i="1"/>
  <c r="BJ67" i="1" s="1"/>
  <c r="V52" i="1"/>
  <c r="V67" i="1" s="1"/>
  <c r="O52" i="1"/>
  <c r="O67" i="1" s="1"/>
  <c r="BS52" i="1"/>
  <c r="BS67" i="1" s="1"/>
  <c r="BS71" i="1" s="1"/>
  <c r="C639" i="1" s="1"/>
  <c r="D612" i="1"/>
  <c r="AQ52" i="1"/>
  <c r="AQ67" i="1" s="1"/>
  <c r="AS52" i="1"/>
  <c r="AS67" i="1" s="1"/>
  <c r="AS71" i="1" s="1"/>
  <c r="C538" i="1" s="1"/>
  <c r="G538" i="1" s="1"/>
  <c r="Y52" i="1"/>
  <c r="Y67" i="1" s="1"/>
  <c r="BB52" i="1"/>
  <c r="BB67" i="1" s="1"/>
  <c r="P52" i="1"/>
  <c r="P67" i="1" s="1"/>
  <c r="U52" i="1"/>
  <c r="U67" i="1" s="1"/>
  <c r="U71" i="1" s="1"/>
  <c r="C514" i="1" s="1"/>
  <c r="G514" i="1" s="1"/>
  <c r="BK52" i="1"/>
  <c r="BK67" i="1" s="1"/>
  <c r="BK71" i="1" s="1"/>
  <c r="AU52" i="1"/>
  <c r="AU67" i="1" s="1"/>
  <c r="AI52" i="1"/>
  <c r="AI67" i="1" s="1"/>
  <c r="K52" i="1"/>
  <c r="K67" i="1" s="1"/>
  <c r="K71" i="1" s="1"/>
  <c r="C676" i="1" s="1"/>
  <c r="AO52" i="1"/>
  <c r="AO67" i="1" s="1"/>
  <c r="AP52" i="1"/>
  <c r="AP67" i="1" s="1"/>
  <c r="D436" i="1"/>
  <c r="C387" i="1"/>
  <c r="C389" i="1" s="1"/>
  <c r="D437" i="1"/>
  <c r="C388" i="1"/>
  <c r="C20" i="5"/>
  <c r="C385" i="1"/>
  <c r="C14" i="5"/>
  <c r="C379" i="1"/>
  <c r="C34" i="5"/>
  <c r="B447" i="1"/>
  <c r="C366" i="1"/>
  <c r="B445" i="1"/>
  <c r="C364" i="1"/>
  <c r="B444" i="1"/>
  <c r="C363" i="1"/>
  <c r="D428" i="1"/>
  <c r="D13" i="7"/>
  <c r="C475" i="1"/>
  <c r="C473" i="1"/>
  <c r="D268" i="9"/>
  <c r="F241" i="9"/>
  <c r="H236" i="9"/>
  <c r="C44" i="9"/>
  <c r="E300" i="9"/>
  <c r="G612" i="1"/>
  <c r="F9" i="6"/>
  <c r="C32" i="8"/>
  <c r="C474" i="1"/>
  <c r="C273" i="1"/>
  <c r="C469" i="1"/>
  <c r="C268" i="1"/>
  <c r="C27" i="8"/>
  <c r="B468" i="1"/>
  <c r="C570" i="10"/>
  <c r="C553" i="10"/>
  <c r="CF77" i="1"/>
  <c r="C575" i="1"/>
  <c r="F15" i="6"/>
  <c r="C626" i="10"/>
  <c r="C236" i="9"/>
  <c r="C531" i="10"/>
  <c r="G531" i="10" s="1"/>
  <c r="H531" i="10" s="1"/>
  <c r="I140" i="9"/>
  <c r="C470" i="1"/>
  <c r="I90" i="9"/>
  <c r="C625" i="10"/>
  <c r="F8" i="6"/>
  <c r="G10" i="4"/>
  <c r="C76" i="9"/>
  <c r="D76" i="9"/>
  <c r="H268" i="9"/>
  <c r="E172" i="9"/>
  <c r="BT71" i="1"/>
  <c r="I113" i="9"/>
  <c r="F204" i="9"/>
  <c r="G28" i="4"/>
  <c r="I362" i="9"/>
  <c r="D5" i="7"/>
  <c r="C643" i="10"/>
  <c r="D44" i="9"/>
  <c r="D186" i="9"/>
  <c r="F172" i="9"/>
  <c r="C695" i="10"/>
  <c r="C523" i="10"/>
  <c r="C672" i="10"/>
  <c r="C500" i="10"/>
  <c r="C616" i="10"/>
  <c r="C543" i="10"/>
  <c r="C638" i="10"/>
  <c r="C558" i="10"/>
  <c r="C698" i="10"/>
  <c r="C526" i="10"/>
  <c r="G515" i="10"/>
  <c r="H515" i="10" s="1"/>
  <c r="CE67" i="10"/>
  <c r="C71" i="10"/>
  <c r="G539" i="10"/>
  <c r="H539" i="10" s="1"/>
  <c r="G512" i="10"/>
  <c r="H512" i="10"/>
  <c r="C630" i="10"/>
  <c r="C546" i="10"/>
  <c r="H545" i="10"/>
  <c r="G545" i="10"/>
  <c r="C633" i="10"/>
  <c r="C548" i="10"/>
  <c r="C688" i="10"/>
  <c r="C516" i="10"/>
  <c r="C699" i="10"/>
  <c r="C527" i="10"/>
  <c r="C639" i="10"/>
  <c r="C564" i="10"/>
  <c r="G520" i="10"/>
  <c r="H520" i="10" s="1"/>
  <c r="CE52" i="10"/>
  <c r="C621" i="10"/>
  <c r="C561" i="10"/>
  <c r="C502" i="10"/>
  <c r="G502" i="10" s="1"/>
  <c r="C674" i="10"/>
  <c r="C704" i="10"/>
  <c r="C532" i="10"/>
  <c r="G529" i="10"/>
  <c r="H529" i="10" s="1"/>
  <c r="C669" i="10"/>
  <c r="C497" i="10"/>
  <c r="G497" i="10" s="1"/>
  <c r="C675" i="10"/>
  <c r="C503" i="10"/>
  <c r="G503" i="10" s="1"/>
  <c r="C700" i="10"/>
  <c r="C528" i="10"/>
  <c r="G528" i="10" s="1"/>
  <c r="C682" i="10"/>
  <c r="C510" i="10"/>
  <c r="C705" i="10"/>
  <c r="C533" i="10"/>
  <c r="G533" i="10" s="1"/>
  <c r="C534" i="10"/>
  <c r="G534" i="10" s="1"/>
  <c r="C706" i="10"/>
  <c r="C691" i="10"/>
  <c r="C519" i="10"/>
  <c r="C696" i="10"/>
  <c r="C524" i="10"/>
  <c r="G521" i="10"/>
  <c r="H521" i="10"/>
  <c r="G522" i="10"/>
  <c r="H522" i="10" s="1"/>
  <c r="G514" i="10"/>
  <c r="H514" i="10" s="1"/>
  <c r="C689" i="10"/>
  <c r="C517" i="10"/>
  <c r="C713" i="10"/>
  <c r="C541" i="10"/>
  <c r="C549" i="10"/>
  <c r="C624" i="10"/>
  <c r="C614" i="10"/>
  <c r="C550" i="10"/>
  <c r="C707" i="10"/>
  <c r="C535" i="10"/>
  <c r="G535" i="10" s="1"/>
  <c r="C712" i="10"/>
  <c r="C540" i="10"/>
  <c r="G540" i="10" s="1"/>
  <c r="C681" i="10"/>
  <c r="C509" i="10"/>
  <c r="C680" i="10"/>
  <c r="C508" i="10"/>
  <c r="G508" i="10" s="1"/>
  <c r="C631" i="10"/>
  <c r="C542" i="10"/>
  <c r="C641" i="10"/>
  <c r="C566" i="10"/>
  <c r="C647" i="10"/>
  <c r="C572" i="10"/>
  <c r="C551" i="10"/>
  <c r="C629" i="10"/>
  <c r="C635" i="10"/>
  <c r="C556" i="10"/>
  <c r="G498" i="10"/>
  <c r="H498" i="10" s="1"/>
  <c r="G537" i="10"/>
  <c r="H537" i="10" s="1"/>
  <c r="C501" i="10"/>
  <c r="C673" i="10"/>
  <c r="C640" i="10"/>
  <c r="C565" i="10"/>
  <c r="G530" i="10"/>
  <c r="H530" i="10" s="1"/>
  <c r="C690" i="10"/>
  <c r="C518" i="10"/>
  <c r="C683" i="10"/>
  <c r="C511" i="10"/>
  <c r="C637" i="10"/>
  <c r="C557" i="10"/>
  <c r="C697" i="10"/>
  <c r="C525" i="10"/>
  <c r="C573" i="10"/>
  <c r="C622" i="10"/>
  <c r="C574" i="10"/>
  <c r="C620" i="10"/>
  <c r="G513" i="10"/>
  <c r="H513" i="10"/>
  <c r="G544" i="10"/>
  <c r="H544" i="10" s="1"/>
  <c r="F209" i="9"/>
  <c r="I108" i="9"/>
  <c r="G332" i="9"/>
  <c r="G172" i="9"/>
  <c r="I236" i="9"/>
  <c r="C17" i="9"/>
  <c r="H204" i="9"/>
  <c r="D369" i="9"/>
  <c r="C172" i="9"/>
  <c r="G300" i="9"/>
  <c r="F44" i="9"/>
  <c r="B446" i="1"/>
  <c r="D242" i="1"/>
  <c r="F12" i="9"/>
  <c r="BW71" i="1"/>
  <c r="E12" i="9"/>
  <c r="C418" i="1"/>
  <c r="D438" i="1"/>
  <c r="F14" i="6"/>
  <c r="C471" i="1"/>
  <c r="F10" i="6"/>
  <c r="D339" i="1"/>
  <c r="D26" i="9"/>
  <c r="CE75" i="1"/>
  <c r="E337" i="9"/>
  <c r="I305" i="9"/>
  <c r="H49" i="9"/>
  <c r="F7" i="6"/>
  <c r="E204" i="1"/>
  <c r="C468" i="1"/>
  <c r="I383" i="9"/>
  <c r="D22" i="7"/>
  <c r="C40" i="5"/>
  <c r="C420" i="1"/>
  <c r="B28" i="4"/>
  <c r="F186" i="9"/>
  <c r="I204" i="9"/>
  <c r="H172" i="9"/>
  <c r="BD52" i="1"/>
  <c r="BD67" i="1" s="1"/>
  <c r="BD71" i="1" s="1"/>
  <c r="AM52" i="1"/>
  <c r="AM67" i="1" s="1"/>
  <c r="BF52" i="1"/>
  <c r="BF67" i="1" s="1"/>
  <c r="BF71" i="1" s="1"/>
  <c r="BQ52" i="1"/>
  <c r="BQ67" i="1" s="1"/>
  <c r="F52" i="1"/>
  <c r="F67" i="1" s="1"/>
  <c r="F71" i="1" s="1"/>
  <c r="BY52" i="1"/>
  <c r="BY67" i="1" s="1"/>
  <c r="AY52" i="1"/>
  <c r="AY67" i="1" s="1"/>
  <c r="AY71" i="1" s="1"/>
  <c r="BM52" i="1"/>
  <c r="BM67" i="1" s="1"/>
  <c r="CB52" i="1"/>
  <c r="CB67" i="1" s="1"/>
  <c r="AW52" i="1"/>
  <c r="AW67" i="1" s="1"/>
  <c r="AW71" i="1" s="1"/>
  <c r="C542" i="1" s="1"/>
  <c r="T52" i="1"/>
  <c r="T67" i="1" s="1"/>
  <c r="BN52" i="1"/>
  <c r="BN67" i="1" s="1"/>
  <c r="M52" i="1"/>
  <c r="M67" i="1" s="1"/>
  <c r="M71" i="1" s="1"/>
  <c r="AK52" i="1"/>
  <c r="AK67" i="1" s="1"/>
  <c r="AK71" i="1" s="1"/>
  <c r="C530" i="1" s="1"/>
  <c r="G530" i="1" s="1"/>
  <c r="BV52" i="1"/>
  <c r="BV67" i="1" s="1"/>
  <c r="D52" i="1"/>
  <c r="D67" i="1" s="1"/>
  <c r="AA52" i="1"/>
  <c r="AA67" i="1" s="1"/>
  <c r="AA71" i="1" s="1"/>
  <c r="BE52" i="1"/>
  <c r="BE67" i="1" s="1"/>
  <c r="BE71" i="1" s="1"/>
  <c r="AX52" i="1"/>
  <c r="AX67" i="1" s="1"/>
  <c r="G52" i="1"/>
  <c r="G67" i="1" s="1"/>
  <c r="G71" i="1" s="1"/>
  <c r="BR52" i="1"/>
  <c r="BR67" i="1" s="1"/>
  <c r="I376" i="9"/>
  <c r="C463" i="1"/>
  <c r="D58" i="9"/>
  <c r="G26" i="9"/>
  <c r="E217" i="1"/>
  <c r="C276" i="1" s="1"/>
  <c r="I384" i="9"/>
  <c r="L612" i="1"/>
  <c r="F218" i="9"/>
  <c r="D90" i="9"/>
  <c r="CC71" i="1"/>
  <c r="D464" i="1"/>
  <c r="D465" i="1" s="1"/>
  <c r="H154" i="9"/>
  <c r="I367" i="9"/>
  <c r="D434" i="1"/>
  <c r="C58" i="9"/>
  <c r="D361" i="1" l="1"/>
  <c r="D275" i="1"/>
  <c r="B476" i="1" s="1"/>
  <c r="F273" i="9"/>
  <c r="E81" i="9"/>
  <c r="D241" i="9"/>
  <c r="C209" i="9"/>
  <c r="AT71" i="1"/>
  <c r="E71" i="1"/>
  <c r="C670" i="1" s="1"/>
  <c r="D81" i="9"/>
  <c r="BI71" i="1"/>
  <c r="C634" i="1" s="1"/>
  <c r="T71" i="1"/>
  <c r="C513" i="1" s="1"/>
  <c r="G513" i="1" s="1"/>
  <c r="E332" i="9"/>
  <c r="D204" i="9"/>
  <c r="Y71" i="1"/>
  <c r="G204" i="9"/>
  <c r="CE67" i="1"/>
  <c r="E273" i="9"/>
  <c r="BZ71" i="1"/>
  <c r="C571" i="1" s="1"/>
  <c r="BM71" i="1"/>
  <c r="C558" i="1" s="1"/>
  <c r="C564" i="1"/>
  <c r="D332" i="9"/>
  <c r="H305" i="9"/>
  <c r="AR71" i="1"/>
  <c r="C537" i="1" s="1"/>
  <c r="G537" i="1" s="1"/>
  <c r="BC71" i="1"/>
  <c r="C633" i="1" s="1"/>
  <c r="AE71" i="1"/>
  <c r="C524" i="1" s="1"/>
  <c r="G524" i="1" s="1"/>
  <c r="CE62" i="1"/>
  <c r="D364" i="9"/>
  <c r="CE52" i="1"/>
  <c r="H309" i="9"/>
  <c r="AI71" i="1"/>
  <c r="G149" i="9" s="1"/>
  <c r="AV71" i="1"/>
  <c r="C713" i="1" s="1"/>
  <c r="E76" i="9"/>
  <c r="BA71" i="1"/>
  <c r="D245" i="9" s="1"/>
  <c r="AU71" i="1"/>
  <c r="E213" i="9" s="1"/>
  <c r="R71" i="1"/>
  <c r="C511" i="1" s="1"/>
  <c r="G511" i="1" s="1"/>
  <c r="H71" i="1"/>
  <c r="C501" i="1" s="1"/>
  <c r="G501" i="1" s="1"/>
  <c r="BR71" i="1"/>
  <c r="G309" i="9" s="1"/>
  <c r="BV71" i="1"/>
  <c r="C642" i="1" s="1"/>
  <c r="CB71" i="1"/>
  <c r="C573" i="1" s="1"/>
  <c r="E17" i="9"/>
  <c r="G140" i="9"/>
  <c r="E236" i="9"/>
  <c r="E241" i="9"/>
  <c r="AQ71" i="1"/>
  <c r="C708" i="1" s="1"/>
  <c r="CE48" i="1"/>
  <c r="BJ71" i="1"/>
  <c r="F277" i="9" s="1"/>
  <c r="BO71" i="1"/>
  <c r="D309" i="9" s="1"/>
  <c r="D71" i="1"/>
  <c r="C497" i="1" s="1"/>
  <c r="G497" i="1" s="1"/>
  <c r="BQ71" i="1"/>
  <c r="F309" i="9" s="1"/>
  <c r="BB71" i="1"/>
  <c r="C547" i="1" s="1"/>
  <c r="G44" i="9"/>
  <c r="AG71" i="1"/>
  <c r="E149" i="9" s="1"/>
  <c r="S71" i="1"/>
  <c r="E85" i="9" s="1"/>
  <c r="AN71" i="1"/>
  <c r="C533" i="1" s="1"/>
  <c r="G533" i="1" s="1"/>
  <c r="W71" i="1"/>
  <c r="I85" i="9" s="1"/>
  <c r="F300" i="9"/>
  <c r="AX71" i="1"/>
  <c r="C543" i="1" s="1"/>
  <c r="G49" i="9"/>
  <c r="F268" i="9"/>
  <c r="AF71" i="1"/>
  <c r="D149" i="9" s="1"/>
  <c r="I81" i="9"/>
  <c r="BP71" i="1"/>
  <c r="C561" i="1" s="1"/>
  <c r="C49" i="9"/>
  <c r="BN71" i="1"/>
  <c r="C559" i="1" s="1"/>
  <c r="C12" i="9"/>
  <c r="C71" i="1"/>
  <c r="C496" i="1" s="1"/>
  <c r="G496" i="1" s="1"/>
  <c r="AM71" i="1"/>
  <c r="C532" i="1" s="1"/>
  <c r="G532" i="1" s="1"/>
  <c r="BY71" i="1"/>
  <c r="C645" i="1" s="1"/>
  <c r="F218" i="1"/>
  <c r="C108" i="9"/>
  <c r="O71" i="1"/>
  <c r="C680" i="1" s="1"/>
  <c r="E177" i="9"/>
  <c r="AJ71" i="1"/>
  <c r="H149" i="9" s="1"/>
  <c r="H12" i="9"/>
  <c r="H300" i="9"/>
  <c r="AC71" i="1"/>
  <c r="C694" i="1" s="1"/>
  <c r="H273" i="9"/>
  <c r="C686" i="1"/>
  <c r="BL71" i="1"/>
  <c r="C637" i="1" s="1"/>
  <c r="H113" i="9"/>
  <c r="AB71" i="1"/>
  <c r="N71" i="1"/>
  <c r="C679" i="1" s="1"/>
  <c r="E305" i="9"/>
  <c r="G85" i="9"/>
  <c r="BU71" i="1"/>
  <c r="C566" i="1" s="1"/>
  <c r="BX71" i="1"/>
  <c r="C644" i="1" s="1"/>
  <c r="AP71" i="1"/>
  <c r="C535" i="1" s="1"/>
  <c r="G535" i="1" s="1"/>
  <c r="C675" i="1"/>
  <c r="C503" i="1"/>
  <c r="G503" i="1" s="1"/>
  <c r="F21" i="9"/>
  <c r="C671" i="1"/>
  <c r="C499" i="1"/>
  <c r="G499" i="1" s="1"/>
  <c r="C556" i="1"/>
  <c r="C635" i="1"/>
  <c r="I71" i="1"/>
  <c r="I49" i="9"/>
  <c r="P71" i="1"/>
  <c r="C681" i="1" s="1"/>
  <c r="X71" i="1"/>
  <c r="Z71" i="1"/>
  <c r="C519" i="1" s="1"/>
  <c r="G519" i="1" s="1"/>
  <c r="G277" i="9"/>
  <c r="AH71" i="1"/>
  <c r="F149" i="9" s="1"/>
  <c r="F177" i="9"/>
  <c r="AO71" i="1"/>
  <c r="V71" i="1"/>
  <c r="C515" i="1" s="1"/>
  <c r="G515" i="1" s="1"/>
  <c r="G213" i="9"/>
  <c r="C521" i="1"/>
  <c r="G521" i="1" s="1"/>
  <c r="Q71" i="1"/>
  <c r="C85" i="9" s="1"/>
  <c r="AZ71" i="1"/>
  <c r="L71" i="1"/>
  <c r="C677" i="1" s="1"/>
  <c r="C273" i="9"/>
  <c r="BG71" i="1"/>
  <c r="I149" i="9"/>
  <c r="H81" i="9"/>
  <c r="C702" i="1"/>
  <c r="B463" i="1"/>
  <c r="C110" i="8"/>
  <c r="D53" i="9"/>
  <c r="C504" i="1"/>
  <c r="G504" i="1" s="1"/>
  <c r="I17" i="9"/>
  <c r="C53" i="9"/>
  <c r="B439" i="1"/>
  <c r="C140" i="8"/>
  <c r="I337" i="9"/>
  <c r="G177" i="9"/>
  <c r="C81" i="9"/>
  <c r="C710" i="1"/>
  <c r="C213" i="9"/>
  <c r="G145" i="9"/>
  <c r="H177" i="9"/>
  <c r="B464" i="1"/>
  <c r="C111" i="8"/>
  <c r="H145" i="9"/>
  <c r="G273" i="9"/>
  <c r="D113" i="9"/>
  <c r="C428" i="1"/>
  <c r="E209" i="9"/>
  <c r="C668" i="1"/>
  <c r="E113" i="9"/>
  <c r="D49" i="9"/>
  <c r="G81" i="9"/>
  <c r="D273" i="9"/>
  <c r="C177" i="9"/>
  <c r="C112" i="8"/>
  <c r="B465" i="1"/>
  <c r="B437" i="1"/>
  <c r="C139" i="8"/>
  <c r="B428" i="1"/>
  <c r="C130" i="8"/>
  <c r="D390" i="1"/>
  <c r="B436" i="1"/>
  <c r="B438" i="1"/>
  <c r="B440" i="1" s="1"/>
  <c r="C138" i="8"/>
  <c r="C136" i="8"/>
  <c r="B434" i="1"/>
  <c r="C118" i="8"/>
  <c r="C447" i="1"/>
  <c r="C444" i="1"/>
  <c r="D367" i="1"/>
  <c r="C115" i="8"/>
  <c r="C445" i="1"/>
  <c r="C116" i="8"/>
  <c r="C631" i="1"/>
  <c r="C553" i="1"/>
  <c r="D277" i="9"/>
  <c r="D277" i="1"/>
  <c r="C33" i="8"/>
  <c r="B469" i="1"/>
  <c r="C26" i="8"/>
  <c r="C34" i="8"/>
  <c r="B478" i="1"/>
  <c r="C31" i="8"/>
  <c r="B474" i="1"/>
  <c r="H245" i="9"/>
  <c r="C550" i="1"/>
  <c r="G550" i="1" s="1"/>
  <c r="C614" i="1"/>
  <c r="C646" i="1"/>
  <c r="C698" i="1"/>
  <c r="C640" i="1"/>
  <c r="I309" i="9"/>
  <c r="C565" i="1"/>
  <c r="G245" i="9"/>
  <c r="C624" i="1"/>
  <c r="C549" i="1"/>
  <c r="C647" i="1"/>
  <c r="C572" i="1"/>
  <c r="I341" i="9"/>
  <c r="C512" i="1"/>
  <c r="G512" i="1" s="1"/>
  <c r="G525" i="10"/>
  <c r="H525" i="10" s="1"/>
  <c r="G509" i="10"/>
  <c r="H509" i="10" s="1"/>
  <c r="G532" i="10"/>
  <c r="H532" i="10"/>
  <c r="C668" i="10"/>
  <c r="C715" i="10" s="1"/>
  <c r="C496" i="10"/>
  <c r="G527" i="10"/>
  <c r="H527" i="10"/>
  <c r="G546" i="10"/>
  <c r="H546" i="10"/>
  <c r="C433" i="10"/>
  <c r="C441" i="10" s="1"/>
  <c r="CE71" i="10"/>
  <c r="C716" i="10" s="1"/>
  <c r="G524" i="10"/>
  <c r="H524" i="10" s="1"/>
  <c r="G511" i="10"/>
  <c r="H511" i="10" s="1"/>
  <c r="G517" i="10"/>
  <c r="H517" i="10" s="1"/>
  <c r="G510" i="10"/>
  <c r="H510" i="10" s="1"/>
  <c r="G500" i="10"/>
  <c r="H500" i="10" s="1"/>
  <c r="G516" i="10"/>
  <c r="H516" i="10" s="1"/>
  <c r="G550" i="10"/>
  <c r="H550" i="10" s="1"/>
  <c r="H519" i="10"/>
  <c r="G519" i="10"/>
  <c r="G526" i="10"/>
  <c r="H526" i="10" s="1"/>
  <c r="G523" i="10"/>
  <c r="H523" i="10" s="1"/>
  <c r="G501" i="10"/>
  <c r="H501" i="10" s="1"/>
  <c r="G518" i="10"/>
  <c r="H518" i="10" s="1"/>
  <c r="C648" i="10"/>
  <c r="M716" i="10" s="1"/>
  <c r="D615" i="10"/>
  <c r="B570" i="1"/>
  <c r="B523" i="1"/>
  <c r="B557" i="1"/>
  <c r="B509" i="1"/>
  <c r="B506" i="1"/>
  <c r="B513" i="1"/>
  <c r="B518" i="1"/>
  <c r="B543" i="1"/>
  <c r="B502" i="1"/>
  <c r="B564" i="1"/>
  <c r="B521" i="1"/>
  <c r="B534" i="1"/>
  <c r="B501" i="1"/>
  <c r="B519" i="1"/>
  <c r="B498" i="1"/>
  <c r="B515" i="1"/>
  <c r="B565" i="1"/>
  <c r="B526" i="1"/>
  <c r="B560" i="1"/>
  <c r="B572" i="1"/>
  <c r="B562" i="1"/>
  <c r="B558" i="1"/>
  <c r="B574" i="1"/>
  <c r="B573" i="1"/>
  <c r="B527" i="1"/>
  <c r="B540" i="1"/>
  <c r="H540" i="1" s="1"/>
  <c r="G17" i="9"/>
  <c r="I273" i="9"/>
  <c r="D27" i="7"/>
  <c r="B448" i="1"/>
  <c r="C620" i="1"/>
  <c r="C574" i="1"/>
  <c r="D373" i="9"/>
  <c r="H209" i="9"/>
  <c r="D337" i="9"/>
  <c r="F81" i="9"/>
  <c r="I209" i="9"/>
  <c r="I241" i="9"/>
  <c r="I378" i="9"/>
  <c r="K612" i="1"/>
  <c r="C465" i="1"/>
  <c r="C520" i="1"/>
  <c r="G520" i="1" s="1"/>
  <c r="C692" i="1"/>
  <c r="F117" i="9"/>
  <c r="C309" i="9"/>
  <c r="F32" i="6"/>
  <c r="C478" i="1"/>
  <c r="C305" i="9"/>
  <c r="C102" i="8"/>
  <c r="C482" i="1"/>
  <c r="C498" i="1"/>
  <c r="G498" i="1" s="1"/>
  <c r="H241" i="9"/>
  <c r="I145" i="9"/>
  <c r="G209" i="9"/>
  <c r="G337" i="9"/>
  <c r="D177" i="9"/>
  <c r="C476" i="1"/>
  <c r="F16" i="6"/>
  <c r="C672" i="1"/>
  <c r="C500" i="1"/>
  <c r="G500" i="1" s="1"/>
  <c r="G21" i="9"/>
  <c r="I245" i="9"/>
  <c r="C629" i="1"/>
  <c r="C551" i="1"/>
  <c r="C711" i="1"/>
  <c r="D213" i="9"/>
  <c r="C539" i="1"/>
  <c r="G539" i="1" s="1"/>
  <c r="D17" i="9"/>
  <c r="F305" i="9"/>
  <c r="C373" i="9"/>
  <c r="C181" i="9"/>
  <c r="C703" i="1"/>
  <c r="C531" i="1"/>
  <c r="G531" i="1" s="1"/>
  <c r="G305" i="9"/>
  <c r="F113" i="9"/>
  <c r="F49" i="9"/>
  <c r="C369" i="9"/>
  <c r="F17" i="9"/>
  <c r="G241" i="9"/>
  <c r="I213" i="9"/>
  <c r="C625" i="1"/>
  <c r="C544" i="1"/>
  <c r="G544" i="1" s="1"/>
  <c r="C568" i="1"/>
  <c r="C643" i="1"/>
  <c r="E341" i="9"/>
  <c r="C506" i="1"/>
  <c r="G506" i="1" s="1"/>
  <c r="F53" i="9"/>
  <c r="C678" i="1"/>
  <c r="C555" i="1"/>
  <c r="C523" i="1"/>
  <c r="G523" i="1" s="1"/>
  <c r="C695" i="1"/>
  <c r="I117" i="9"/>
  <c r="C617" i="1" l="1"/>
  <c r="E21" i="9"/>
  <c r="C546" i="1"/>
  <c r="G546" i="1" s="1"/>
  <c r="C687" i="1"/>
  <c r="I181" i="9"/>
  <c r="H181" i="9"/>
  <c r="C709" i="1"/>
  <c r="C540" i="1"/>
  <c r="G540" i="1" s="1"/>
  <c r="C616" i="1"/>
  <c r="C684" i="1"/>
  <c r="C638" i="1"/>
  <c r="C567" i="1"/>
  <c r="H341" i="9"/>
  <c r="D341" i="9"/>
  <c r="C619" i="1"/>
  <c r="D21" i="9"/>
  <c r="C704" i="1"/>
  <c r="H213" i="9"/>
  <c r="C669" i="1"/>
  <c r="D181" i="9"/>
  <c r="C699" i="1"/>
  <c r="C563" i="1"/>
  <c r="C691" i="1"/>
  <c r="C527" i="1"/>
  <c r="G527" i="1" s="1"/>
  <c r="C622" i="1"/>
  <c r="C536" i="1"/>
  <c r="G536" i="1" s="1"/>
  <c r="C522" i="1"/>
  <c r="G522" i="1" s="1"/>
  <c r="C21" i="9"/>
  <c r="C570" i="1"/>
  <c r="C526" i="1"/>
  <c r="G526" i="1" s="1"/>
  <c r="I277" i="9"/>
  <c r="C560" i="1"/>
  <c r="C705" i="1"/>
  <c r="C626" i="1"/>
  <c r="H85" i="9"/>
  <c r="C627" i="1"/>
  <c r="F245" i="9"/>
  <c r="C508" i="1"/>
  <c r="G508" i="1" s="1"/>
  <c r="F85" i="9"/>
  <c r="D85" i="9"/>
  <c r="I364" i="9"/>
  <c r="C505" i="1"/>
  <c r="G505" i="1" s="1"/>
  <c r="E53" i="9"/>
  <c r="C433" i="1"/>
  <c r="C441" i="1" s="1"/>
  <c r="C700" i="1"/>
  <c r="C685" i="1"/>
  <c r="C541" i="1"/>
  <c r="C696" i="1"/>
  <c r="C690" i="1"/>
  <c r="D117" i="9"/>
  <c r="C518" i="1"/>
  <c r="G518" i="1" s="1"/>
  <c r="G341" i="9"/>
  <c r="H53" i="9"/>
  <c r="C516" i="1"/>
  <c r="G516" i="1" s="1"/>
  <c r="H21" i="9"/>
  <c r="I369" i="9"/>
  <c r="C528" i="1"/>
  <c r="G528" i="1" s="1"/>
  <c r="H117" i="9"/>
  <c r="F213" i="9"/>
  <c r="C697" i="1"/>
  <c r="C683" i="1"/>
  <c r="C548" i="1"/>
  <c r="C630" i="1"/>
  <c r="E117" i="9"/>
  <c r="C554" i="1"/>
  <c r="C712" i="1"/>
  <c r="CE71" i="1"/>
  <c r="C673" i="1"/>
  <c r="C149" i="9"/>
  <c r="C525" i="1"/>
  <c r="G525" i="1" s="1"/>
  <c r="E277" i="9"/>
  <c r="C507" i="1"/>
  <c r="G507" i="1" s="1"/>
  <c r="G53" i="9"/>
  <c r="G181" i="9"/>
  <c r="C632" i="1"/>
  <c r="C682" i="1"/>
  <c r="C701" i="1"/>
  <c r="C623" i="1"/>
  <c r="C621" i="1"/>
  <c r="E245" i="9"/>
  <c r="E181" i="9"/>
  <c r="C529" i="1"/>
  <c r="G529" i="1" s="1"/>
  <c r="F341" i="9"/>
  <c r="E309" i="9"/>
  <c r="C562" i="1"/>
  <c r="C688" i="1"/>
  <c r="C569" i="1"/>
  <c r="C707" i="1"/>
  <c r="C557" i="1"/>
  <c r="H277" i="9"/>
  <c r="C510" i="1"/>
  <c r="G510" i="1" s="1"/>
  <c r="C341" i="9"/>
  <c r="C641" i="1"/>
  <c r="G117" i="9"/>
  <c r="C693" i="1"/>
  <c r="C618" i="1"/>
  <c r="C552" i="1"/>
  <c r="C277" i="9"/>
  <c r="C674" i="1"/>
  <c r="I21" i="9"/>
  <c r="C502" i="1"/>
  <c r="G502" i="1" s="1"/>
  <c r="I53" i="9"/>
  <c r="C509" i="1"/>
  <c r="G509" i="1" s="1"/>
  <c r="C545" i="1"/>
  <c r="G545" i="1" s="1"/>
  <c r="C245" i="9"/>
  <c r="C628" i="1"/>
  <c r="F181" i="9"/>
  <c r="C706" i="1"/>
  <c r="C534" i="1"/>
  <c r="G534" i="1" s="1"/>
  <c r="C117" i="9"/>
  <c r="C689" i="1"/>
  <c r="C517" i="1"/>
  <c r="G517" i="1" s="1"/>
  <c r="B441" i="1"/>
  <c r="C141" i="8"/>
  <c r="C119" i="8"/>
  <c r="C448" i="1"/>
  <c r="D368" i="1"/>
  <c r="D615" i="1"/>
  <c r="C35" i="8"/>
  <c r="D292" i="1"/>
  <c r="D710" i="10"/>
  <c r="D702" i="10"/>
  <c r="D716" i="10"/>
  <c r="D707" i="10"/>
  <c r="D699" i="10"/>
  <c r="D691" i="10"/>
  <c r="D683" i="10"/>
  <c r="D675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712" i="10"/>
  <c r="D704" i="10"/>
  <c r="D696" i="10"/>
  <c r="D688" i="10"/>
  <c r="D680" i="10"/>
  <c r="D672" i="10"/>
  <c r="D709" i="10"/>
  <c r="D701" i="10"/>
  <c r="D693" i="10"/>
  <c r="D685" i="10"/>
  <c r="D677" i="10"/>
  <c r="D669" i="10"/>
  <c r="D706" i="10"/>
  <c r="D698" i="10"/>
  <c r="D708" i="10"/>
  <c r="D700" i="10"/>
  <c r="D692" i="10"/>
  <c r="D684" i="10"/>
  <c r="D676" i="10"/>
  <c r="D668" i="10"/>
  <c r="D695" i="10"/>
  <c r="D681" i="10"/>
  <c r="D629" i="10"/>
  <c r="D626" i="10"/>
  <c r="D621" i="10"/>
  <c r="D617" i="10"/>
  <c r="D678" i="10"/>
  <c r="D646" i="10"/>
  <c r="D624" i="10"/>
  <c r="D703" i="10"/>
  <c r="D682" i="10"/>
  <c r="D620" i="10"/>
  <c r="D616" i="10"/>
  <c r="D697" i="10"/>
  <c r="D679" i="10"/>
  <c r="D627" i="10"/>
  <c r="D711" i="10"/>
  <c r="D689" i="10"/>
  <c r="D673" i="10"/>
  <c r="D623" i="10"/>
  <c r="D619" i="10"/>
  <c r="D705" i="10"/>
  <c r="D694" i="10"/>
  <c r="D686" i="10"/>
  <c r="D670" i="10"/>
  <c r="D647" i="10"/>
  <c r="D645" i="10"/>
  <c r="D625" i="10"/>
  <c r="D674" i="10"/>
  <c r="D713" i="10"/>
  <c r="D690" i="10"/>
  <c r="D622" i="10"/>
  <c r="D687" i="10"/>
  <c r="D628" i="10"/>
  <c r="D671" i="10"/>
  <c r="D618" i="10"/>
  <c r="F498" i="1"/>
  <c r="H498" i="1" s="1"/>
  <c r="G496" i="10"/>
  <c r="H496" i="10" s="1"/>
  <c r="B541" i="1"/>
  <c r="F540" i="1"/>
  <c r="B503" i="1"/>
  <c r="H503" i="1" s="1"/>
  <c r="B554" i="1"/>
  <c r="B522" i="1"/>
  <c r="B556" i="1"/>
  <c r="B555" i="1"/>
  <c r="B507" i="1"/>
  <c r="H507" i="1" s="1"/>
  <c r="B548" i="1"/>
  <c r="B500" i="1"/>
  <c r="B552" i="1"/>
  <c r="B524" i="1"/>
  <c r="B571" i="1"/>
  <c r="B536" i="1"/>
  <c r="B551" i="1"/>
  <c r="B561" i="1"/>
  <c r="B535" i="1"/>
  <c r="B517" i="1"/>
  <c r="B529" i="1"/>
  <c r="B550" i="1"/>
  <c r="B568" i="1"/>
  <c r="B504" i="1"/>
  <c r="F504" i="1" s="1"/>
  <c r="B563" i="1"/>
  <c r="B537" i="1"/>
  <c r="B512" i="1"/>
  <c r="B549" i="1"/>
  <c r="B520" i="1"/>
  <c r="B530" i="1"/>
  <c r="B569" i="1"/>
  <c r="B566" i="1"/>
  <c r="B544" i="1"/>
  <c r="B511" i="1"/>
  <c r="B545" i="1"/>
  <c r="B567" i="1"/>
  <c r="B553" i="1"/>
  <c r="B538" i="1"/>
  <c r="F538" i="1" s="1"/>
  <c r="B499" i="1"/>
  <c r="B539" i="1"/>
  <c r="B505" i="1"/>
  <c r="B531" i="1"/>
  <c r="B516" i="1"/>
  <c r="B525" i="1"/>
  <c r="F515" i="1"/>
  <c r="H515" i="1"/>
  <c r="B546" i="1"/>
  <c r="F546" i="1" s="1"/>
  <c r="B542" i="1"/>
  <c r="B547" i="1"/>
  <c r="B508" i="1"/>
  <c r="F508" i="1" s="1"/>
  <c r="B532" i="1"/>
  <c r="B533" i="1"/>
  <c r="B559" i="1"/>
  <c r="B510" i="1"/>
  <c r="F501" i="1"/>
  <c r="H501" i="1" s="1"/>
  <c r="B528" i="1"/>
  <c r="B514" i="1"/>
  <c r="F514" i="1" s="1"/>
  <c r="B497" i="1"/>
  <c r="F522" i="1"/>
  <c r="F513" i="1"/>
  <c r="H513" i="1"/>
  <c r="F534" i="1"/>
  <c r="H534" i="1"/>
  <c r="H502" i="1"/>
  <c r="F502" i="1"/>
  <c r="F512" i="1"/>
  <c r="H512" i="1"/>
  <c r="F526" i="1"/>
  <c r="F518" i="1"/>
  <c r="F506" i="1"/>
  <c r="H506" i="1"/>
  <c r="F509" i="1"/>
  <c r="F500" i="1" l="1"/>
  <c r="H500" i="1" s="1"/>
  <c r="H546" i="1"/>
  <c r="H518" i="1"/>
  <c r="H526" i="1"/>
  <c r="H509" i="1"/>
  <c r="H522" i="1"/>
  <c r="C715" i="1"/>
  <c r="C716" i="1"/>
  <c r="I373" i="9"/>
  <c r="C648" i="1"/>
  <c r="M716" i="1" s="1"/>
  <c r="H538" i="1"/>
  <c r="H504" i="1"/>
  <c r="H508" i="1"/>
  <c r="C120" i="8"/>
  <c r="D373" i="1"/>
  <c r="F510" i="1"/>
  <c r="H510" i="1" s="1"/>
  <c r="D341" i="1"/>
  <c r="C481" i="1" s="1"/>
  <c r="C50" i="8"/>
  <c r="D629" i="1"/>
  <c r="D692" i="1"/>
  <c r="D634" i="1"/>
  <c r="D704" i="1"/>
  <c r="D691" i="1"/>
  <c r="D623" i="1"/>
  <c r="D670" i="1"/>
  <c r="D705" i="1"/>
  <c r="D640" i="1"/>
  <c r="D675" i="1"/>
  <c r="D712" i="1"/>
  <c r="D706" i="1"/>
  <c r="D696" i="1"/>
  <c r="D679" i="1"/>
  <c r="D710" i="1"/>
  <c r="D642" i="1"/>
  <c r="D641" i="1"/>
  <c r="D697" i="1"/>
  <c r="D643" i="1"/>
  <c r="D709" i="1"/>
  <c r="D708" i="1"/>
  <c r="D707" i="1"/>
  <c r="D683" i="1"/>
  <c r="D713" i="1"/>
  <c r="D693" i="1"/>
  <c r="D647" i="1"/>
  <c r="D681" i="1"/>
  <c r="D684" i="1"/>
  <c r="D626" i="1"/>
  <c r="D680" i="1"/>
  <c r="D695" i="1"/>
  <c r="D694" i="1"/>
  <c r="D644" i="1"/>
  <c r="D620" i="1"/>
  <c r="D622" i="1"/>
  <c r="D638" i="1"/>
  <c r="D639" i="1"/>
  <c r="D673" i="1"/>
  <c r="D686" i="1"/>
  <c r="D627" i="1"/>
  <c r="D711" i="1"/>
  <c r="D689" i="1"/>
  <c r="D630" i="1"/>
  <c r="D678" i="1"/>
  <c r="D676" i="1"/>
  <c r="D646" i="1"/>
  <c r="D672" i="1"/>
  <c r="D632" i="1"/>
  <c r="D668" i="1"/>
  <c r="D674" i="1"/>
  <c r="D633" i="1"/>
  <c r="D685" i="1"/>
  <c r="D619" i="1"/>
  <c r="D636" i="1"/>
  <c r="D688" i="1"/>
  <c r="D637" i="1"/>
  <c r="D624" i="1"/>
  <c r="D698" i="1"/>
  <c r="D618" i="1"/>
  <c r="D635" i="1"/>
  <c r="D617" i="1"/>
  <c r="D716" i="1"/>
  <c r="D702" i="1"/>
  <c r="D625" i="1"/>
  <c r="D687" i="1"/>
  <c r="D671" i="1"/>
  <c r="D645" i="1"/>
  <c r="D669" i="1"/>
  <c r="D700" i="1"/>
  <c r="D703" i="1"/>
  <c r="D628" i="1"/>
  <c r="D677" i="1"/>
  <c r="D699" i="1"/>
  <c r="D621" i="1"/>
  <c r="D631" i="1"/>
  <c r="D701" i="1"/>
  <c r="D682" i="1"/>
  <c r="D690" i="1"/>
  <c r="D616" i="1"/>
  <c r="F503" i="1"/>
  <c r="D715" i="10"/>
  <c r="E623" i="10"/>
  <c r="F507" i="1"/>
  <c r="E612" i="10"/>
  <c r="F499" i="1"/>
  <c r="H499" i="1"/>
  <c r="H536" i="1"/>
  <c r="F536" i="1"/>
  <c r="H505" i="1"/>
  <c r="F505" i="1"/>
  <c r="B496" i="1"/>
  <c r="F516" i="1"/>
  <c r="H516" i="1" s="1"/>
  <c r="F511" i="1"/>
  <c r="H511" i="1" s="1"/>
  <c r="F517" i="1"/>
  <c r="H517" i="1" s="1"/>
  <c r="H514" i="1"/>
  <c r="F530" i="1"/>
  <c r="H530" i="1" s="1"/>
  <c r="F524" i="1"/>
  <c r="H524" i="1" s="1"/>
  <c r="H497" i="1"/>
  <c r="F497" i="1"/>
  <c r="H528" i="1"/>
  <c r="F528" i="1"/>
  <c r="H532" i="1"/>
  <c r="F532" i="1"/>
  <c r="F520" i="1"/>
  <c r="H520" i="1" s="1"/>
  <c r="F550" i="1"/>
  <c r="H550" i="1" s="1"/>
  <c r="F544" i="1"/>
  <c r="H544" i="1"/>
  <c r="F545" i="1"/>
  <c r="H545" i="1" s="1"/>
  <c r="F525" i="1"/>
  <c r="H525" i="1" s="1"/>
  <c r="F529" i="1"/>
  <c r="H529" i="1" s="1"/>
  <c r="F521" i="1"/>
  <c r="H521" i="1"/>
  <c r="H535" i="1"/>
  <c r="F535" i="1"/>
  <c r="H533" i="1"/>
  <c r="F533" i="1"/>
  <c r="F527" i="1"/>
  <c r="H527" i="1" s="1"/>
  <c r="F539" i="1"/>
  <c r="H539" i="1"/>
  <c r="F519" i="1"/>
  <c r="H519" i="1"/>
  <c r="F523" i="1"/>
  <c r="H523" i="1" s="1"/>
  <c r="F537" i="1"/>
  <c r="H537" i="1" s="1"/>
  <c r="F531" i="1"/>
  <c r="H531" i="1" s="1"/>
  <c r="E612" i="1" l="1"/>
  <c r="D715" i="1"/>
  <c r="E623" i="1"/>
  <c r="C126" i="8"/>
  <c r="D391" i="1"/>
  <c r="E716" i="10"/>
  <c r="E707" i="10"/>
  <c r="E699" i="10"/>
  <c r="E712" i="10"/>
  <c r="E704" i="10"/>
  <c r="E696" i="10"/>
  <c r="E688" i="10"/>
  <c r="E680" i="10"/>
  <c r="E672" i="10"/>
  <c r="E709" i="10"/>
  <c r="E701" i="10"/>
  <c r="E693" i="10"/>
  <c r="E685" i="10"/>
  <c r="E677" i="10"/>
  <c r="E669" i="10"/>
  <c r="E706" i="10"/>
  <c r="E698" i="10"/>
  <c r="E690" i="10"/>
  <c r="E682" i="10"/>
  <c r="E674" i="10"/>
  <c r="E711" i="10"/>
  <c r="E703" i="10"/>
  <c r="E695" i="10"/>
  <c r="E713" i="10"/>
  <c r="E705" i="10"/>
  <c r="E697" i="10"/>
  <c r="E689" i="10"/>
  <c r="E681" i="10"/>
  <c r="E673" i="10"/>
  <c r="E678" i="10"/>
  <c r="E646" i="10"/>
  <c r="E624" i="10"/>
  <c r="E691" i="10"/>
  <c r="E675" i="10"/>
  <c r="E644" i="10"/>
  <c r="E642" i="10"/>
  <c r="E640" i="10"/>
  <c r="E638" i="10"/>
  <c r="E636" i="10"/>
  <c r="E634" i="10"/>
  <c r="E632" i="10"/>
  <c r="E700" i="10"/>
  <c r="E679" i="10"/>
  <c r="E630" i="10"/>
  <c r="E627" i="10"/>
  <c r="E676" i="10"/>
  <c r="E708" i="10"/>
  <c r="E694" i="10"/>
  <c r="E692" i="10"/>
  <c r="E686" i="10"/>
  <c r="E670" i="10"/>
  <c r="E647" i="10"/>
  <c r="E645" i="10"/>
  <c r="E625" i="10"/>
  <c r="E702" i="10"/>
  <c r="E683" i="10"/>
  <c r="E643" i="10"/>
  <c r="E641" i="10"/>
  <c r="E639" i="10"/>
  <c r="E637" i="10"/>
  <c r="E635" i="10"/>
  <c r="E633" i="10"/>
  <c r="E631" i="10"/>
  <c r="E628" i="10"/>
  <c r="E668" i="10"/>
  <c r="E626" i="10"/>
  <c r="E710" i="10"/>
  <c r="E684" i="10"/>
  <c r="E671" i="10"/>
  <c r="E629" i="10"/>
  <c r="E687" i="10"/>
  <c r="F496" i="1"/>
  <c r="H496" i="1"/>
  <c r="E680" i="1" l="1"/>
  <c r="E643" i="1"/>
  <c r="E694" i="1"/>
  <c r="E712" i="1"/>
  <c r="E692" i="1"/>
  <c r="E716" i="1"/>
  <c r="E693" i="1"/>
  <c r="E701" i="1"/>
  <c r="E699" i="1"/>
  <c r="E708" i="1"/>
  <c r="E674" i="1"/>
  <c r="E644" i="1"/>
  <c r="E640" i="1"/>
  <c r="E673" i="1"/>
  <c r="E686" i="1"/>
  <c r="E626" i="1"/>
  <c r="E627" i="1"/>
  <c r="E631" i="1"/>
  <c r="E700" i="1"/>
  <c r="E634" i="1"/>
  <c r="E704" i="1"/>
  <c r="E684" i="1"/>
  <c r="E705" i="1"/>
  <c r="E681" i="1"/>
  <c r="E711" i="1"/>
  <c r="E672" i="1"/>
  <c r="E668" i="1"/>
  <c r="E633" i="1"/>
  <c r="E638" i="1"/>
  <c r="E625" i="1"/>
  <c r="E637" i="1"/>
  <c r="E682" i="1"/>
  <c r="E646" i="1"/>
  <c r="E677" i="1"/>
  <c r="E698" i="1"/>
  <c r="E647" i="1"/>
  <c r="E630" i="1"/>
  <c r="E675" i="1"/>
  <c r="E696" i="1"/>
  <c r="E669" i="1"/>
  <c r="E703" i="1"/>
  <c r="E676" i="1"/>
  <c r="E695" i="1"/>
  <c r="E645" i="1"/>
  <c r="E683" i="1"/>
  <c r="E710" i="1"/>
  <c r="E688" i="1"/>
  <c r="E641" i="1"/>
  <c r="E624" i="1"/>
  <c r="F624" i="1" s="1"/>
  <c r="F700" i="1" s="1"/>
  <c r="E697" i="1"/>
  <c r="E685" i="1"/>
  <c r="E639" i="1"/>
  <c r="E709" i="1"/>
  <c r="E679" i="1"/>
  <c r="E689" i="1"/>
  <c r="E629" i="1"/>
  <c r="E702" i="1"/>
  <c r="E671" i="1"/>
  <c r="E642" i="1"/>
  <c r="E635" i="1"/>
  <c r="E691" i="1"/>
  <c r="E687" i="1"/>
  <c r="E670" i="1"/>
  <c r="E706" i="1"/>
  <c r="E628" i="1"/>
  <c r="E707" i="1"/>
  <c r="E636" i="1"/>
  <c r="E713" i="1"/>
  <c r="E678" i="1"/>
  <c r="E690" i="1"/>
  <c r="E632" i="1"/>
  <c r="F642" i="1"/>
  <c r="F641" i="1"/>
  <c r="F637" i="1"/>
  <c r="F702" i="1"/>
  <c r="F695" i="1"/>
  <c r="F699" i="1"/>
  <c r="C142" i="8"/>
  <c r="D393" i="1"/>
  <c r="E715" i="10"/>
  <c r="F624" i="10"/>
  <c r="F639" i="1" l="1"/>
  <c r="F647" i="1"/>
  <c r="F692" i="1"/>
  <c r="F631" i="1"/>
  <c r="F635" i="1"/>
  <c r="F677" i="1"/>
  <c r="F632" i="1"/>
  <c r="F670" i="1"/>
  <c r="F633" i="1"/>
  <c r="F690" i="1"/>
  <c r="F708" i="1"/>
  <c r="F625" i="1"/>
  <c r="F696" i="1"/>
  <c r="F689" i="1"/>
  <c r="F712" i="1"/>
  <c r="F671" i="1"/>
  <c r="F643" i="1"/>
  <c r="F668" i="1"/>
  <c r="F640" i="1"/>
  <c r="F628" i="1"/>
  <c r="F709" i="1"/>
  <c r="F697" i="1"/>
  <c r="F710" i="1"/>
  <c r="F704" i="1"/>
  <c r="F680" i="1"/>
  <c r="F706" i="1"/>
  <c r="F675" i="1"/>
  <c r="F672" i="1"/>
  <c r="F707" i="1"/>
  <c r="G625" i="1"/>
  <c r="F626" i="1"/>
  <c r="F674" i="1"/>
  <c r="F638" i="1"/>
  <c r="F683" i="1"/>
  <c r="F682" i="1"/>
  <c r="F716" i="1"/>
  <c r="F676" i="1"/>
  <c r="F636" i="1"/>
  <c r="F644" i="1"/>
  <c r="F646" i="1"/>
  <c r="F678" i="1"/>
  <c r="F627" i="1"/>
  <c r="F685" i="1"/>
  <c r="F679" i="1"/>
  <c r="F687" i="1"/>
  <c r="F701" i="1"/>
  <c r="F645" i="1"/>
  <c r="F688" i="1"/>
  <c r="F634" i="1"/>
  <c r="F629" i="1"/>
  <c r="F713" i="1"/>
  <c r="F705" i="1"/>
  <c r="F693" i="1"/>
  <c r="F669" i="1"/>
  <c r="F711" i="1"/>
  <c r="F630" i="1"/>
  <c r="F681" i="1"/>
  <c r="F691" i="1"/>
  <c r="F686" i="1"/>
  <c r="F698" i="1"/>
  <c r="F673" i="1"/>
  <c r="F703" i="1"/>
  <c r="F694" i="1"/>
  <c r="F684" i="1"/>
  <c r="E715" i="1"/>
  <c r="D396" i="1"/>
  <c r="C151" i="8" s="1"/>
  <c r="C146" i="8"/>
  <c r="F712" i="10"/>
  <c r="F704" i="10"/>
  <c r="F696" i="10"/>
  <c r="F709" i="10"/>
  <c r="F701" i="10"/>
  <c r="F693" i="10"/>
  <c r="F685" i="10"/>
  <c r="F677" i="10"/>
  <c r="F669" i="10"/>
  <c r="F706" i="10"/>
  <c r="F698" i="10"/>
  <c r="F690" i="10"/>
  <c r="F682" i="10"/>
  <c r="F674" i="10"/>
  <c r="F711" i="10"/>
  <c r="F703" i="10"/>
  <c r="F695" i="10"/>
  <c r="F687" i="10"/>
  <c r="F679" i="10"/>
  <c r="F671" i="10"/>
  <c r="F708" i="10"/>
  <c r="F700" i="10"/>
  <c r="F692" i="10"/>
  <c r="F710" i="10"/>
  <c r="F702" i="10"/>
  <c r="F694" i="10"/>
  <c r="F686" i="10"/>
  <c r="F678" i="10"/>
  <c r="F670" i="10"/>
  <c r="F647" i="10"/>
  <c r="F646" i="10"/>
  <c r="F645" i="10"/>
  <c r="F629" i="10"/>
  <c r="F691" i="10"/>
  <c r="F675" i="10"/>
  <c r="F644" i="10"/>
  <c r="F642" i="10"/>
  <c r="F640" i="10"/>
  <c r="F638" i="10"/>
  <c r="F636" i="10"/>
  <c r="F634" i="10"/>
  <c r="F632" i="10"/>
  <c r="F716" i="10"/>
  <c r="F688" i="10"/>
  <c r="F672" i="10"/>
  <c r="F630" i="10"/>
  <c r="F627" i="10"/>
  <c r="F697" i="10"/>
  <c r="F676" i="10"/>
  <c r="F689" i="10"/>
  <c r="F673" i="10"/>
  <c r="F625" i="10"/>
  <c r="F705" i="10"/>
  <c r="F683" i="10"/>
  <c r="F643" i="10"/>
  <c r="F641" i="10"/>
  <c r="F639" i="10"/>
  <c r="F637" i="10"/>
  <c r="F635" i="10"/>
  <c r="F633" i="10"/>
  <c r="F631" i="10"/>
  <c r="F628" i="10"/>
  <c r="F699" i="10"/>
  <c r="F680" i="10"/>
  <c r="F713" i="10"/>
  <c r="F668" i="10"/>
  <c r="F626" i="10"/>
  <c r="F684" i="10"/>
  <c r="F707" i="10"/>
  <c r="F681" i="10"/>
  <c r="F715" i="1" l="1"/>
  <c r="G674" i="1"/>
  <c r="G700" i="1"/>
  <c r="G704" i="1"/>
  <c r="G638" i="1"/>
  <c r="G636" i="1"/>
  <c r="G643" i="1"/>
  <c r="G627" i="1"/>
  <c r="G681" i="1"/>
  <c r="G626" i="1"/>
  <c r="G712" i="1"/>
  <c r="G694" i="1"/>
  <c r="G630" i="1"/>
  <c r="G675" i="1"/>
  <c r="G633" i="1"/>
  <c r="G639" i="1"/>
  <c r="G670" i="1"/>
  <c r="G677" i="1"/>
  <c r="G679" i="1"/>
  <c r="G668" i="1"/>
  <c r="G644" i="1"/>
  <c r="G676" i="1"/>
  <c r="G692" i="1"/>
  <c r="G702" i="1"/>
  <c r="G711" i="1"/>
  <c r="G647" i="1"/>
  <c r="G713" i="1"/>
  <c r="G684" i="1"/>
  <c r="G642" i="1"/>
  <c r="G703" i="1"/>
  <c r="G685" i="1"/>
  <c r="G701" i="1"/>
  <c r="G641" i="1"/>
  <c r="G683" i="1"/>
  <c r="G706" i="1"/>
  <c r="G631" i="1"/>
  <c r="G671" i="1"/>
  <c r="G705" i="1"/>
  <c r="G688" i="1"/>
  <c r="G696" i="1"/>
  <c r="G716" i="1"/>
  <c r="G632" i="1"/>
  <c r="G628" i="1"/>
  <c r="G691" i="1"/>
  <c r="G698" i="1"/>
  <c r="G697" i="1"/>
  <c r="G629" i="1"/>
  <c r="G695" i="1"/>
  <c r="G693" i="1"/>
  <c r="G690" i="1"/>
  <c r="G710" i="1"/>
  <c r="G708" i="1"/>
  <c r="G669" i="1"/>
  <c r="G709" i="1"/>
  <c r="G686" i="1"/>
  <c r="G689" i="1"/>
  <c r="G637" i="1"/>
  <c r="G687" i="1"/>
  <c r="G640" i="1"/>
  <c r="G678" i="1"/>
  <c r="G682" i="1"/>
  <c r="G707" i="1"/>
  <c r="G635" i="1"/>
  <c r="G634" i="1"/>
  <c r="G699" i="1"/>
  <c r="G680" i="1"/>
  <c r="G672" i="1"/>
  <c r="G645" i="1"/>
  <c r="G646" i="1"/>
  <c r="G673" i="1"/>
  <c r="F715" i="10"/>
  <c r="G625" i="10"/>
  <c r="G715" i="1" l="1"/>
  <c r="H628" i="1"/>
  <c r="G709" i="10"/>
  <c r="G701" i="10"/>
  <c r="G706" i="10"/>
  <c r="G698" i="10"/>
  <c r="G690" i="10"/>
  <c r="G682" i="10"/>
  <c r="G674" i="10"/>
  <c r="G711" i="10"/>
  <c r="G703" i="10"/>
  <c r="G695" i="10"/>
  <c r="G687" i="10"/>
  <c r="G679" i="10"/>
  <c r="G671" i="10"/>
  <c r="G708" i="10"/>
  <c r="G700" i="10"/>
  <c r="G692" i="10"/>
  <c r="G684" i="10"/>
  <c r="G676" i="10"/>
  <c r="G668" i="10"/>
  <c r="G713" i="10"/>
  <c r="G705" i="10"/>
  <c r="G697" i="10"/>
  <c r="G716" i="10"/>
  <c r="G707" i="10"/>
  <c r="G699" i="10"/>
  <c r="G691" i="10"/>
  <c r="G683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693" i="10"/>
  <c r="G688" i="10"/>
  <c r="G672" i="10"/>
  <c r="G627" i="10"/>
  <c r="G712" i="10"/>
  <c r="G685" i="10"/>
  <c r="G669" i="10"/>
  <c r="G689" i="10"/>
  <c r="G673" i="10"/>
  <c r="G694" i="10"/>
  <c r="G686" i="10"/>
  <c r="G670" i="10"/>
  <c r="G647" i="10"/>
  <c r="G645" i="10"/>
  <c r="G628" i="10"/>
  <c r="G702" i="10"/>
  <c r="G680" i="10"/>
  <c r="G696" i="10"/>
  <c r="G677" i="10"/>
  <c r="G626" i="10"/>
  <c r="G710" i="10"/>
  <c r="G678" i="10"/>
  <c r="G646" i="10"/>
  <c r="G629" i="10"/>
  <c r="G704" i="10"/>
  <c r="G681" i="10"/>
  <c r="H699" i="1" l="1"/>
  <c r="H644" i="1"/>
  <c r="H679" i="1"/>
  <c r="H640" i="1"/>
  <c r="H670" i="1"/>
  <c r="H686" i="1"/>
  <c r="H712" i="1"/>
  <c r="H641" i="1"/>
  <c r="H702" i="1"/>
  <c r="H704" i="1"/>
  <c r="H684" i="1"/>
  <c r="H633" i="1"/>
  <c r="H634" i="1"/>
  <c r="H688" i="1"/>
  <c r="H691" i="1"/>
  <c r="H698" i="1"/>
  <c r="H632" i="1"/>
  <c r="H680" i="1"/>
  <c r="H675" i="1"/>
  <c r="H716" i="1"/>
  <c r="H638" i="1"/>
  <c r="H636" i="1"/>
  <c r="H647" i="1"/>
  <c r="H672" i="1"/>
  <c r="H631" i="1"/>
  <c r="H701" i="1"/>
  <c r="H639" i="1"/>
  <c r="H700" i="1"/>
  <c r="H692" i="1"/>
  <c r="H697" i="1"/>
  <c r="H637" i="1"/>
  <c r="H696" i="1"/>
  <c r="H642" i="1"/>
  <c r="H690" i="1"/>
  <c r="H693" i="1"/>
  <c r="H685" i="1"/>
  <c r="H695" i="1"/>
  <c r="H669" i="1"/>
  <c r="H682" i="1"/>
  <c r="H676" i="1"/>
  <c r="H643" i="1"/>
  <c r="H711" i="1"/>
  <c r="H707" i="1"/>
  <c r="H687" i="1"/>
  <c r="H709" i="1"/>
  <c r="H635" i="1"/>
  <c r="H630" i="1"/>
  <c r="H681" i="1"/>
  <c r="H629" i="1"/>
  <c r="H645" i="1"/>
  <c r="H705" i="1"/>
  <c r="H703" i="1"/>
  <c r="H671" i="1"/>
  <c r="H710" i="1"/>
  <c r="H694" i="1"/>
  <c r="H708" i="1"/>
  <c r="H678" i="1"/>
  <c r="H683" i="1"/>
  <c r="H677" i="1"/>
  <c r="H713" i="1"/>
  <c r="H668" i="1"/>
  <c r="H646" i="1"/>
  <c r="H674" i="1"/>
  <c r="H689" i="1"/>
  <c r="H673" i="1"/>
  <c r="H706" i="1"/>
  <c r="G715" i="10"/>
  <c r="H628" i="10"/>
  <c r="H715" i="1" l="1"/>
  <c r="I629" i="1"/>
  <c r="H706" i="10"/>
  <c r="H698" i="10"/>
  <c r="H711" i="10"/>
  <c r="H703" i="10"/>
  <c r="H695" i="10"/>
  <c r="H687" i="10"/>
  <c r="H679" i="10"/>
  <c r="H671" i="10"/>
  <c r="H708" i="10"/>
  <c r="H700" i="10"/>
  <c r="H692" i="10"/>
  <c r="H684" i="10"/>
  <c r="H676" i="10"/>
  <c r="H668" i="10"/>
  <c r="H713" i="10"/>
  <c r="H705" i="10"/>
  <c r="H697" i="10"/>
  <c r="H689" i="10"/>
  <c r="H681" i="10"/>
  <c r="H673" i="10"/>
  <c r="H710" i="10"/>
  <c r="H702" i="10"/>
  <c r="H694" i="10"/>
  <c r="H712" i="10"/>
  <c r="H704" i="10"/>
  <c r="H696" i="10"/>
  <c r="H688" i="10"/>
  <c r="H680" i="10"/>
  <c r="H672" i="10"/>
  <c r="H716" i="10"/>
  <c r="H685" i="10"/>
  <c r="H669" i="10"/>
  <c r="H630" i="10"/>
  <c r="H709" i="10"/>
  <c r="H682" i="10"/>
  <c r="H686" i="10"/>
  <c r="H670" i="10"/>
  <c r="H647" i="10"/>
  <c r="H645" i="10"/>
  <c r="H683" i="10"/>
  <c r="H643" i="10"/>
  <c r="H641" i="10"/>
  <c r="H639" i="10"/>
  <c r="H637" i="10"/>
  <c r="H635" i="10"/>
  <c r="H633" i="10"/>
  <c r="H631" i="10"/>
  <c r="H699" i="10"/>
  <c r="H677" i="10"/>
  <c r="H690" i="10"/>
  <c r="H674" i="10"/>
  <c r="H629" i="10"/>
  <c r="H701" i="10"/>
  <c r="H691" i="10"/>
  <c r="H640" i="10"/>
  <c r="H632" i="10"/>
  <c r="H678" i="10"/>
  <c r="H646" i="10"/>
  <c r="H638" i="10"/>
  <c r="H707" i="10"/>
  <c r="H675" i="10"/>
  <c r="H636" i="10"/>
  <c r="H644" i="10"/>
  <c r="H693" i="10"/>
  <c r="H642" i="10"/>
  <c r="H634" i="10"/>
  <c r="I668" i="1" l="1"/>
  <c r="I713" i="1"/>
  <c r="I685" i="1"/>
  <c r="I701" i="1"/>
  <c r="I695" i="1"/>
  <c r="I681" i="1"/>
  <c r="I677" i="1"/>
  <c r="I635" i="1"/>
  <c r="I675" i="1"/>
  <c r="I710" i="1"/>
  <c r="I703" i="1"/>
  <c r="I716" i="1"/>
  <c r="I694" i="1"/>
  <c r="I642" i="1"/>
  <c r="I709" i="1"/>
  <c r="I704" i="1"/>
  <c r="I684" i="1"/>
  <c r="I689" i="1"/>
  <c r="I683" i="1"/>
  <c r="I688" i="1"/>
  <c r="I643" i="1"/>
  <c r="I641" i="1"/>
  <c r="I697" i="1"/>
  <c r="I637" i="1"/>
  <c r="I711" i="1"/>
  <c r="I680" i="1"/>
  <c r="I699" i="1"/>
  <c r="I636" i="1"/>
  <c r="I632" i="1"/>
  <c r="I646" i="1"/>
  <c r="I682" i="1"/>
  <c r="I693" i="1"/>
  <c r="I633" i="1"/>
  <c r="I705" i="1"/>
  <c r="I630" i="1"/>
  <c r="I679" i="1"/>
  <c r="I672" i="1"/>
  <c r="I676" i="1"/>
  <c r="I678" i="1"/>
  <c r="I690" i="1"/>
  <c r="I644" i="1"/>
  <c r="I691" i="1"/>
  <c r="I712" i="1"/>
  <c r="I671" i="1"/>
  <c r="I640" i="1"/>
  <c r="I645" i="1"/>
  <c r="I674" i="1"/>
  <c r="I707" i="1"/>
  <c r="I634" i="1"/>
  <c r="I706" i="1"/>
  <c r="I638" i="1"/>
  <c r="I639" i="1"/>
  <c r="I702" i="1"/>
  <c r="I673" i="1"/>
  <c r="I708" i="1"/>
  <c r="I669" i="1"/>
  <c r="I631" i="1"/>
  <c r="I692" i="1"/>
  <c r="I670" i="1"/>
  <c r="I696" i="1"/>
  <c r="I698" i="1"/>
  <c r="I687" i="1"/>
  <c r="I686" i="1"/>
  <c r="I647" i="1"/>
  <c r="I700" i="1"/>
  <c r="H715" i="10"/>
  <c r="I629" i="10"/>
  <c r="I715" i="1" l="1"/>
  <c r="J630" i="1"/>
  <c r="I711" i="10"/>
  <c r="I703" i="10"/>
  <c r="I695" i="10"/>
  <c r="I708" i="10"/>
  <c r="I700" i="10"/>
  <c r="I692" i="10"/>
  <c r="I684" i="10"/>
  <c r="I676" i="10"/>
  <c r="I668" i="10"/>
  <c r="I713" i="10"/>
  <c r="I705" i="10"/>
  <c r="I697" i="10"/>
  <c r="I689" i="10"/>
  <c r="I681" i="10"/>
  <c r="I673" i="10"/>
  <c r="I710" i="10"/>
  <c r="I702" i="10"/>
  <c r="I694" i="10"/>
  <c r="I686" i="10"/>
  <c r="I678" i="10"/>
  <c r="I670" i="10"/>
  <c r="I647" i="10"/>
  <c r="I646" i="10"/>
  <c r="I645" i="10"/>
  <c r="I716" i="10"/>
  <c r="I707" i="10"/>
  <c r="I699" i="10"/>
  <c r="I691" i="10"/>
  <c r="I709" i="10"/>
  <c r="I701" i="10"/>
  <c r="I693" i="10"/>
  <c r="I685" i="10"/>
  <c r="I677" i="10"/>
  <c r="I669" i="10"/>
  <c r="I712" i="10"/>
  <c r="I682" i="10"/>
  <c r="I706" i="10"/>
  <c r="I679" i="10"/>
  <c r="I683" i="10"/>
  <c r="I643" i="10"/>
  <c r="I641" i="10"/>
  <c r="I639" i="10"/>
  <c r="I637" i="10"/>
  <c r="I635" i="10"/>
  <c r="I633" i="10"/>
  <c r="I631" i="10"/>
  <c r="I680" i="10"/>
  <c r="I696" i="10"/>
  <c r="I690" i="10"/>
  <c r="I674" i="10"/>
  <c r="I687" i="10"/>
  <c r="I671" i="10"/>
  <c r="I640" i="10"/>
  <c r="I632" i="10"/>
  <c r="I638" i="10"/>
  <c r="I698" i="10"/>
  <c r="I672" i="10"/>
  <c r="I630" i="10"/>
  <c r="I644" i="10"/>
  <c r="I636" i="10"/>
  <c r="I675" i="10"/>
  <c r="I704" i="10"/>
  <c r="I688" i="10"/>
  <c r="I642" i="10"/>
  <c r="I634" i="10"/>
  <c r="J646" i="1" l="1"/>
  <c r="J671" i="1"/>
  <c r="J668" i="1"/>
  <c r="J705" i="1"/>
  <c r="J640" i="1"/>
  <c r="J633" i="1"/>
  <c r="J645" i="1"/>
  <c r="J669" i="1"/>
  <c r="J674" i="1"/>
  <c r="J670" i="1"/>
  <c r="J641" i="1"/>
  <c r="J701" i="1"/>
  <c r="J702" i="1"/>
  <c r="J699" i="1"/>
  <c r="J698" i="1"/>
  <c r="J632" i="1"/>
  <c r="J680" i="1"/>
  <c r="J695" i="1"/>
  <c r="J706" i="1"/>
  <c r="J716" i="1"/>
  <c r="J636" i="1"/>
  <c r="J644" i="1"/>
  <c r="J691" i="1"/>
  <c r="J643" i="1"/>
  <c r="J708" i="1"/>
  <c r="J693" i="1"/>
  <c r="J642" i="1"/>
  <c r="J696" i="1"/>
  <c r="J685" i="1"/>
  <c r="J707" i="1"/>
  <c r="J687" i="1"/>
  <c r="J679" i="1"/>
  <c r="J689" i="1"/>
  <c r="J631" i="1"/>
  <c r="J677" i="1"/>
  <c r="J703" i="1"/>
  <c r="J676" i="1"/>
  <c r="J704" i="1"/>
  <c r="J635" i="1"/>
  <c r="J638" i="1"/>
  <c r="J634" i="1"/>
  <c r="J684" i="1"/>
  <c r="J700" i="1"/>
  <c r="J697" i="1"/>
  <c r="J678" i="1"/>
  <c r="J675" i="1"/>
  <c r="J639" i="1"/>
  <c r="J688" i="1"/>
  <c r="J682" i="1"/>
  <c r="J712" i="1"/>
  <c r="J647" i="1"/>
  <c r="J711" i="1"/>
  <c r="J692" i="1"/>
  <c r="J673" i="1"/>
  <c r="J710" i="1"/>
  <c r="J672" i="1"/>
  <c r="J637" i="1"/>
  <c r="J694" i="1"/>
  <c r="J709" i="1"/>
  <c r="J683" i="1"/>
  <c r="J686" i="1"/>
  <c r="J681" i="1"/>
  <c r="J713" i="1"/>
  <c r="J690" i="1"/>
  <c r="I715" i="10"/>
  <c r="J630" i="10"/>
  <c r="L647" i="1" l="1"/>
  <c r="L675" i="1" s="1"/>
  <c r="J715" i="1"/>
  <c r="L712" i="1"/>
  <c r="L688" i="1"/>
  <c r="L716" i="1"/>
  <c r="L698" i="1"/>
  <c r="L689" i="1"/>
  <c r="L672" i="1"/>
  <c r="L690" i="1"/>
  <c r="L669" i="1"/>
  <c r="L708" i="1"/>
  <c r="K644" i="1"/>
  <c r="J708" i="10"/>
  <c r="J700" i="10"/>
  <c r="J713" i="10"/>
  <c r="J705" i="10"/>
  <c r="J697" i="10"/>
  <c r="J689" i="10"/>
  <c r="J681" i="10"/>
  <c r="J673" i="10"/>
  <c r="J710" i="10"/>
  <c r="J702" i="10"/>
  <c r="J694" i="10"/>
  <c r="J686" i="10"/>
  <c r="J678" i="10"/>
  <c r="J670" i="10"/>
  <c r="J647" i="10"/>
  <c r="J646" i="10"/>
  <c r="J645" i="10"/>
  <c r="J716" i="10"/>
  <c r="J707" i="10"/>
  <c r="J699" i="10"/>
  <c r="J691" i="10"/>
  <c r="J683" i="10"/>
  <c r="J675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712" i="10"/>
  <c r="J704" i="10"/>
  <c r="J696" i="10"/>
  <c r="J706" i="10"/>
  <c r="J698" i="10"/>
  <c r="J690" i="10"/>
  <c r="J682" i="10"/>
  <c r="J674" i="10"/>
  <c r="J709" i="10"/>
  <c r="J679" i="10"/>
  <c r="J703" i="10"/>
  <c r="J676" i="10"/>
  <c r="J680" i="10"/>
  <c r="J711" i="10"/>
  <c r="J692" i="10"/>
  <c r="J677" i="10"/>
  <c r="J687" i="10"/>
  <c r="J671" i="10"/>
  <c r="J684" i="10"/>
  <c r="J668" i="10"/>
  <c r="J701" i="10"/>
  <c r="J688" i="10"/>
  <c r="J685" i="10"/>
  <c r="J672" i="10"/>
  <c r="J669" i="10"/>
  <c r="J695" i="10"/>
  <c r="J693" i="10"/>
  <c r="L677" i="1" l="1"/>
  <c r="L711" i="1"/>
  <c r="L678" i="1"/>
  <c r="L682" i="1"/>
  <c r="L701" i="1"/>
  <c r="L703" i="1"/>
  <c r="L704" i="1"/>
  <c r="L695" i="1"/>
  <c r="L691" i="1"/>
  <c r="L673" i="1"/>
  <c r="L693" i="1"/>
  <c r="L681" i="1"/>
  <c r="L670" i="1"/>
  <c r="L679" i="1"/>
  <c r="L696" i="1"/>
  <c r="L680" i="1"/>
  <c r="L700" i="1"/>
  <c r="L694" i="1"/>
  <c r="L706" i="1"/>
  <c r="L671" i="1"/>
  <c r="L699" i="1"/>
  <c r="L676" i="1"/>
  <c r="L710" i="1"/>
  <c r="L674" i="1"/>
  <c r="L715" i="1" s="1"/>
  <c r="L668" i="1"/>
  <c r="L709" i="1"/>
  <c r="L697" i="1"/>
  <c r="L705" i="1"/>
  <c r="L685" i="1"/>
  <c r="L707" i="1"/>
  <c r="L702" i="1"/>
  <c r="L683" i="1"/>
  <c r="L687" i="1"/>
  <c r="L684" i="1"/>
  <c r="L692" i="1"/>
  <c r="L686" i="1"/>
  <c r="L713" i="1"/>
  <c r="M706" i="1"/>
  <c r="K716" i="1"/>
  <c r="K699" i="1"/>
  <c r="K695" i="1"/>
  <c r="K691" i="1"/>
  <c r="M691" i="1" s="1"/>
  <c r="K674" i="1"/>
  <c r="K690" i="1"/>
  <c r="M690" i="1" s="1"/>
  <c r="K678" i="1"/>
  <c r="M678" i="1" s="1"/>
  <c r="K706" i="1"/>
  <c r="K693" i="1"/>
  <c r="M693" i="1" s="1"/>
  <c r="K683" i="1"/>
  <c r="K687" i="1"/>
  <c r="M687" i="1" s="1"/>
  <c r="K709" i="1"/>
  <c r="M709" i="1" s="1"/>
  <c r="K688" i="1"/>
  <c r="M688" i="1" s="1"/>
  <c r="K697" i="1"/>
  <c r="M697" i="1" s="1"/>
  <c r="K679" i="1"/>
  <c r="K671" i="1"/>
  <c r="K707" i="1"/>
  <c r="M707" i="1" s="1"/>
  <c r="K694" i="1"/>
  <c r="M694" i="1" s="1"/>
  <c r="K696" i="1"/>
  <c r="M696" i="1" s="1"/>
  <c r="K710" i="1"/>
  <c r="K668" i="1"/>
  <c r="M668" i="1" s="1"/>
  <c r="K698" i="1"/>
  <c r="M698" i="1" s="1"/>
  <c r="K669" i="1"/>
  <c r="M669" i="1" s="1"/>
  <c r="K703" i="1"/>
  <c r="K684" i="1"/>
  <c r="M684" i="1" s="1"/>
  <c r="K692" i="1"/>
  <c r="M692" i="1" s="1"/>
  <c r="K704" i="1"/>
  <c r="M704" i="1" s="1"/>
  <c r="K670" i="1"/>
  <c r="M670" i="1" s="1"/>
  <c r="K689" i="1"/>
  <c r="M689" i="1" s="1"/>
  <c r="K681" i="1"/>
  <c r="M681" i="1" s="1"/>
  <c r="K682" i="1"/>
  <c r="M682" i="1" s="1"/>
  <c r="K685" i="1"/>
  <c r="M685" i="1" s="1"/>
  <c r="K700" i="1"/>
  <c r="M700" i="1" s="1"/>
  <c r="K680" i="1"/>
  <c r="K712" i="1"/>
  <c r="M712" i="1" s="1"/>
  <c r="K672" i="1"/>
  <c r="M672" i="1" s="1"/>
  <c r="K686" i="1"/>
  <c r="M686" i="1" s="1"/>
  <c r="K702" i="1"/>
  <c r="M702" i="1" s="1"/>
  <c r="K708" i="1"/>
  <c r="M708" i="1" s="1"/>
  <c r="K705" i="1"/>
  <c r="M705" i="1" s="1"/>
  <c r="K701" i="1"/>
  <c r="M701" i="1" s="1"/>
  <c r="K675" i="1"/>
  <c r="M675" i="1" s="1"/>
  <c r="K677" i="1"/>
  <c r="M677" i="1" s="1"/>
  <c r="K713" i="1"/>
  <c r="M713" i="1" s="1"/>
  <c r="K711" i="1"/>
  <c r="M711" i="1" s="1"/>
  <c r="K673" i="1"/>
  <c r="M673" i="1" s="1"/>
  <c r="K676" i="1"/>
  <c r="M676" i="1" s="1"/>
  <c r="M671" i="1"/>
  <c r="M679" i="1"/>
  <c r="M710" i="1"/>
  <c r="M703" i="1"/>
  <c r="K644" i="10"/>
  <c r="K697" i="10" s="1"/>
  <c r="L647" i="10"/>
  <c r="J715" i="10"/>
  <c r="K694" i="10"/>
  <c r="K709" i="10"/>
  <c r="K671" i="10"/>
  <c r="K708" i="10"/>
  <c r="K669" i="10"/>
  <c r="K682" i="10"/>
  <c r="M674" i="1" l="1"/>
  <c r="M695" i="1"/>
  <c r="M680" i="1"/>
  <c r="M683" i="1"/>
  <c r="M699" i="1"/>
  <c r="K677" i="10"/>
  <c r="K679" i="10"/>
  <c r="K680" i="10"/>
  <c r="K710" i="10"/>
  <c r="K698" i="10"/>
  <c r="K685" i="10"/>
  <c r="K692" i="10"/>
  <c r="K687" i="10"/>
  <c r="K696" i="10"/>
  <c r="K705" i="10"/>
  <c r="K681" i="10"/>
  <c r="K673" i="10"/>
  <c r="K695" i="10"/>
  <c r="K712" i="10"/>
  <c r="K668" i="10"/>
  <c r="K689" i="10"/>
  <c r="K703" i="10"/>
  <c r="K683" i="10"/>
  <c r="K684" i="10"/>
  <c r="K700" i="10"/>
  <c r="K711" i="10"/>
  <c r="K699" i="10"/>
  <c r="K674" i="10"/>
  <c r="K676" i="10"/>
  <c r="K693" i="10"/>
  <c r="K716" i="10"/>
  <c r="K690" i="10"/>
  <c r="K706" i="10"/>
  <c r="K701" i="10"/>
  <c r="K678" i="10"/>
  <c r="H55" i="9"/>
  <c r="E151" i="9"/>
  <c r="E119" i="9"/>
  <c r="D215" i="9"/>
  <c r="I119" i="9"/>
  <c r="F119" i="9"/>
  <c r="E55" i="9"/>
  <c r="C87" i="9"/>
  <c r="I87" i="9"/>
  <c r="C55" i="9"/>
  <c r="H119" i="9"/>
  <c r="D119" i="9"/>
  <c r="D183" i="9"/>
  <c r="F215" i="9"/>
  <c r="F151" i="9"/>
  <c r="G87" i="9"/>
  <c r="E87" i="9"/>
  <c r="C151" i="9"/>
  <c r="F55" i="9"/>
  <c r="G23" i="9"/>
  <c r="I183" i="9"/>
  <c r="D55" i="9"/>
  <c r="H151" i="9"/>
  <c r="C119" i="9"/>
  <c r="D23" i="9"/>
  <c r="G183" i="9"/>
  <c r="H87" i="9"/>
  <c r="I23" i="9"/>
  <c r="E23" i="9"/>
  <c r="C183" i="9"/>
  <c r="H23" i="9"/>
  <c r="F87" i="9"/>
  <c r="G55" i="9"/>
  <c r="E183" i="9"/>
  <c r="G151" i="9"/>
  <c r="I55" i="9"/>
  <c r="E215" i="9"/>
  <c r="D151" i="9"/>
  <c r="G119" i="9"/>
  <c r="C215" i="9"/>
  <c r="M715" i="1"/>
  <c r="C23" i="9"/>
  <c r="F183" i="9"/>
  <c r="F23" i="9"/>
  <c r="D87" i="9"/>
  <c r="H183" i="9"/>
  <c r="I151" i="9"/>
  <c r="K715" i="1"/>
  <c r="K672" i="10"/>
  <c r="K704" i="10"/>
  <c r="K691" i="10"/>
  <c r="K670" i="10"/>
  <c r="K702" i="10"/>
  <c r="K713" i="10"/>
  <c r="K688" i="10"/>
  <c r="K675" i="10"/>
  <c r="K707" i="10"/>
  <c r="K686" i="10"/>
  <c r="L710" i="10"/>
  <c r="M710" i="10" s="1"/>
  <c r="L702" i="10"/>
  <c r="L716" i="10"/>
  <c r="L707" i="10"/>
  <c r="L699" i="10"/>
  <c r="L691" i="10"/>
  <c r="L683" i="10"/>
  <c r="M683" i="10" s="1"/>
  <c r="L675" i="10"/>
  <c r="L712" i="10"/>
  <c r="L704" i="10"/>
  <c r="M704" i="10" s="1"/>
  <c r="L696" i="10"/>
  <c r="M696" i="10" s="1"/>
  <c r="L688" i="10"/>
  <c r="L680" i="10"/>
  <c r="M680" i="10" s="1"/>
  <c r="L672" i="10"/>
  <c r="M672" i="10" s="1"/>
  <c r="L709" i="10"/>
  <c r="M709" i="10" s="1"/>
  <c r="L701" i="10"/>
  <c r="M701" i="10" s="1"/>
  <c r="L693" i="10"/>
  <c r="M693" i="10" s="1"/>
  <c r="L685" i="10"/>
  <c r="M685" i="10" s="1"/>
  <c r="L677" i="10"/>
  <c r="M677" i="10" s="1"/>
  <c r="L669" i="10"/>
  <c r="M669" i="10" s="1"/>
  <c r="L706" i="10"/>
  <c r="M706" i="10" s="1"/>
  <c r="L698" i="10"/>
  <c r="M698" i="10" s="1"/>
  <c r="L708" i="10"/>
  <c r="M708" i="10" s="1"/>
  <c r="L700" i="10"/>
  <c r="M700" i="10" s="1"/>
  <c r="L692" i="10"/>
  <c r="M692" i="10" s="1"/>
  <c r="L684" i="10"/>
  <c r="M684" i="10" s="1"/>
  <c r="L676" i="10"/>
  <c r="L668" i="10"/>
  <c r="L703" i="10"/>
  <c r="M703" i="10" s="1"/>
  <c r="L689" i="10"/>
  <c r="L673" i="10"/>
  <c r="M673" i="10" s="1"/>
  <c r="L697" i="10"/>
  <c r="M697" i="10" s="1"/>
  <c r="L686" i="10"/>
  <c r="L670" i="10"/>
  <c r="L711" i="10"/>
  <c r="M711" i="10" s="1"/>
  <c r="L694" i="10"/>
  <c r="M694" i="10" s="1"/>
  <c r="L690" i="10"/>
  <c r="M690" i="10" s="1"/>
  <c r="L674" i="10"/>
  <c r="M674" i="10" s="1"/>
  <c r="L705" i="10"/>
  <c r="M705" i="10" s="1"/>
  <c r="L687" i="10"/>
  <c r="M687" i="10" s="1"/>
  <c r="L671" i="10"/>
  <c r="M671" i="10" s="1"/>
  <c r="L681" i="10"/>
  <c r="M681" i="10" s="1"/>
  <c r="L713" i="10"/>
  <c r="M713" i="10" s="1"/>
  <c r="L678" i="10"/>
  <c r="L679" i="10"/>
  <c r="M679" i="10" s="1"/>
  <c r="L695" i="10"/>
  <c r="M695" i="10" s="1"/>
  <c r="L682" i="10"/>
  <c r="M682" i="10" s="1"/>
  <c r="M712" i="10" l="1"/>
  <c r="M689" i="10"/>
  <c r="M699" i="10"/>
  <c r="M678" i="10"/>
  <c r="M707" i="10"/>
  <c r="M676" i="10"/>
  <c r="M691" i="10"/>
  <c r="M688" i="10"/>
  <c r="M702" i="10"/>
  <c r="K715" i="10"/>
  <c r="M686" i="10"/>
  <c r="M675" i="10"/>
  <c r="M670" i="10"/>
  <c r="L715" i="10"/>
  <c r="M668" i="10"/>
  <c r="M715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techtest</author>
    <author>mjoo1</author>
  </authors>
  <commentList>
    <comment ref="R32" authorId="0" shapeId="0" xr:uid="{00000000-0006-0000-0D00-000001000000}">
      <text>
        <r>
          <rPr>
            <b/>
            <sz val="8"/>
            <color indexed="81"/>
            <rFont val="Tahoma"/>
            <family val="2"/>
          </rPr>
          <t>techtest:</t>
        </r>
        <r>
          <rPr>
            <sz val="8"/>
            <color indexed="81"/>
            <rFont val="Tahoma"/>
            <family val="2"/>
          </rPr>
          <t xml:space="preserve">
Adjusted % by .0001
</t>
        </r>
      </text>
    </comment>
    <comment ref="M38" authorId="1" shapeId="0" xr:uid="{00000000-0006-0000-0D00-000002000000}">
      <text>
        <r>
          <rPr>
            <b/>
            <sz val="8"/>
            <color indexed="81"/>
            <rFont val="Tahoma"/>
            <family val="2"/>
          </rPr>
          <t>mjoo1:</t>
        </r>
        <r>
          <rPr>
            <sz val="8"/>
            <color indexed="81"/>
            <rFont val="Tahoma"/>
            <family val="2"/>
          </rPr>
          <t xml:space="preserve">
GL Number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mjoo1</author>
  </authors>
  <commentList>
    <comment ref="G161" authorId="0" shapeId="0" xr:uid="{00000000-0006-0000-0E00-000001000000}">
      <text>
        <r>
          <rPr>
            <b/>
            <sz val="11"/>
            <color indexed="81"/>
            <rFont val="Tahoma"/>
            <family val="2"/>
          </rPr>
          <t>mjoo1:</t>
        </r>
        <r>
          <rPr>
            <sz val="11"/>
            <color indexed="81"/>
            <rFont val="Tahoma"/>
            <family val="2"/>
          </rPr>
          <t xml:space="preserve">
DSH payments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mluman</author>
  </authors>
  <commentList>
    <comment ref="F9" authorId="0" shapeId="0" xr:uid="{00000000-0006-0000-0F00-000001000000}">
      <text>
        <r>
          <rPr>
            <b/>
            <sz val="8"/>
            <color indexed="81"/>
            <rFont val="Tahoma"/>
            <family val="2"/>
          </rPr>
          <t>mluman:</t>
        </r>
        <r>
          <rPr>
            <sz val="8"/>
            <color indexed="81"/>
            <rFont val="Tahoma"/>
            <family val="2"/>
          </rPr>
          <t xml:space="preserve">
AP, AM, GL, AC. AR, IC, CA</t>
        </r>
      </text>
    </comment>
    <comment ref="J26" authorId="0" shapeId="0" xr:uid="{00000000-0006-0000-0F00-000002000000}">
      <text>
        <r>
          <rPr>
            <b/>
            <sz val="9"/>
            <color indexed="81"/>
            <rFont val="Tahoma"/>
            <family val="2"/>
          </rPr>
          <t>mluman:</t>
        </r>
        <r>
          <rPr>
            <sz val="9"/>
            <color indexed="81"/>
            <rFont val="Tahoma"/>
            <family val="2"/>
          </rPr>
          <t xml:space="preserve">
unidentified variance
</t>
        </r>
      </text>
    </comment>
    <comment ref="J37" authorId="0" shapeId="0" xr:uid="{00000000-0006-0000-0F00-000003000000}">
      <text>
        <r>
          <rPr>
            <b/>
            <sz val="9"/>
            <color indexed="81"/>
            <rFont val="Tahoma"/>
            <family val="2"/>
          </rPr>
          <t xml:space="preserve">mluma:
</t>
        </r>
        <r>
          <rPr>
            <sz val="9"/>
            <color indexed="81"/>
            <rFont val="Tahoma"/>
            <family val="2"/>
          </rPr>
          <t xml:space="preserve">unidentified variance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Mike Joo</author>
    <author>mjoo1</author>
  </authors>
  <commentList>
    <comment ref="M9" authorId="0" shapeId="0" xr:uid="{00000000-0006-0000-1100-000001000000}">
      <text>
        <r>
          <rPr>
            <b/>
            <sz val="8"/>
            <color indexed="81"/>
            <rFont val="Tahoma"/>
            <family val="2"/>
          </rPr>
          <t>Mike Joo:</t>
        </r>
        <r>
          <rPr>
            <sz val="8"/>
            <color indexed="81"/>
            <rFont val="Tahoma"/>
            <family val="2"/>
          </rPr>
          <t xml:space="preserve">
01001-11850-0000
01001-11851-0000
</t>
        </r>
      </text>
    </comment>
    <comment ref="L29" authorId="0" shapeId="0" xr:uid="{00000000-0006-0000-1100-000002000000}">
      <text>
        <r>
          <rPr>
            <b/>
            <sz val="8"/>
            <color indexed="81"/>
            <rFont val="Tahoma"/>
            <family val="2"/>
          </rPr>
          <t>Mike Joo:</t>
        </r>
        <r>
          <rPr>
            <sz val="8"/>
            <color indexed="81"/>
            <rFont val="Tahoma"/>
            <family val="2"/>
          </rPr>
          <t xml:space="preserve">
Reversing RJ 07
</t>
        </r>
      </text>
    </comment>
    <comment ref="N30" authorId="1" shapeId="0" xr:uid="{00000000-0006-0000-1100-000003000000}">
      <text>
        <r>
          <rPr>
            <b/>
            <sz val="8"/>
            <color indexed="81"/>
            <rFont val="Tahoma"/>
            <family val="2"/>
          </rPr>
          <t>mjoo1:</t>
        </r>
        <r>
          <rPr>
            <sz val="8"/>
            <color indexed="81"/>
            <rFont val="Tahoma"/>
            <family val="2"/>
          </rPr>
          <t xml:space="preserve">
Part of 19800-8930 Developer's fee as depreciation </t>
        </r>
      </text>
    </comment>
    <comment ref="N32" authorId="1" shapeId="0" xr:uid="{00000000-0006-0000-1100-000004000000}">
      <text>
        <r>
          <rPr>
            <b/>
            <sz val="8"/>
            <color indexed="81"/>
            <rFont val="Tahoma"/>
            <family val="2"/>
          </rPr>
          <t>mjoo1:</t>
        </r>
        <r>
          <rPr>
            <sz val="8"/>
            <color indexed="81"/>
            <rFont val="Tahoma"/>
            <family val="2"/>
          </rPr>
          <t xml:space="preserve">
Investment in SCRI and SCRH</t>
        </r>
      </text>
    </comment>
    <comment ref="H44" authorId="0" shapeId="0" xr:uid="{00000000-0006-0000-1100-000005000000}">
      <text>
        <r>
          <rPr>
            <b/>
            <sz val="8"/>
            <color indexed="81"/>
            <rFont val="Tahoma"/>
            <family val="2"/>
          </rPr>
          <t>Mike Joo:</t>
        </r>
        <r>
          <rPr>
            <sz val="8"/>
            <color indexed="81"/>
            <rFont val="Tahoma"/>
            <family val="2"/>
          </rPr>
          <t xml:space="preserve">
07001-19800
After d/c on Foundation financials</t>
        </r>
      </text>
    </comment>
    <comment ref="H48" authorId="0" shapeId="0" xr:uid="{00000000-0006-0000-1100-000006000000}">
      <text>
        <r>
          <rPr>
            <b/>
            <sz val="8"/>
            <color indexed="81"/>
            <rFont val="Tahoma"/>
            <family val="2"/>
          </rPr>
          <t>Mike Joo:</t>
        </r>
        <r>
          <rPr>
            <sz val="8"/>
            <color indexed="81"/>
            <rFont val="Tahoma"/>
            <family val="2"/>
          </rPr>
          <t xml:space="preserve">
07001-19800</t>
        </r>
      </text>
    </comment>
    <comment ref="L52" authorId="0" shapeId="0" xr:uid="{00000000-0006-0000-1100-000007000000}">
      <text>
        <r>
          <rPr>
            <b/>
            <sz val="8"/>
            <color indexed="81"/>
            <rFont val="Tahoma"/>
            <family val="2"/>
          </rPr>
          <t>Mike Joo:</t>
        </r>
        <r>
          <rPr>
            <sz val="8"/>
            <color indexed="81"/>
            <rFont val="Tahoma"/>
            <family val="2"/>
          </rPr>
          <t xml:space="preserve">
Reversing RJ 07
</t>
        </r>
      </text>
    </comment>
    <comment ref="L53" authorId="0" shapeId="0" xr:uid="{00000000-0006-0000-1100-000008000000}">
      <text>
        <r>
          <rPr>
            <b/>
            <sz val="8"/>
            <color indexed="81"/>
            <rFont val="Tahoma"/>
            <family val="2"/>
          </rPr>
          <t>Mike Joo:</t>
        </r>
        <r>
          <rPr>
            <sz val="8"/>
            <color indexed="81"/>
            <rFont val="Tahoma"/>
            <family val="2"/>
          </rPr>
          <t xml:space="preserve">
Reversing RJ 07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Joo, Michael</author>
    <author>Mike Joo</author>
  </authors>
  <commentList>
    <comment ref="S20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Joo, Michael:</t>
        </r>
        <r>
          <rPr>
            <sz val="9"/>
            <color indexed="81"/>
            <rFont val="Tahoma"/>
            <family val="2"/>
          </rPr>
          <t xml:space="preserve">
Rental income </t>
        </r>
      </text>
    </comment>
    <comment ref="P40" authorId="1" shapeId="0" xr:uid="{00000000-0006-0000-1200-000002000000}">
      <text>
        <r>
          <rPr>
            <b/>
            <sz val="8"/>
            <color indexed="81"/>
            <rFont val="Tahoma"/>
            <family val="2"/>
          </rPr>
          <t>Mike Joo:</t>
        </r>
        <r>
          <rPr>
            <sz val="8"/>
            <color indexed="81"/>
            <rFont val="Tahoma"/>
            <family val="2"/>
          </rPr>
          <t xml:space="preserve">
COGS 5846-000</t>
        </r>
      </text>
    </comment>
    <comment ref="R40" authorId="1" shapeId="0" xr:uid="{00000000-0006-0000-1200-000003000000}">
      <text>
        <r>
          <rPr>
            <b/>
            <sz val="8"/>
            <color indexed="81"/>
            <rFont val="Tahoma"/>
            <family val="2"/>
          </rPr>
          <t>Mike Joo:</t>
        </r>
        <r>
          <rPr>
            <sz val="8"/>
            <color indexed="81"/>
            <rFont val="Tahoma"/>
            <family val="2"/>
          </rPr>
          <t xml:space="preserve">
COGS 5846-000</t>
        </r>
      </text>
    </comment>
  </commentList>
</comments>
</file>

<file path=xl/sharedStrings.xml><?xml version="1.0" encoding="utf-8"?>
<sst xmlns="http://schemas.openxmlformats.org/spreadsheetml/2006/main" count="9837" uniqueCount="2920">
  <si>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</si>
  <si>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</si>
  <si>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</si>
  <si>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</si>
  <si>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</si>
  <si>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</si>
  <si>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</si>
  <si>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</si>
  <si>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</si>
  <si>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</si>
  <si>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</si>
  <si>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</si>
  <si>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</si>
  <si>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</si>
  <si>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</si>
  <si>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</si>
  <si>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</si>
  <si>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</si>
  <si>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</si>
  <si>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</si>
  <si>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</si>
  <si>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</si>
  <si>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</si>
  <si>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</si>
  <si>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</si>
  <si>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</si>
  <si>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</si>
  <si>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</si>
  <si>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</si>
  <si>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</si>
  <si>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</si>
  <si>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</si>
  <si>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</si>
  <si>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</si>
  <si>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</si>
  <si>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</si>
  <si>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</si>
  <si>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</si>
  <si>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</si>
  <si>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</si>
  <si>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</si>
  <si>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</si>
  <si>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</si>
  <si>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</si>
  <si>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</si>
  <si>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</si>
  <si>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</si>
  <si>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</si>
  <si>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</si>
  <si>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</si>
  <si>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</si>
  <si>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</si>
  <si>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</si>
  <si>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</si>
  <si>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</si>
  <si>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</si>
  <si>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</si>
  <si>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</si>
  <si>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</si>
  <si>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</si>
  <si>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</si>
  <si>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</si>
  <si>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</si>
  <si>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</si>
  <si>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</si>
  <si>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</si>
  <si>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</si>
  <si>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</si>
  <si>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</si>
  <si>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</si>
  <si>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</si>
  <si>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</si>
  <si>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</si>
  <si>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</si>
  <si>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</si>
  <si>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</si>
  <si>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</si>
  <si>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</si>
  <si>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</si>
  <si>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</si>
  <si>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</si>
  <si>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</si>
  <si>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</si>
  <si>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</si>
  <si>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</si>
  <si>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</si>
  <si>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</si>
  <si>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</si>
  <si>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</si>
  <si>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</si>
  <si>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</si>
  <si>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</si>
  <si>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</si>
  <si>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</si>
  <si>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</si>
  <si>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</si>
  <si>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</si>
  <si>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</si>
  <si>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</si>
  <si>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</si>
  <si>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</si>
  <si>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</si>
  <si>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</si>
  <si>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</si>
  <si>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</si>
  <si>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</si>
  <si>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</si>
  <si>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</si>
  <si>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</si>
  <si>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</si>
  <si>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</si>
  <si>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</si>
  <si>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</si>
  <si>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</si>
  <si>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</si>
  <si>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</si>
  <si>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</si>
  <si>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</si>
  <si>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</si>
  <si>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</si>
  <si>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</si>
  <si>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</si>
  <si>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</si>
  <si>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</si>
  <si>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</si>
  <si>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</si>
  <si>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</si>
  <si>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</si>
  <si>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</si>
  <si>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</si>
  <si>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</si>
  <si>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</si>
  <si>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</si>
  <si>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</si>
  <si>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</si>
  <si>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</si>
  <si>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</si>
  <si>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</si>
  <si>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</si>
  <si>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</si>
  <si>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</si>
  <si>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</si>
  <si>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</si>
  <si>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</si>
  <si>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</si>
  <si>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</si>
  <si>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</si>
  <si>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</si>
  <si>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</si>
  <si>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</si>
  <si>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</si>
  <si>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</si>
  <si>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</si>
  <si>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</si>
  <si>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</si>
  <si>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</si>
  <si>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</si>
  <si>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</si>
  <si>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</si>
  <si>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</si>
  <si>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</si>
  <si>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</si>
  <si>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</si>
  <si>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</si>
  <si>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</si>
  <si>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</si>
  <si>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</si>
  <si>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</si>
  <si>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</si>
  <si>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</si>
  <si>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</si>
  <si>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</si>
  <si>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</si>
  <si>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</si>
  <si>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</si>
  <si>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</si>
  <si>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</si>
  <si>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</si>
  <si>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</si>
  <si>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</si>
  <si>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</si>
  <si>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</si>
  <si>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</si>
  <si>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</si>
  <si>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</si>
  <si>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</si>
  <si>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</si>
  <si>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</si>
  <si>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</si>
  <si>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</si>
  <si>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</si>
  <si>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</si>
  <si>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</si>
  <si>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</si>
  <si>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</si>
  <si>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</si>
  <si>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</si>
  <si>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</si>
  <si>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</si>
  <si>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</si>
  <si>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</si>
  <si>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</si>
  <si>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</si>
  <si>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</si>
  <si>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</si>
  <si>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</si>
  <si>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</si>
  <si>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</si>
  <si>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</si>
  <si>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</si>
  <si>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</si>
  <si>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</si>
  <si>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</si>
  <si>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</si>
  <si>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</si>
  <si>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</si>
  <si>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</si>
  <si>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</si>
  <si>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</si>
  <si>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</si>
  <si>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</si>
  <si>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</si>
  <si>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</si>
  <si>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</si>
  <si>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</si>
  <si>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</si>
  <si>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</si>
  <si>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</si>
  <si>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</si>
  <si>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</si>
  <si>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</si>
  <si>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</si>
  <si>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</si>
  <si>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</si>
  <si>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</si>
  <si>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</si>
  <si>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</si>
  <si>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</si>
  <si>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</si>
  <si>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</si>
  <si>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</si>
  <si>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</si>
  <si>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</si>
  <si>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</si>
  <si>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</si>
  <si>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</si>
  <si>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</si>
  <si>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</si>
  <si>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</si>
  <si>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</si>
  <si>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</si>
  <si>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</si>
  <si>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</si>
  <si>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</si>
  <si>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</si>
  <si>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</si>
  <si>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</si>
  <si>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</si>
  <si>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</si>
  <si>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</si>
  <si>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</si>
  <si>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</si>
  <si>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</si>
  <si>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</si>
  <si>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</si>
  <si>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</si>
  <si>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</si>
  <si>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</si>
  <si>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</si>
  <si>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</si>
  <si>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</si>
  <si>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</si>
  <si>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</si>
  <si>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</si>
  <si>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</si>
  <si>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</si>
  <si>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</si>
  <si>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</si>
  <si>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</si>
  <si>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</si>
  <si>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</si>
  <si>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</si>
  <si>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</si>
  <si>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</si>
  <si>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</si>
  <si>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</si>
  <si>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</si>
  <si>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</si>
  <si>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</si>
  <si>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</si>
  <si>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</si>
  <si>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</si>
  <si>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</si>
  <si>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</si>
  <si>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</si>
  <si>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</si>
  <si>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</si>
  <si>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</si>
  <si>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</si>
  <si>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</si>
  <si>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</si>
  <si>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</si>
  <si>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</si>
  <si>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</si>
  <si>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</si>
  <si>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</si>
  <si>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</si>
  <si>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</si>
  <si>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</si>
  <si>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</si>
  <si>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</si>
  <si>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</si>
  <si>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</si>
  <si>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</si>
  <si>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</si>
  <si>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</si>
  <si>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</si>
  <si>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</si>
  <si>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</si>
  <si>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</si>
  <si>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</si>
  <si>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</si>
  <si>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</si>
  <si>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</si>
  <si>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</si>
  <si>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</si>
  <si>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</si>
  <si>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</si>
  <si>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</si>
  <si>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</si>
  <si>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</si>
  <si>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</si>
  <si>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</si>
  <si>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</si>
  <si>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</si>
  <si>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</si>
  <si>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</si>
  <si>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</si>
  <si>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</si>
  <si>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</si>
  <si>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</si>
  <si>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</si>
  <si>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</si>
  <si>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</si>
  <si>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</si>
  <si>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</si>
  <si>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</si>
  <si>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</si>
  <si>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</si>
  <si>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</si>
  <si>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</si>
  <si>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</si>
  <si>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</si>
  <si>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</si>
  <si>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</si>
  <si>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</si>
  <si>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</si>
  <si>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</si>
  <si>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</si>
  <si>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</si>
  <si>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</si>
  <si>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</si>
  <si>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</si>
  <si>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</si>
  <si>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</si>
  <si>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</si>
  <si>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</si>
  <si>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</si>
  <si>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</si>
  <si>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</si>
  <si>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</si>
  <si>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</si>
  <si>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</si>
  <si>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</si>
  <si>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</si>
  <si>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</si>
  <si>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</si>
  <si>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</si>
  <si>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</si>
  <si>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</si>
  <si>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</si>
  <si>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</si>
  <si>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</si>
  <si>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</si>
  <si>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</si>
  <si>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</si>
  <si>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</si>
  <si>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</si>
  <si>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</si>
  <si>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</si>
  <si>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</si>
  <si>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</si>
  <si>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</si>
  <si>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</si>
  <si>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</si>
  <si>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</si>
  <si>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</si>
  <si>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</si>
  <si>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</si>
  <si>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</si>
  <si>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</si>
  <si>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</si>
  <si>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</si>
  <si>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</si>
  <si>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</si>
  <si>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</si>
  <si>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</si>
  <si>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</si>
  <si>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</si>
  <si>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</si>
  <si>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</si>
  <si>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</si>
  <si>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</si>
  <si>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</si>
  <si>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</si>
  <si>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</si>
  <si>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</si>
  <si>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</si>
  <si>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</si>
  <si>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</si>
  <si>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</si>
  <si>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</si>
  <si>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</si>
  <si>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</si>
  <si>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</si>
  <si>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</si>
  <si>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</si>
  <si>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</si>
  <si>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</si>
  <si>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</si>
  <si>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</si>
  <si>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</si>
  <si>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</si>
  <si>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</si>
  <si>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</si>
  <si>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</si>
  <si>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</si>
  <si>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</si>
  <si>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</si>
  <si>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</si>
  <si>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</si>
  <si>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</si>
  <si>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</si>
  <si>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</si>
  <si>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</si>
  <si>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</si>
  <si>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</si>
  <si>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</si>
  <si>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</si>
  <si>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</si>
  <si>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</si>
  <si>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</si>
  <si>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</si>
  <si>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</si>
  <si>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</si>
  <si>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</si>
  <si>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</si>
  <si>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</si>
  <si>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</si>
  <si>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</si>
  <si>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</si>
  <si>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</si>
  <si>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</si>
  <si>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</si>
  <si>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</si>
  <si>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</si>
  <si>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</si>
  <si>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</si>
  <si>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</si>
  <si>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</si>
  <si>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</si>
  <si>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</si>
  <si>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</si>
  <si>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</si>
  <si>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</si>
  <si>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</si>
  <si>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</si>
  <si>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</si>
  <si>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</si>
  <si>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</si>
  <si>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</si>
  <si>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</si>
  <si>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</si>
  <si>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</si>
  <si>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</si>
  <si>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</si>
  <si>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</si>
  <si>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</si>
  <si>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</si>
  <si>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</si>
  <si>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</si>
  <si>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</si>
  <si>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</si>
  <si>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</si>
  <si>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</si>
  <si>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</si>
  <si>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</si>
  <si>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</si>
  <si>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</si>
  <si>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</si>
  <si>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</si>
  <si>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</si>
  <si>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</si>
  <si>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</si>
  <si>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</si>
  <si>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</si>
  <si>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</si>
  <si>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</si>
  <si>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</si>
  <si>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</si>
  <si>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</si>
  <si>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</si>
  <si>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</si>
  <si>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</si>
  <si>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</si>
  <si>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</si>
  <si>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</si>
  <si>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</si>
  <si>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</si>
  <si>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</si>
  <si>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</si>
  <si>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</si>
  <si>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</si>
  <si>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</si>
  <si>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</si>
  <si>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</si>
  <si>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</si>
  <si>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</si>
  <si>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</si>
  <si>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</si>
  <si>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</si>
  <si>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</si>
  <si>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</si>
  <si>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</si>
  <si>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</si>
  <si>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</si>
  <si>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</si>
  <si>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</si>
  <si>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</si>
  <si>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</si>
  <si>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</si>
  <si>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</si>
  <si>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</si>
  <si>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</si>
  <si>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</si>
  <si>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</si>
  <si>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</si>
  <si>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</si>
  <si>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</si>
  <si>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</si>
  <si>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</si>
  <si>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</si>
  <si>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</si>
  <si>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</si>
  <si>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</si>
  <si>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</si>
  <si>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</si>
  <si>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</si>
  <si>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</si>
  <si>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</si>
  <si>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</si>
  <si>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</si>
  <si>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</si>
  <si>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</si>
  <si>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</si>
  <si>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</si>
  <si>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</si>
  <si>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</si>
  <si>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</si>
  <si>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</si>
  <si>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</si>
  <si>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</si>
  <si>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</si>
  <si>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</si>
  <si>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</si>
  <si>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</si>
  <si>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</si>
  <si>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</si>
  <si>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</si>
  <si>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</si>
  <si>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</si>
  <si>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</si>
  <si>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</si>
  <si>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</si>
  <si>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</si>
  <si>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</si>
  <si>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</si>
  <si>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</si>
  <si>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</si>
  <si>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</si>
  <si>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</si>
  <si>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</si>
  <si>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</si>
  <si>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</si>
  <si>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</si>
  <si>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</si>
  <si>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</si>
  <si>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</si>
  <si>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</si>
  <si>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</si>
  <si>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</si>
  <si>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</si>
  <si>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</si>
  <si>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</si>
  <si>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</si>
  <si>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</si>
  <si>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</si>
  <si>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</si>
  <si>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</si>
  <si>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</si>
  <si>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</si>
  <si>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</si>
  <si>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</si>
  <si>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</si>
  <si>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</si>
  <si>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</si>
  <si>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</si>
  <si>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</si>
  <si>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</si>
  <si>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</si>
  <si>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</si>
  <si>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</si>
  <si>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</si>
  <si>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</si>
  <si>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</si>
  <si>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</si>
  <si>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</si>
  <si>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</si>
  <si>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</si>
  <si>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</si>
  <si>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</si>
  <si>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</si>
  <si>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</si>
  <si>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</si>
  <si>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</si>
  <si>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</si>
  <si>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</si>
  <si>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</si>
  <si>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</si>
  <si>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</si>
  <si>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</si>
  <si>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</si>
  <si>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</si>
  <si>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</si>
  <si>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</si>
  <si>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</si>
  <si>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</si>
  <si>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</si>
  <si>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</si>
  <si>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</si>
  <si>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</si>
  <si>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</si>
  <si>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</si>
  <si>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</si>
  <si>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</si>
  <si>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</si>
  <si>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</si>
  <si>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</si>
  <si>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</si>
  <si>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</si>
  <si>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</si>
  <si>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</si>
  <si>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</si>
  <si>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</si>
  <si>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</si>
  <si>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</si>
  <si>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</si>
  <si>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</si>
  <si>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</si>
  <si>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</si>
  <si>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</si>
  <si>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</si>
  <si>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</si>
  <si>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</si>
  <si>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</si>
  <si>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</si>
  <si>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</si>
  <si>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</si>
  <si>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</si>
  <si>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</si>
  <si>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</si>
  <si>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</si>
  <si>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</si>
  <si>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</si>
  <si>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</si>
  <si>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</si>
  <si>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</si>
  <si>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</si>
  <si>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</si>
  <si>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</si>
  <si>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</si>
  <si>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</si>
  <si>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</si>
  <si>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</si>
  <si>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</si>
  <si>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</si>
  <si>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</si>
  <si>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</si>
  <si>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</si>
  <si>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</si>
  <si>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</si>
  <si>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</si>
  <si>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</si>
  <si>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</si>
  <si>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</si>
  <si>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</si>
  <si>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</si>
  <si>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</si>
  <si>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</si>
  <si>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</si>
  <si>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</si>
  <si>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</si>
  <si>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</si>
  <si>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</si>
  <si>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</si>
  <si>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</si>
  <si>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</si>
  <si>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</si>
  <si>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</si>
  <si>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</si>
  <si>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</si>
  <si>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</si>
  <si>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</si>
  <si>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</si>
  <si>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</si>
  <si>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</si>
  <si>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</si>
  <si>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</si>
  <si>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</si>
  <si>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</si>
  <si>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</si>
  <si>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</si>
  <si>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</si>
  <si>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</si>
  <si>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</si>
  <si>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</si>
  <si>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</si>
  <si>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</si>
  <si>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</si>
  <si>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</si>
  <si>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</si>
  <si>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</si>
  <si>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</si>
  <si>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</si>
  <si>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NA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</si>
  <si>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</si>
  <si>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</si>
  <si>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</si>
  <si>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</si>
  <si>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</si>
  <si>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</si>
  <si>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</si>
  <si>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</si>
  <si>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</si>
  <si>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</si>
  <si>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</si>
  <si>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</si>
  <si>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</si>
  <si>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</si>
  <si>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</si>
  <si>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</si>
  <si>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</si>
  <si>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</si>
  <si>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</si>
  <si>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</si>
  <si>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</si>
  <si>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</si>
  <si>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</si>
  <si>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</si>
  <si>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</si>
  <si>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</si>
  <si>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</si>
  <si>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</si>
  <si>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</si>
  <si>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</si>
  <si>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</si>
  <si>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</si>
  <si>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</si>
  <si>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</si>
  <si>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</si>
  <si>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</si>
  <si>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</si>
  <si>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</si>
  <si>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</si>
  <si>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</si>
  <si>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</si>
  <si>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</si>
  <si>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</si>
  <si>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</si>
  <si>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</si>
  <si>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</si>
  <si>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</si>
  <si>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</si>
  <si>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</si>
  <si>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</si>
  <si>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</si>
  <si>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</si>
  <si>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</si>
  <si>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</si>
  <si>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</si>
  <si>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</si>
  <si>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</si>
  <si>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</si>
  <si>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</si>
  <si>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</si>
  <si>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</si>
  <si>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</si>
  <si>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</si>
  <si>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</si>
  <si>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</si>
  <si>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</si>
  <si>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</si>
  <si>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</si>
  <si>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</si>
  <si>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</si>
  <si>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</si>
  <si>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</si>
  <si>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</si>
  <si>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</si>
  <si>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</si>
  <si>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</si>
  <si>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</si>
  <si>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</si>
  <si>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</si>
  <si>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</si>
  <si>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</si>
  <si>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</si>
  <si>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</si>
  <si>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</si>
  <si>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</si>
  <si>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</si>
  <si>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</si>
  <si>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</si>
  <si>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</si>
  <si>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</si>
  <si>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</si>
  <si>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</si>
  <si>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</si>
  <si>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</si>
  <si>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</si>
  <si>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</si>
  <si>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</si>
  <si>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</si>
  <si>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</si>
  <si>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</si>
  <si>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</si>
  <si>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</si>
  <si>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</si>
  <si>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</si>
  <si>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</si>
  <si>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</si>
  <si>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</si>
  <si>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</si>
  <si>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</si>
  <si>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</si>
  <si>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</si>
  <si>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</si>
  <si>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</si>
  <si>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</si>
  <si>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</si>
  <si>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</si>
  <si>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</si>
  <si>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</si>
  <si>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</si>
  <si>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</si>
  <si>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</si>
  <si>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</si>
  <si>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</si>
  <si>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</si>
  <si>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</si>
  <si>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</si>
  <si>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</si>
  <si>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</si>
  <si>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</si>
  <si>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</si>
  <si>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</si>
  <si>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</si>
  <si>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</si>
  <si>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</si>
  <si>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</si>
  <si>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</si>
  <si>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</si>
  <si>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</si>
  <si>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</si>
  <si>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</si>
  <si>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</si>
  <si>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</si>
  <si>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</si>
  <si>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</si>
  <si>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</si>
  <si>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</si>
  <si>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</si>
  <si>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</si>
  <si>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</si>
  <si>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</si>
  <si>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</si>
  <si>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</si>
  <si>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</si>
  <si>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</si>
  <si>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</si>
  <si>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</si>
  <si>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</si>
  <si>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</si>
  <si>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</si>
  <si>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</si>
  <si>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</si>
  <si>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</si>
  <si>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</si>
  <si>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</si>
  <si>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</si>
  <si>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</si>
  <si>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</si>
  <si>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</si>
  <si>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</si>
  <si>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</si>
  <si>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</si>
  <si>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</si>
  <si>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</si>
  <si>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</si>
  <si>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</si>
  <si>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</si>
  <si>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</si>
  <si>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</si>
  <si>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</si>
  <si>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</si>
  <si>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</si>
  <si>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</si>
  <si>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</si>
  <si>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</si>
  <si>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</si>
  <si>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</si>
  <si>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</si>
  <si>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</si>
  <si>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</si>
  <si>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</si>
  <si>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</si>
  <si>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</si>
  <si>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</si>
  <si>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</si>
  <si>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</si>
  <si>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</si>
  <si>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</si>
  <si>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</si>
  <si>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</si>
  <si>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</si>
  <si>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</si>
  <si>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</si>
  <si>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</si>
  <si>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</si>
  <si>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</si>
  <si>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</si>
  <si>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</si>
  <si>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</si>
  <si>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</si>
  <si>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</si>
  <si>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</si>
  <si>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</si>
  <si>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</si>
  <si>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</si>
  <si>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</si>
  <si>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</si>
  <si>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</si>
  <si>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</si>
  <si>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</si>
  <si>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</si>
  <si>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</si>
  <si>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</si>
  <si>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</si>
  <si>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</si>
  <si>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</si>
  <si>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</si>
  <si>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</si>
  <si>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</si>
  <si>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</si>
  <si>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</si>
  <si>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</si>
  <si>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</si>
  <si>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</si>
  <si>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</si>
  <si>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</si>
  <si>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</si>
  <si>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</si>
  <si>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</si>
  <si>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</si>
  <si>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</si>
  <si>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</si>
  <si>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</si>
  <si>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</si>
  <si>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</si>
  <si>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</si>
  <si>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</si>
  <si>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</si>
  <si>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</si>
  <si>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</si>
  <si>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</si>
  <si>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</si>
  <si>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</si>
  <si>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</si>
  <si>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</si>
  <si>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</si>
  <si>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</si>
  <si>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King</t>
  </si>
  <si>
    <t>09/30/2019</t>
  </si>
  <si>
    <t>014</t>
  </si>
  <si>
    <t>09/30/2018</t>
  </si>
  <si>
    <t>Seattle Children's</t>
  </si>
  <si>
    <t>4800 Sand Point Way NE</t>
  </si>
  <si>
    <t>P.O. Box 5371</t>
  </si>
  <si>
    <t>Seattle, WA 98105-0371</t>
  </si>
  <si>
    <t>Dr. Jeffrey Sperring</t>
  </si>
  <si>
    <t>Suzanne Beitel</t>
  </si>
  <si>
    <t>Susan Mask</t>
  </si>
  <si>
    <t>206 987-2000</t>
  </si>
  <si>
    <t>206 987-3830</t>
  </si>
  <si>
    <t xml:space="preserve">Seattle Children's Hospital </t>
  </si>
  <si>
    <t>IP</t>
  </si>
  <si>
    <t>OP</t>
  </si>
  <si>
    <t>FY 2019</t>
  </si>
  <si>
    <t>GROSS REVENUE BY PAYOR CLASS SUMMARY  -  NACHRI 09/30/19</t>
  </si>
  <si>
    <t>A</t>
  </si>
  <si>
    <t>B</t>
  </si>
  <si>
    <t>Inpatients</t>
  </si>
  <si>
    <t>Disch.</t>
  </si>
  <si>
    <t>INPATIENT</t>
  </si>
  <si>
    <t xml:space="preserve">OUTPATIENT </t>
  </si>
  <si>
    <t>E.6.</t>
  </si>
  <si>
    <t>NACHRI</t>
  </si>
  <si>
    <t>Days</t>
  </si>
  <si>
    <t>Net Revenue</t>
  </si>
  <si>
    <t>%</t>
  </si>
  <si>
    <t>Line number</t>
  </si>
  <si>
    <t>a.</t>
  </si>
  <si>
    <t>GOVERNMENT</t>
  </si>
  <si>
    <t>(1) Medicare</t>
  </si>
  <si>
    <t>(1) a)</t>
  </si>
  <si>
    <t>(2) Medicaid-trad in state</t>
  </si>
  <si>
    <t>32, 91</t>
  </si>
  <si>
    <t>(2) M'Caid Fee f/Svc</t>
  </si>
  <si>
    <t>(2) a)</t>
  </si>
  <si>
    <t>32a, 91b</t>
  </si>
  <si>
    <t>Mcaid FFS</t>
  </si>
  <si>
    <t>(2) Medicaid-HMO</t>
  </si>
  <si>
    <t>(2) b)</t>
  </si>
  <si>
    <t>32b, 91a</t>
  </si>
  <si>
    <t>Mcaid HMO</t>
  </si>
  <si>
    <t>Medicaid out-of-state</t>
  </si>
  <si>
    <t>Total M'Caid O/S</t>
  </si>
  <si>
    <t>33, 93</t>
  </si>
  <si>
    <t>Managed Care</t>
  </si>
  <si>
    <t>33b, 93a</t>
  </si>
  <si>
    <t>Fee for Service</t>
  </si>
  <si>
    <t>33a, 93b</t>
  </si>
  <si>
    <t>Mcaid ofs FFS</t>
  </si>
  <si>
    <t xml:space="preserve">            Total Medicaid w/o disproportionate share</t>
  </si>
  <si>
    <t>31, 90</t>
  </si>
  <si>
    <t>Disproportionate share</t>
  </si>
  <si>
    <t>allocate to fee f/svc</t>
  </si>
  <si>
    <t>92a</t>
  </si>
  <si>
    <t>allocate to HO</t>
  </si>
  <si>
    <t>92b</t>
  </si>
  <si>
    <t xml:space="preserve">            Total Medicaid w disproportionate share</t>
  </si>
  <si>
    <t>Champus</t>
  </si>
  <si>
    <t>(3) Other  (Champus,</t>
  </si>
  <si>
    <t>(3)</t>
  </si>
  <si>
    <t>34, 95</t>
  </si>
  <si>
    <t>X-s/b Managed care</t>
  </si>
  <si>
    <t>34b, 95a</t>
  </si>
  <si>
    <t>34a, 95b</t>
  </si>
  <si>
    <t>Other government</t>
  </si>
  <si>
    <t>35, 96</t>
  </si>
  <si>
    <t>Othe Govt</t>
  </si>
  <si>
    <t>b.</t>
  </si>
  <si>
    <t>NONGOVERNMENT</t>
  </si>
  <si>
    <t>(1) Self-Pay &amp; other</t>
  </si>
  <si>
    <t>(1)</t>
  </si>
  <si>
    <t>36, 97</t>
  </si>
  <si>
    <t>Self Pay &amp; Charity</t>
  </si>
  <si>
    <t>Total commercial</t>
  </si>
  <si>
    <t>37, 98</t>
  </si>
  <si>
    <t>Comm_HMO/PPO</t>
  </si>
  <si>
    <t>(2)</t>
  </si>
  <si>
    <t>37a, 98a</t>
  </si>
  <si>
    <t>Comm HMO</t>
  </si>
  <si>
    <t>Other Commercial</t>
  </si>
  <si>
    <t>37b, 98b</t>
  </si>
  <si>
    <t>Other Comm</t>
  </si>
  <si>
    <t>Total Revenue w Gross Disproportionate Share</t>
  </si>
  <si>
    <t>Total Revenue w/o Gross Disporportionate Share</t>
  </si>
  <si>
    <t xml:space="preserve">SEATTLE CHILDREN'S HOSPITAL </t>
  </si>
  <si>
    <t>REVENUES BY SYSTEM</t>
  </si>
  <si>
    <t>For September 2010</t>
  </si>
  <si>
    <t>HB</t>
  </si>
  <si>
    <t>CUMG</t>
  </si>
  <si>
    <t>GL</t>
  </si>
  <si>
    <t>True up</t>
  </si>
  <si>
    <t>ZBA</t>
  </si>
  <si>
    <t>Report - Discharges by Financial Class - Inpatient only</t>
  </si>
  <si>
    <t>NACHRI Classification</t>
  </si>
  <si>
    <t>SUMMARY BY PAYOR -YTD</t>
  </si>
  <si>
    <t>Gross Revenue gross up</t>
  </si>
  <si>
    <t xml:space="preserve">Audit </t>
  </si>
  <si>
    <t xml:space="preserve">Inpatient </t>
  </si>
  <si>
    <t xml:space="preserve">Discharge </t>
  </si>
  <si>
    <t>FY 2017</t>
  </si>
  <si>
    <t xml:space="preserve">INPATIENT </t>
  </si>
  <si>
    <t>ED Visit accrual</t>
  </si>
  <si>
    <t>PB SA2 - HCS</t>
  </si>
  <si>
    <t>PB SA2 - PRO Fees</t>
  </si>
  <si>
    <t xml:space="preserve">HCS accrual </t>
  </si>
  <si>
    <t xml:space="preserve">HB Accrual </t>
  </si>
  <si>
    <t>NET</t>
  </si>
  <si>
    <t>SNF &amp; DSH</t>
  </si>
  <si>
    <t>GL NET True Up</t>
  </si>
  <si>
    <t xml:space="preserve">Disclosure </t>
  </si>
  <si>
    <t>Aetna</t>
  </si>
  <si>
    <t>BHP</t>
  </si>
  <si>
    <t>Blue Cross</t>
  </si>
  <si>
    <t>Blue Shield</t>
  </si>
  <si>
    <t>Commercial Contracted</t>
  </si>
  <si>
    <t>Commercial Limited Services</t>
  </si>
  <si>
    <t>Commercial Non-Contracted</t>
  </si>
  <si>
    <t>First Choice Network</t>
  </si>
  <si>
    <t>Kaiser</t>
  </si>
  <si>
    <t>Group Health Plan</t>
  </si>
  <si>
    <t>Commercial</t>
  </si>
  <si>
    <t>Alaska Medicaid</t>
  </si>
  <si>
    <t>ID Medicaid</t>
  </si>
  <si>
    <t>MT Medicaid</t>
  </si>
  <si>
    <t>WA Medicaid</t>
  </si>
  <si>
    <t>Other Medicaid Contracted</t>
  </si>
  <si>
    <t>Other Medicaid Non-Contracted</t>
  </si>
  <si>
    <t>WA Medicaid Managed Care</t>
  </si>
  <si>
    <t>BHPP and HO Plans</t>
  </si>
  <si>
    <t>Champva</t>
  </si>
  <si>
    <t>Tricare</t>
  </si>
  <si>
    <t>Worker's Comp</t>
  </si>
  <si>
    <t>Other Government</t>
  </si>
  <si>
    <t>Self-Pay</t>
  </si>
  <si>
    <t>Self Pay: Confidential</t>
  </si>
  <si>
    <t>Self Pay: Personal/Family</t>
  </si>
  <si>
    <t>Self Pay: Psych</t>
  </si>
  <si>
    <t>Self Pay: Workers Comp</t>
  </si>
  <si>
    <t>Self Pay: TPL/Accident</t>
  </si>
  <si>
    <t>Self Pay: Purchased Services</t>
  </si>
  <si>
    <t>Self-Pay: No Cvg on Account</t>
  </si>
  <si>
    <t>Charity Care/Financial Aid</t>
  </si>
  <si>
    <t>IP Total</t>
  </si>
  <si>
    <t>OUTPATIENT</t>
  </si>
  <si>
    <t>Self Pay: Clearing Account</t>
  </si>
  <si>
    <t>Self Pay: Client Billing</t>
  </si>
  <si>
    <t>Self Pay: Donor</t>
  </si>
  <si>
    <t>Self Pay: Dental</t>
  </si>
  <si>
    <t>Self Pay: Crime Victims</t>
  </si>
  <si>
    <t>Self Pay: ELECTPREPAY</t>
  </si>
  <si>
    <t>Self Pay: Occupational Health</t>
  </si>
  <si>
    <t>Self Pay: Prepay</t>
  </si>
  <si>
    <t>Self Pay: PrivFromPyr</t>
  </si>
  <si>
    <t>Self Pay: Reference Lab</t>
  </si>
  <si>
    <t>Self Pay: Research</t>
  </si>
  <si>
    <t>Self-Pay: Workers Comp/TPL</t>
  </si>
  <si>
    <t>Self-Pay: Crime Victims</t>
  </si>
  <si>
    <t>Bus Svcs Internal Use Only</t>
  </si>
  <si>
    <t>Lab Internal Use Only</t>
  </si>
  <si>
    <t>OP Total</t>
  </si>
  <si>
    <t xml:space="preserve">GL Net </t>
  </si>
  <si>
    <t>Summary</t>
  </si>
  <si>
    <t>PB SA3</t>
  </si>
  <si>
    <t>Commericial Contracted</t>
  </si>
  <si>
    <t>Managed care</t>
  </si>
  <si>
    <t>Basic Health</t>
  </si>
  <si>
    <t>Healthy Option</t>
  </si>
  <si>
    <t>Self pay</t>
  </si>
  <si>
    <t>Self Pay</t>
  </si>
  <si>
    <t>Charity</t>
  </si>
  <si>
    <t>Undistributed</t>
  </si>
  <si>
    <t>Payor Mix</t>
  </si>
  <si>
    <t>Total Gross revenue</t>
  </si>
  <si>
    <t>Safety Net Assessment &amp; DSH payments- FFS &amp; HO</t>
  </si>
  <si>
    <t>Adj</t>
  </si>
  <si>
    <t>Bad debt</t>
  </si>
  <si>
    <t xml:space="preserve">Net </t>
  </si>
  <si>
    <t xml:space="preserve">GL net revenue </t>
  </si>
  <si>
    <t>HO</t>
  </si>
  <si>
    <t>FFS</t>
  </si>
  <si>
    <t>5230-1xxx</t>
  </si>
  <si>
    <t>5230-2xxx</t>
  </si>
  <si>
    <t xml:space="preserve">For NACHRI 2019 &amp; CHCA/Goldman Sachs Survey - </t>
  </si>
  <si>
    <t>Report (Gross)</t>
  </si>
  <si>
    <t xml:space="preserve">Variance </t>
  </si>
  <si>
    <t>Total (Gross)</t>
  </si>
  <si>
    <t>Net</t>
  </si>
  <si>
    <t>GL293 Date:</t>
  </si>
  <si>
    <t>12/11/19           JOB SUBMISSION</t>
  </si>
  <si>
    <t>PARAMETERS</t>
  </si>
  <si>
    <t>Time:</t>
  </si>
  <si>
    <t>User Name:</t>
  </si>
  <si>
    <t>INFORBC\mjoo1</t>
  </si>
  <si>
    <t>Job Name: S</t>
  </si>
  <si>
    <t>CH10PY</t>
  </si>
  <si>
    <t>Step Nbr: 1</t>
  </si>
  <si>
    <t>-----------</t>
  </si>
  <si>
    <t>----------------------------------</t>
  </si>
  <si>
    <t>--------------------</t>
  </si>
  <si>
    <t>---------------</t>
  </si>
  <si>
    <t>Main</t>
  </si>
  <si>
    <t>Company:    1</t>
  </si>
  <si>
    <t>or  C</t>
  </si>
  <si>
    <t>ompany Group:</t>
  </si>
  <si>
    <t>Year Code:</t>
  </si>
  <si>
    <t>or</t>
  </si>
  <si>
    <t>Year: 2019</t>
  </si>
  <si>
    <t>Period Range: 12-  12</t>
  </si>
  <si>
    <t>Organiza</t>
  </si>
  <si>
    <t>Ac</t>
  </si>
  <si>
    <t>counting Units: 01</t>
  </si>
  <si>
    <t>Accoun</t>
  </si>
  <si>
    <t>ting Unit List:</t>
  </si>
  <si>
    <t>Level Group:</t>
  </si>
  <si>
    <t>Individu</t>
  </si>
  <si>
    <t>al Reporting</t>
  </si>
  <si>
    <t>Company:           Level One:</t>
  </si>
  <si>
    <t>X        Level Two:</t>
  </si>
  <si>
    <t>X</t>
  </si>
  <si>
    <t>Level Three:          Level Four:</t>
  </si>
  <si>
    <t>Level Five:</t>
  </si>
  <si>
    <t>Report O</t>
  </si>
  <si>
    <t>ptions</t>
  </si>
  <si>
    <t>Chart Depth:</t>
  </si>
  <si>
    <t>All</t>
  </si>
  <si>
    <t>Account Detail: S</t>
  </si>
  <si>
    <t>Subaccount</t>
  </si>
  <si>
    <t>Suppress Zero Accounts: Y</t>
  </si>
  <si>
    <t>Yes</t>
  </si>
  <si>
    <t>Report Sequence: L</t>
  </si>
  <si>
    <t>Level</t>
  </si>
  <si>
    <t>Budget:</t>
  </si>
  <si>
    <t>Report Currency: B</t>
  </si>
  <si>
    <t>Base</t>
  </si>
  <si>
    <t>XBRL Tag: N</t>
  </si>
  <si>
    <t>No</t>
  </si>
  <si>
    <t>GL293  Date</t>
  </si>
  <si>
    <t>12/11/19               Company</t>
  </si>
  <si>
    <t>1 - Children's Heal</t>
  </si>
  <si>
    <t>th Care System    USD</t>
  </si>
  <si>
    <t>Page    1</t>
  </si>
  <si>
    <t>Time</t>
  </si>
  <si>
    <t>14:42                  Income Sta</t>
  </si>
  <si>
    <t>tement</t>
  </si>
  <si>
    <t>For Period</t>
  </si>
  <si>
    <t>12 Through 12 Endin</t>
  </si>
  <si>
    <t>g September 30, 2019</t>
  </si>
  <si>
    <t>Fiscal Year 201</t>
  </si>
  <si>
    <t>CHILDREN'S</t>
  </si>
  <si>
    <t>HOSPITAL</t>
  </si>
  <si>
    <t>CHCS</t>
  </si>
  <si>
    <t>Account Nbr</t>
  </si>
  <si>
    <t>Description</t>
  </si>
  <si>
    <t>Period Amount</t>
  </si>
  <si>
    <t>Year To Date</t>
  </si>
  <si>
    <t>Last Year Period</t>
  </si>
  <si>
    <t>Last Year To Date</t>
  </si>
  <si>
    <t>GROSS PATIENT &amp; OTHER SERVICE</t>
  </si>
  <si>
    <t>4000-0000</t>
  </si>
  <si>
    <t>4010-0000</t>
  </si>
  <si>
    <t>Inpatient Supply Revenue</t>
  </si>
  <si>
    <t>4020-0000</t>
  </si>
  <si>
    <t>Inpatient Outside Test Revenue</t>
  </si>
  <si>
    <t>Total INPATIENT REVENUE</t>
  </si>
  <si>
    <t>4100-0000</t>
  </si>
  <si>
    <t>4110-0000</t>
  </si>
  <si>
    <t>Outpatient Supply Revenue</t>
  </si>
  <si>
    <t>4120-0000</t>
  </si>
  <si>
    <t>Outpatient Outside Test Rev</t>
  </si>
  <si>
    <t>4130-0000</t>
  </si>
  <si>
    <t>Outpatient Cash Sales</t>
  </si>
  <si>
    <t>Total OUTPATIENT REVENUE</t>
  </si>
  <si>
    <t>Total GROSS PATIENT &amp; OTHER SE</t>
  </si>
  <si>
    <t>DFR</t>
  </si>
  <si>
    <t>5000-0000</t>
  </si>
  <si>
    <t>Free&amp;Part Pay Care</t>
  </si>
  <si>
    <t>5000-1000</t>
  </si>
  <si>
    <t>Free&amp;Part Pay Care IP</t>
  </si>
  <si>
    <t>5000-1001</t>
  </si>
  <si>
    <t>Free&amp;Part Pay Care IP Finance</t>
  </si>
  <si>
    <t>5000-2000</t>
  </si>
  <si>
    <t>Free&amp;Part Pay Care OP</t>
  </si>
  <si>
    <t>5000-2001</t>
  </si>
  <si>
    <t>Free&amp;Part Pay Care OP Finance</t>
  </si>
  <si>
    <t>Total DFR CHARITY CARE</t>
  </si>
  <si>
    <t>5100-0000</t>
  </si>
  <si>
    <t>Provision For Uncollect Accts</t>
  </si>
  <si>
    <t>5100-1000</t>
  </si>
  <si>
    <t>5100-1001</t>
  </si>
  <si>
    <t>5100-2000</t>
  </si>
  <si>
    <t>5100-2001</t>
  </si>
  <si>
    <t>Total DFR BAD DEBT EXPENSE</t>
  </si>
  <si>
    <t>5200-0000</t>
  </si>
  <si>
    <t>Government Contractuals</t>
  </si>
  <si>
    <t>5200-2001</t>
  </si>
  <si>
    <t>Government Contractuals OP Fin</t>
  </si>
  <si>
    <t>5220-0000</t>
  </si>
  <si>
    <t>Contractual Allow Medicare</t>
  </si>
  <si>
    <t>5220-1000</t>
  </si>
  <si>
    <t>Contractual Allow Medicare IP</t>
  </si>
  <si>
    <t>5220-1001</t>
  </si>
  <si>
    <t>5220-2000</t>
  </si>
  <si>
    <t>Contractual Allow Medicare OP</t>
  </si>
  <si>
    <t>5220-2001</t>
  </si>
  <si>
    <t>5230-0000</t>
  </si>
  <si>
    <t>Contractual Allow Medicaid</t>
  </si>
  <si>
    <t>5230-1000</t>
  </si>
  <si>
    <t>Contractual Allow Medicaid IP</t>
  </si>
  <si>
    <t>5230-1001</t>
  </si>
  <si>
    <t>Contractual Allow Medicaid IS</t>
  </si>
  <si>
    <t>5230-2000</t>
  </si>
  <si>
    <t>Contractual Allow Medicaid OP</t>
  </si>
  <si>
    <t>5230-2001</t>
  </si>
  <si>
    <t>5231-1000</t>
  </si>
  <si>
    <t>Contractual Allow Medicaid OS</t>
  </si>
  <si>
    <t>5231-1001</t>
  </si>
  <si>
    <t>5231-2000</t>
  </si>
  <si>
    <t>5231-2001</t>
  </si>
  <si>
    <t>5232-0000</t>
  </si>
  <si>
    <t>Contractual Allow PHP MH</t>
  </si>
  <si>
    <t>5232-2000</t>
  </si>
  <si>
    <t>Contractual Allow PHP MH OP</t>
  </si>
  <si>
    <t>5233-2000</t>
  </si>
  <si>
    <t>Contractual Allow BHO SU OP</t>
  </si>
  <si>
    <t>5234-0000</t>
  </si>
  <si>
    <t>Contractual Allow Medicaid DS</t>
  </si>
  <si>
    <t>5236-0000</t>
  </si>
  <si>
    <t>Contractual Allow Medicaid HO</t>
  </si>
  <si>
    <t>5236-1000</t>
  </si>
  <si>
    <t>Page    2</t>
  </si>
  <si>
    <t>5236-1001</t>
  </si>
  <si>
    <t>5236-2000</t>
  </si>
  <si>
    <t>5236-2001</t>
  </si>
  <si>
    <t>5240-1000</t>
  </si>
  <si>
    <t>Contractual Allow Champus IP</t>
  </si>
  <si>
    <t>5240-1001</t>
  </si>
  <si>
    <t>Contractual Allow Champus IP F</t>
  </si>
  <si>
    <t>5240-2000</t>
  </si>
  <si>
    <t>Contractual Allow Champus OP</t>
  </si>
  <si>
    <t>5240-2001</t>
  </si>
  <si>
    <t>Contractual Allow Champus OP F</t>
  </si>
  <si>
    <t>5290-1000</t>
  </si>
  <si>
    <t>Contractual Allow Other Gov IP</t>
  </si>
  <si>
    <t>5290-1001</t>
  </si>
  <si>
    <t>5290-2000</t>
  </si>
  <si>
    <t>Contractual Allow Other Gov OP</t>
  </si>
  <si>
    <t>5290-2001</t>
  </si>
  <si>
    <t>Total DFR CONTRACTUAL ALLOWANC</t>
  </si>
  <si>
    <t>5300-0000</t>
  </si>
  <si>
    <t>Negotiated Discounts</t>
  </si>
  <si>
    <t>5300-1000</t>
  </si>
  <si>
    <t>Negotiated Discounts IP</t>
  </si>
  <si>
    <t>5300-1001</t>
  </si>
  <si>
    <t>Negotiated Discounts IP Financ</t>
  </si>
  <si>
    <t>5300-2000</t>
  </si>
  <si>
    <t>Negotiated Discounts OP</t>
  </si>
  <si>
    <t>5300-2001</t>
  </si>
  <si>
    <t>Negotiated Discounts OP Financ</t>
  </si>
  <si>
    <t>5330-0000</t>
  </si>
  <si>
    <t>Negotiated Disc Research Grts</t>
  </si>
  <si>
    <t>5330-1000</t>
  </si>
  <si>
    <t>5330-2000</t>
  </si>
  <si>
    <t>5390-1000</t>
  </si>
  <si>
    <t>Admin Adj &amp; Other Neg Disc IP</t>
  </si>
  <si>
    <t>5390-2000</t>
  </si>
  <si>
    <t>Admin Adj &amp; Other Neg Disc OP</t>
  </si>
  <si>
    <t>5391-1000</t>
  </si>
  <si>
    <t>Uninsured/Package Discount IP</t>
  </si>
  <si>
    <t>5391-2000</t>
  </si>
  <si>
    <t>Uninsured/Package Discount OP</t>
  </si>
  <si>
    <t>5392-1000</t>
  </si>
  <si>
    <t>Non-Payor Discount IP</t>
  </si>
  <si>
    <t>5392-2000</t>
  </si>
  <si>
    <t>Non-Payor Discount OP</t>
  </si>
  <si>
    <t>5999-2000</t>
  </si>
  <si>
    <t>Undistributed Contractual Adju</t>
  </si>
  <si>
    <t>Total DFR NEGOTIATED DISCOUNTS</t>
  </si>
  <si>
    <t>Total DEDUCTIONS FROM REVENUE</t>
  </si>
  <si>
    <t>Total NET PATIENT &amp; SERVICE RE</t>
  </si>
  <si>
    <t>OTH OP REV</t>
  </si>
  <si>
    <t>OTHER OPERATING REVENUES</t>
  </si>
  <si>
    <t>6210-0000</t>
  </si>
  <si>
    <t>Gain(Loss) on Sale of Fixed As</t>
  </si>
  <si>
    <t>6500-0000</t>
  </si>
  <si>
    <t>Taxable Oth Rev B&amp;O Hosp Rate</t>
  </si>
  <si>
    <t>6500-3100</t>
  </si>
  <si>
    <t>6530-0000</t>
  </si>
  <si>
    <t>Taxable Oth Rev B&amp;O Clinc Rate</t>
  </si>
  <si>
    <t>6530-3100</t>
  </si>
  <si>
    <t>6560-0000</t>
  </si>
  <si>
    <t>Taxable Oth Rev B&amp;O Retl Rate</t>
  </si>
  <si>
    <t>6560-0001</t>
  </si>
  <si>
    <t>Ocean Cafe Taxable Sales</t>
  </si>
  <si>
    <t>6560-0002</t>
  </si>
  <si>
    <t>Family Meals Taxable Sales</t>
  </si>
  <si>
    <t>6560-0010</t>
  </si>
  <si>
    <t>Purchased Sales</t>
  </si>
  <si>
    <t>6560-0040</t>
  </si>
  <si>
    <t>Exempt Food Sales</t>
  </si>
  <si>
    <t>6570-0000</t>
  </si>
  <si>
    <t>Taxable Other Rev Royalty Rate</t>
  </si>
  <si>
    <t>6580-0000</t>
  </si>
  <si>
    <t>Taxable Other Revenue UBI</t>
  </si>
  <si>
    <t>6600-0000</t>
  </si>
  <si>
    <t>Federal Grants and Contracts</t>
  </si>
  <si>
    <t>6630-0000</t>
  </si>
  <si>
    <t>Other Gov Grants &amp; Contracts</t>
  </si>
  <si>
    <t>Page    3</t>
  </si>
  <si>
    <t>6632-0000</t>
  </si>
  <si>
    <t>State Contr-Univ of Washington</t>
  </si>
  <si>
    <t>6660-0000</t>
  </si>
  <si>
    <t>Private Grants and Contracts</t>
  </si>
  <si>
    <t>6690-0000</t>
  </si>
  <si>
    <t>Private Gifts-Foundation</t>
  </si>
  <si>
    <t>6691-0000</t>
  </si>
  <si>
    <t>Refund Unspent Private Gifts-F</t>
  </si>
  <si>
    <t>6692-0000</t>
  </si>
  <si>
    <t>Other Private Gifts</t>
  </si>
  <si>
    <t>6810-0000</t>
  </si>
  <si>
    <t>Rental Income</t>
  </si>
  <si>
    <t>6811-0000</t>
  </si>
  <si>
    <t>Rental Income-Other</t>
  </si>
  <si>
    <t>6820-0000</t>
  </si>
  <si>
    <t>Purchase Discounts</t>
  </si>
  <si>
    <t>6830-0000</t>
  </si>
  <si>
    <t>Other Tax Exempt Income</t>
  </si>
  <si>
    <t>6845-0000</t>
  </si>
  <si>
    <t>Interest Income-Restricted Fun</t>
  </si>
  <si>
    <t>6845-1000</t>
  </si>
  <si>
    <t>Interest Income</t>
  </si>
  <si>
    <t>6845-3100</t>
  </si>
  <si>
    <t>6850-0011</t>
  </si>
  <si>
    <t>Interest Income - Bonds</t>
  </si>
  <si>
    <t>6900-0000</t>
  </si>
  <si>
    <t>Transfers From/To Working Fund</t>
  </si>
  <si>
    <t>6905-1000</t>
  </si>
  <si>
    <t>Direct Donation</t>
  </si>
  <si>
    <t>6915-0000</t>
  </si>
  <si>
    <t>Transfers Fm/To Research ops</t>
  </si>
  <si>
    <t>6935-1000</t>
  </si>
  <si>
    <t>Donations for Operating Expens</t>
  </si>
  <si>
    <t>6940-0000</t>
  </si>
  <si>
    <t>Transfers From Endowment Fund</t>
  </si>
  <si>
    <t>6950-0000</t>
  </si>
  <si>
    <t>Transfers Fm/To Clinician Fund</t>
  </si>
  <si>
    <t>6960-0000</t>
  </si>
  <si>
    <t>Transfer to (increase) Unrestr</t>
  </si>
  <si>
    <t>6960-3100</t>
  </si>
  <si>
    <t>6965-0000</t>
  </si>
  <si>
    <t>Transfer from (reduce) Unrestr</t>
  </si>
  <si>
    <t>6965-3100</t>
  </si>
  <si>
    <t>6975-3100</t>
  </si>
  <si>
    <t>Transfer from (reduce) Temp Re</t>
  </si>
  <si>
    <t>Total OTHER OPERATING REVENUE</t>
  </si>
  <si>
    <t>6530-4100</t>
  </si>
  <si>
    <t>6600-4100</t>
  </si>
  <si>
    <t>6630-4100</t>
  </si>
  <si>
    <t>6632-4100</t>
  </si>
  <si>
    <t>6660-4100</t>
  </si>
  <si>
    <t>6670-0000</t>
  </si>
  <si>
    <t>Drug Firm Grants and Contracts</t>
  </si>
  <si>
    <t>6680-0000</t>
  </si>
  <si>
    <t>Other Funding Sources-Industry</t>
  </si>
  <si>
    <t>6690-0001</t>
  </si>
  <si>
    <t>Private Gifts-Foundation Billa</t>
  </si>
  <si>
    <t>6690-0002</t>
  </si>
  <si>
    <t>Private Gifts-Foundation non c</t>
  </si>
  <si>
    <t>6690-0003</t>
  </si>
  <si>
    <t>6690-4100</t>
  </si>
  <si>
    <t>6691-4100</t>
  </si>
  <si>
    <t>6830-4100</t>
  </si>
  <si>
    <t>6845-4100</t>
  </si>
  <si>
    <t>6910-0000</t>
  </si>
  <si>
    <t>Transfers Fm/To Research Grant</t>
  </si>
  <si>
    <t>6940-4100</t>
  </si>
  <si>
    <t>Tfr From Endowment Fund</t>
  </si>
  <si>
    <t>6970-4100</t>
  </si>
  <si>
    <t>Transfer to (increase) Temp Re</t>
  </si>
  <si>
    <t>6975-4100</t>
  </si>
  <si>
    <t>6999-4100</t>
  </si>
  <si>
    <t>Reclassify rel fm rest for res</t>
  </si>
  <si>
    <t>Total RESEARCH GRANT AND CONTR</t>
  </si>
  <si>
    <t>6530-5100</t>
  </si>
  <si>
    <t>6600-5100</t>
  </si>
  <si>
    <t>6630-5100</t>
  </si>
  <si>
    <t>6632-5100</t>
  </si>
  <si>
    <t>Page    4</t>
  </si>
  <si>
    <t>6660-5100</t>
  </si>
  <si>
    <t>6690-5100</t>
  </si>
  <si>
    <t>6691-5100</t>
  </si>
  <si>
    <t>6692-5100</t>
  </si>
  <si>
    <t>6830-5100</t>
  </si>
  <si>
    <t>6845-5100</t>
  </si>
  <si>
    <t>6920-0000</t>
  </si>
  <si>
    <t>Transfers From/To Special Fund</t>
  </si>
  <si>
    <t>6930-5100</t>
  </si>
  <si>
    <t>Guild Funding Focus</t>
  </si>
  <si>
    <t>6935-5100</t>
  </si>
  <si>
    <t>6940-5100</t>
  </si>
  <si>
    <t>6970-5100</t>
  </si>
  <si>
    <t>6975-5100</t>
  </si>
  <si>
    <t>6999-5100</t>
  </si>
  <si>
    <t>Reclassify rel fm rest for ope</t>
  </si>
  <si>
    <t>Total OTHER RELEASE FROM RESTR</t>
  </si>
  <si>
    <t>UNCOMPENSATED CARE</t>
  </si>
  <si>
    <t>6925-0000</t>
  </si>
  <si>
    <t>Uncompe Care Rel fm Restrictio</t>
  </si>
  <si>
    <t>Total UNCOMPENSATED CARE</t>
  </si>
  <si>
    <t>NET AT REL FM REST FOR OPERATI</t>
  </si>
  <si>
    <t>6999-0000</t>
  </si>
  <si>
    <t>Total NET AT REL FM REST FOR O</t>
  </si>
  <si>
    <t>Total OTHER OPERATING REVENUES</t>
  </si>
  <si>
    <t>Total NET OPERATING REVENUE</t>
  </si>
  <si>
    <t>NET OP EXP</t>
  </si>
  <si>
    <t>NET OPERATING EXPENSES</t>
  </si>
  <si>
    <t>7000-0000</t>
  </si>
  <si>
    <t>7001-0340</t>
  </si>
  <si>
    <t>Non-cash system expense</t>
  </si>
  <si>
    <t>7010-0000</t>
  </si>
  <si>
    <t>Salaries-Manager/Supervisor</t>
  </si>
  <si>
    <t>7020-0000</t>
  </si>
  <si>
    <t>Salaries-Professional</t>
  </si>
  <si>
    <t>7030-0000</t>
  </si>
  <si>
    <t>Salaries-Technical/Specialist</t>
  </si>
  <si>
    <t>7040-0000</t>
  </si>
  <si>
    <t>Salaries-Registered Nurses</t>
  </si>
  <si>
    <t>7060-0000</t>
  </si>
  <si>
    <t>Salaries-Special Care Provider</t>
  </si>
  <si>
    <t>7080-0000</t>
  </si>
  <si>
    <t>Salaries-Clerical/Other</t>
  </si>
  <si>
    <t>7095-0000</t>
  </si>
  <si>
    <t>Salary Transfer To Agency Use</t>
  </si>
  <si>
    <t>7099-0000</t>
  </si>
  <si>
    <t>Salaries-Transferred Out</t>
  </si>
  <si>
    <t>Total SALARIES &amp; WAGES</t>
  </si>
  <si>
    <t>7100-0000</t>
  </si>
  <si>
    <t>7110-0000</t>
  </si>
  <si>
    <t>FICA</t>
  </si>
  <si>
    <t>7120-0000</t>
  </si>
  <si>
    <t>7125-0000</t>
  </si>
  <si>
    <t>Washington Family Leave</t>
  </si>
  <si>
    <t>7130-0000</t>
  </si>
  <si>
    <t>7140-1000</t>
  </si>
  <si>
    <t>Medical Insurance - Kaiser</t>
  </si>
  <si>
    <t>7140-2000</t>
  </si>
  <si>
    <t>Medical Insurance - Regence</t>
  </si>
  <si>
    <t>7140-2500</t>
  </si>
  <si>
    <t>Medical Insurance - Express Sc</t>
  </si>
  <si>
    <t>7140-3000</t>
  </si>
  <si>
    <t>Medical - Vera</t>
  </si>
  <si>
    <t>7140-4000</t>
  </si>
  <si>
    <t>Dental Insurance</t>
  </si>
  <si>
    <t>7140-6000</t>
  </si>
  <si>
    <t>Medical - Vision Insurance</t>
  </si>
  <si>
    <t>7140-7000</t>
  </si>
  <si>
    <t>Medical Insurance - Payroll Sy</t>
  </si>
  <si>
    <t>Page    5</t>
  </si>
  <si>
    <t>7140-8000</t>
  </si>
  <si>
    <t>Medical - Health Equity</t>
  </si>
  <si>
    <t>7140-8500</t>
  </si>
  <si>
    <t>Health Savings Account</t>
  </si>
  <si>
    <t>7140-9000</t>
  </si>
  <si>
    <t>Medical - Cobra</t>
  </si>
  <si>
    <t>7160-0000</t>
  </si>
  <si>
    <t>Pension and Retirement</t>
  </si>
  <si>
    <t>7170-0000</t>
  </si>
  <si>
    <t>Disability Insurance</t>
  </si>
  <si>
    <t>7180-0000</t>
  </si>
  <si>
    <t>Vacation</t>
  </si>
  <si>
    <t>7185-0000</t>
  </si>
  <si>
    <t>Employee Assistance Program</t>
  </si>
  <si>
    <t>7192-0000</t>
  </si>
  <si>
    <t>Medical Service Discount</t>
  </si>
  <si>
    <t>7199-0000</t>
  </si>
  <si>
    <t>Employee Benefit Cost Trans</t>
  </si>
  <si>
    <t>Total EMPLOYEE BENEFITS</t>
  </si>
  <si>
    <t>7650-0000</t>
  </si>
  <si>
    <t>Purchased Svcs Contract Staff</t>
  </si>
  <si>
    <t>Total CONTRACT STAFFING</t>
  </si>
  <si>
    <t>7330-0000</t>
  </si>
  <si>
    <t>Nitric Oxide</t>
  </si>
  <si>
    <t>7340-0000</t>
  </si>
  <si>
    <t>Oxygen and Other Gases</t>
  </si>
  <si>
    <t>7350-0000</t>
  </si>
  <si>
    <t>Intravenous Solution</t>
  </si>
  <si>
    <t>7360-0000</t>
  </si>
  <si>
    <t>Drugs</t>
  </si>
  <si>
    <t>7370-0000</t>
  </si>
  <si>
    <t>Minor Medical Equipment</t>
  </si>
  <si>
    <t>7380-0000</t>
  </si>
  <si>
    <t>Patient Chargeable Supplies</t>
  </si>
  <si>
    <t>7385-0000</t>
  </si>
  <si>
    <t>Patient Care Costs-HRHS</t>
  </si>
  <si>
    <t>7390-0000</t>
  </si>
  <si>
    <t>Medical Supplies</t>
  </si>
  <si>
    <t>7391-0000</t>
  </si>
  <si>
    <t>Medline Distribution</t>
  </si>
  <si>
    <t>7392-0452</t>
  </si>
  <si>
    <t>Handling Returned Items</t>
  </si>
  <si>
    <t>7392-0454</t>
  </si>
  <si>
    <t>Scrapped Not Returned</t>
  </si>
  <si>
    <t>7392-0456</t>
  </si>
  <si>
    <t>Invoice Tolerance</t>
  </si>
  <si>
    <t>7392-0462</t>
  </si>
  <si>
    <t>Inventory Adjustment Account</t>
  </si>
  <si>
    <t>7392-0464</t>
  </si>
  <si>
    <t>Cost Variance PO to Invoice</t>
  </si>
  <si>
    <t>7392-0466</t>
  </si>
  <si>
    <t>Physical Inventory Variance</t>
  </si>
  <si>
    <t>7392-0472</t>
  </si>
  <si>
    <t>Match Prepay Differences</t>
  </si>
  <si>
    <t>7392-0474</t>
  </si>
  <si>
    <t>Underbill Write-off</t>
  </si>
  <si>
    <t>7392-0479</t>
  </si>
  <si>
    <t>Use Tax Expense</t>
  </si>
  <si>
    <t>7392-0480</t>
  </si>
  <si>
    <t>Tax Rounding</t>
  </si>
  <si>
    <t>7393-0000</t>
  </si>
  <si>
    <t>Rebates &amp; Purchase Discounts</t>
  </si>
  <si>
    <t>7394-0000</t>
  </si>
  <si>
    <t>Implants</t>
  </si>
  <si>
    <t>7395-0000</t>
  </si>
  <si>
    <t>Blood</t>
  </si>
  <si>
    <t>7397-0000</t>
  </si>
  <si>
    <t>Antihemophilic Factor</t>
  </si>
  <si>
    <t>7399-0000</t>
  </si>
  <si>
    <t>Supply Cost Transfers</t>
  </si>
  <si>
    <t>Total MEDICAL SUPPLIES</t>
  </si>
  <si>
    <t>7410-0000</t>
  </si>
  <si>
    <t>Food &amp; Catering</t>
  </si>
  <si>
    <t>7419-0000</t>
  </si>
  <si>
    <t>Other Supply - Internal Cateri</t>
  </si>
  <si>
    <t>7420-0000</t>
  </si>
  <si>
    <t>Cost of Goods Sold</t>
  </si>
  <si>
    <t>7454-0000</t>
  </si>
  <si>
    <t>Copier and Printing Supplies</t>
  </si>
  <si>
    <t>7480-0000</t>
  </si>
  <si>
    <t>Minor Equipment</t>
  </si>
  <si>
    <t>7483-0000</t>
  </si>
  <si>
    <t>Minor IS Equipment</t>
  </si>
  <si>
    <t>7490-0000</t>
  </si>
  <si>
    <t>Office and Other Supplies</t>
  </si>
  <si>
    <t>7493-0000</t>
  </si>
  <si>
    <t>Postage</t>
  </si>
  <si>
    <t>7494-0000</t>
  </si>
  <si>
    <t>Freight/Delivery</t>
  </si>
  <si>
    <t>7499-0000</t>
  </si>
  <si>
    <t>Other Supply Cost Transfers</t>
  </si>
  <si>
    <t>Page    6</t>
  </si>
  <si>
    <t>Total OTHER SUPPLIES</t>
  </si>
  <si>
    <t>7510-0000</t>
  </si>
  <si>
    <t>Electricity</t>
  </si>
  <si>
    <t>7520-0000</t>
  </si>
  <si>
    <t>Fuel</t>
  </si>
  <si>
    <t>7540-0000</t>
  </si>
  <si>
    <t>Water</t>
  </si>
  <si>
    <t>7550-0000</t>
  </si>
  <si>
    <t>Disposal Service</t>
  </si>
  <si>
    <t>7570-0000</t>
  </si>
  <si>
    <t>Telephone</t>
  </si>
  <si>
    <t>7599-0000</t>
  </si>
  <si>
    <t>Utilities Transferred</t>
  </si>
  <si>
    <t>Total UTILITIES</t>
  </si>
  <si>
    <t>REPAIRS</t>
  </si>
  <si>
    <t>7600-0000</t>
  </si>
  <si>
    <t>Repair and Maintenance Serv</t>
  </si>
  <si>
    <t>7600-0050</t>
  </si>
  <si>
    <t>Repair &amp; Maint Serv - Material</t>
  </si>
  <si>
    <t>7600-0062</t>
  </si>
  <si>
    <t>Repair &amp; Maint Serv - Outsourc</t>
  </si>
  <si>
    <t>7600-0069</t>
  </si>
  <si>
    <t>Repair &amp; Maint Serv - Service</t>
  </si>
  <si>
    <t>7601-0000</t>
  </si>
  <si>
    <t>Clinical Equipment - Repairs &amp;</t>
  </si>
  <si>
    <t>7602-0000</t>
  </si>
  <si>
    <t>Clinical Engineering Services</t>
  </si>
  <si>
    <t>7609-0000</t>
  </si>
  <si>
    <t>Repair Maint Costs Transferred</t>
  </si>
  <si>
    <t>Total REPAIRS</t>
  </si>
  <si>
    <t>7605-0000</t>
  </si>
  <si>
    <t>Software Maintenance</t>
  </si>
  <si>
    <t>7612-0000</t>
  </si>
  <si>
    <t>Professional Purchased Service</t>
  </si>
  <si>
    <t>7620-0000</t>
  </si>
  <si>
    <t>Consultants</t>
  </si>
  <si>
    <t>7625-0000</t>
  </si>
  <si>
    <t>Legal</t>
  </si>
  <si>
    <t>7627-0000</t>
  </si>
  <si>
    <t>Accounting and Auditing</t>
  </si>
  <si>
    <t>7640-0000</t>
  </si>
  <si>
    <t>Physician Admin Support</t>
  </si>
  <si>
    <t>7659-0000</t>
  </si>
  <si>
    <t>Consortiums</t>
  </si>
  <si>
    <t>7660-0000</t>
  </si>
  <si>
    <t>Outside Reference Testing</t>
  </si>
  <si>
    <t>7680-0000</t>
  </si>
  <si>
    <t>7690-0000</t>
  </si>
  <si>
    <t>Other Purchased Services</t>
  </si>
  <si>
    <t>7690-5620</t>
  </si>
  <si>
    <t>Vanpool Flex-Plan Vouchers</t>
  </si>
  <si>
    <t>7691-0000</t>
  </si>
  <si>
    <t>Reimbursement from Country Doc</t>
  </si>
  <si>
    <t>7695-0000</t>
  </si>
  <si>
    <t>Internal Purchase Service</t>
  </si>
  <si>
    <t>7699-0000</t>
  </si>
  <si>
    <t>Other Purchased Services Trans</t>
  </si>
  <si>
    <t>7780-0000</t>
  </si>
  <si>
    <t>SaaS Amortization</t>
  </si>
  <si>
    <t>Total PURCHASED SERVICES</t>
  </si>
  <si>
    <t>7720-0000</t>
  </si>
  <si>
    <t>Depreciation Land Improvements</t>
  </si>
  <si>
    <t>7730-0000</t>
  </si>
  <si>
    <t>Depreciation Building</t>
  </si>
  <si>
    <t>7740-0000</t>
  </si>
  <si>
    <t>Depreciation Fixed Equipment</t>
  </si>
  <si>
    <t>7750-0000</t>
  </si>
  <si>
    <t>Depreciation Interior Ren</t>
  </si>
  <si>
    <t>7760-0000</t>
  </si>
  <si>
    <t>Depreciation Furniture &amp; Equip</t>
  </si>
  <si>
    <t>7770-0000</t>
  </si>
  <si>
    <t>Depreciation Leasehold Imp</t>
  </si>
  <si>
    <t>7962-0000</t>
  </si>
  <si>
    <t>Bond Premium/Discount Amort</t>
  </si>
  <si>
    <t>Total DEPRECIATION</t>
  </si>
  <si>
    <t>7810-0000</t>
  </si>
  <si>
    <t>Space Leases and Rentals</t>
  </si>
  <si>
    <t>7810-0001</t>
  </si>
  <si>
    <t>Space Lease - Home Care</t>
  </si>
  <si>
    <t>7810-0002</t>
  </si>
  <si>
    <t>Space Lease - Springbrook Bldg</t>
  </si>
  <si>
    <t>7810-0003</t>
  </si>
  <si>
    <t>Space Lease - Springbrook CUMG</t>
  </si>
  <si>
    <t>7810-0004</t>
  </si>
  <si>
    <t>Space Lease - Roosevelt Common</t>
  </si>
  <si>
    <t>7810-0005</t>
  </si>
  <si>
    <t>Space Lease - MPW 900 950 1225</t>
  </si>
  <si>
    <t>Page    7</t>
  </si>
  <si>
    <t>7810-0006</t>
  </si>
  <si>
    <t>Space Lease - Modular</t>
  </si>
  <si>
    <t>7810-0007</t>
  </si>
  <si>
    <t>Space Lease - 818 Stewart</t>
  </si>
  <si>
    <t>7810-0008</t>
  </si>
  <si>
    <t>Space Lease - Lakeview Medical</t>
  </si>
  <si>
    <t>7820-0000</t>
  </si>
  <si>
    <t>Equipment Rentals</t>
  </si>
  <si>
    <t>7899-0000</t>
  </si>
  <si>
    <t>Lease/Rental Cost Transferred</t>
  </si>
  <si>
    <t>Total LEASE &amp; RENTALS</t>
  </si>
  <si>
    <t>Total DEPRECIATION &amp; RENTALS</t>
  </si>
  <si>
    <t>7920-0000</t>
  </si>
  <si>
    <t>Licenses and Taxes</t>
  </si>
  <si>
    <t>7920-0001</t>
  </si>
  <si>
    <t>Licenses and Taxes - Provider</t>
  </si>
  <si>
    <t>7921-0000</t>
  </si>
  <si>
    <t>Property Taxes</t>
  </si>
  <si>
    <t>7930-0000</t>
  </si>
  <si>
    <t>7935-0000</t>
  </si>
  <si>
    <t>Professional Liability Ins</t>
  </si>
  <si>
    <t>7940-0000</t>
  </si>
  <si>
    <t>Indemnity Payments</t>
  </si>
  <si>
    <t>7965-0000</t>
  </si>
  <si>
    <t>Bank Fees</t>
  </si>
  <si>
    <t>7970-0000</t>
  </si>
  <si>
    <t>Non-Patient Bad Debt</t>
  </si>
  <si>
    <t>7979-0000</t>
  </si>
  <si>
    <t>Community Building - Contribut</t>
  </si>
  <si>
    <t>7980-0000</t>
  </si>
  <si>
    <t>Other Miscellaneous Expense</t>
  </si>
  <si>
    <t>7980-0001</t>
  </si>
  <si>
    <t>CUMG Phys-Other Miscellaneous</t>
  </si>
  <si>
    <t>7981-0000</t>
  </si>
  <si>
    <t>Tuition Assistance Program</t>
  </si>
  <si>
    <t>7982-0000</t>
  </si>
  <si>
    <t>Relocation</t>
  </si>
  <si>
    <t>7982-0200</t>
  </si>
  <si>
    <t>Relocation Domestic Airfare</t>
  </si>
  <si>
    <t>7982-0400</t>
  </si>
  <si>
    <t>Relocation Domestic Lodging/Me</t>
  </si>
  <si>
    <t>7982-0800</t>
  </si>
  <si>
    <t>Relocation Domestic Other Rela</t>
  </si>
  <si>
    <t>7983-0000</t>
  </si>
  <si>
    <t>Training/Tuition</t>
  </si>
  <si>
    <t>7984-0000</t>
  </si>
  <si>
    <t>Dues-Subscriptions-Memberships</t>
  </si>
  <si>
    <t>7985-0200</t>
  </si>
  <si>
    <t>Domestic Airfare</t>
  </si>
  <si>
    <t>7985-0400</t>
  </si>
  <si>
    <t>Domestic Lodging/Meals</t>
  </si>
  <si>
    <t>7985-0600</t>
  </si>
  <si>
    <t>Domestic Conference Registrati</t>
  </si>
  <si>
    <t>7985-0800</t>
  </si>
  <si>
    <t>Domestic Other Travel Related</t>
  </si>
  <si>
    <t>7985-1200</t>
  </si>
  <si>
    <t>International Airfare</t>
  </si>
  <si>
    <t>7985-1400</t>
  </si>
  <si>
    <t>International Lodging/Meals</t>
  </si>
  <si>
    <t>7985-1600</t>
  </si>
  <si>
    <t>International Conference Regis</t>
  </si>
  <si>
    <t>7985-1800</t>
  </si>
  <si>
    <t>International Other Travel Rel</t>
  </si>
  <si>
    <t>7987-0000</t>
  </si>
  <si>
    <t>Recruitment</t>
  </si>
  <si>
    <t>7988-0000</t>
  </si>
  <si>
    <t>Community Event Sponsorship</t>
  </si>
  <si>
    <t>7989-0000</t>
  </si>
  <si>
    <t>Community Benefits-Contributio</t>
  </si>
  <si>
    <t>7990-0000</t>
  </si>
  <si>
    <t>Indirect Costs</t>
  </si>
  <si>
    <t>7999-0000</t>
  </si>
  <si>
    <t>Other Exp Costs Transferred</t>
  </si>
  <si>
    <t>Total OTHER EXPENSES</t>
  </si>
  <si>
    <t>7960-0000</t>
  </si>
  <si>
    <t>7960-0003</t>
  </si>
  <si>
    <t>Interest 2006A Series</t>
  </si>
  <si>
    <t>7960-0004</t>
  </si>
  <si>
    <t>Interest 2006B Series</t>
  </si>
  <si>
    <t>7960-0010</t>
  </si>
  <si>
    <t>Interest 2009 Series</t>
  </si>
  <si>
    <t>7960-0011</t>
  </si>
  <si>
    <t>Interest 2010A Series</t>
  </si>
  <si>
    <t>7960-0012</t>
  </si>
  <si>
    <t>Interest 2010B Series</t>
  </si>
  <si>
    <t>7960-0013</t>
  </si>
  <si>
    <t>Interest 2012A Series</t>
  </si>
  <si>
    <t>7960-0014</t>
  </si>
  <si>
    <t>Interest 2012B Series</t>
  </si>
  <si>
    <t>7960-0015</t>
  </si>
  <si>
    <t>Interest 2012C Series</t>
  </si>
  <si>
    <t>Page    8</t>
  </si>
  <si>
    <t>7960-0016</t>
  </si>
  <si>
    <t>Interest 2012D Series</t>
  </si>
  <si>
    <t>7960-0017</t>
  </si>
  <si>
    <t>Interest 2015A Series</t>
  </si>
  <si>
    <t>7960-0018</t>
  </si>
  <si>
    <t>Interest 2015B Series</t>
  </si>
  <si>
    <t>7960-0019</t>
  </si>
  <si>
    <t>Interest 2017A Series</t>
  </si>
  <si>
    <t>Total INTEREST EXPENSE</t>
  </si>
  <si>
    <t>Total NET OPERATING EXPENSES</t>
  </si>
  <si>
    <t>Total NET OPERATONS GAIN (LOSS</t>
  </si>
  <si>
    <t>INVEST &amp; OT</t>
  </si>
  <si>
    <t>H INVESTMENT AND OTHER INCOME</t>
  </si>
  <si>
    <t>8000-0000</t>
  </si>
  <si>
    <t>Dividends &amp; Interest-ST Funds</t>
  </si>
  <si>
    <t>8001-0000</t>
  </si>
  <si>
    <t>Dividends &amp; Int-Endow Funds</t>
  </si>
  <si>
    <t>8001-0002</t>
  </si>
  <si>
    <t>Int &amp; Div Income - LT Invest P</t>
  </si>
  <si>
    <t>8005-0000</t>
  </si>
  <si>
    <t>Amortization/Accretion</t>
  </si>
  <si>
    <t>8030-0000</t>
  </si>
  <si>
    <t>Income From Other Funds</t>
  </si>
  <si>
    <t>8060-0000</t>
  </si>
  <si>
    <t>Realized Gain(Loss) Sale ST Fu</t>
  </si>
  <si>
    <t>8061-0000</t>
  </si>
  <si>
    <t>Realized Gain(Loss) on Sale En</t>
  </si>
  <si>
    <t>8061-0002</t>
  </si>
  <si>
    <t>Realized G/L - LT Invest Pool</t>
  </si>
  <si>
    <t>8065-4000</t>
  </si>
  <si>
    <t>UGLS - Trading Security Endow</t>
  </si>
  <si>
    <t>8065-4002</t>
  </si>
  <si>
    <t>Mkt Adj - LT Invest Pool - Ope</t>
  </si>
  <si>
    <t>8066-0000</t>
  </si>
  <si>
    <t>UGLS - Trading Securities ST I</t>
  </si>
  <si>
    <t>8066-4000</t>
  </si>
  <si>
    <t>8080-0001</t>
  </si>
  <si>
    <t>Int SWAP MTM Ineffect Series A</t>
  </si>
  <si>
    <t>8080-0002</t>
  </si>
  <si>
    <t>Int SWAP MTM Ineffect Series B</t>
  </si>
  <si>
    <t>8096-0000</t>
  </si>
  <si>
    <t>UBI Tax LT Investment Pool</t>
  </si>
  <si>
    <t>8096-0002</t>
  </si>
  <si>
    <t>UBI Tax LT Investment Pool - O</t>
  </si>
  <si>
    <t>8097-0000</t>
  </si>
  <si>
    <t>Bank &amp; Investment Fees for Sho</t>
  </si>
  <si>
    <t>8098-0000</t>
  </si>
  <si>
    <t>Bank &amp; Investment Fees for End</t>
  </si>
  <si>
    <t>8098-0002</t>
  </si>
  <si>
    <t>Investment Fees - LT Invest Po</t>
  </si>
  <si>
    <t>8099-1000</t>
  </si>
  <si>
    <t>Reclassify Realized Income</t>
  </si>
  <si>
    <t>8099-4000</t>
  </si>
  <si>
    <t>Reclassify Unrealized Income</t>
  </si>
  <si>
    <t>Total INVESTMENT INCOME</t>
  </si>
  <si>
    <t>8811-0000</t>
  </si>
  <si>
    <t>Rental Income - Other</t>
  </si>
  <si>
    <t>8930-3100</t>
  </si>
  <si>
    <t>Inherent Contribution</t>
  </si>
  <si>
    <t>Total NON-OPERATING INCOME</t>
  </si>
  <si>
    <t>Total INVESTMENT AND OTHER INC</t>
  </si>
  <si>
    <t>9480-0000</t>
  </si>
  <si>
    <t>Other Minor Equipment</t>
  </si>
  <si>
    <t>9510-0000</t>
  </si>
  <si>
    <t>9520-0000</t>
  </si>
  <si>
    <t>9540-0000</t>
  </si>
  <si>
    <t>9600-0000</t>
  </si>
  <si>
    <t>Repairs and Maintenance</t>
  </si>
  <si>
    <t>9625-0000</t>
  </si>
  <si>
    <t>Legal Expense</t>
  </si>
  <si>
    <t>9690-0000</t>
  </si>
  <si>
    <t>9730-0000</t>
  </si>
  <si>
    <t>9750-0000</t>
  </si>
  <si>
    <t>Depreciation Interior Renovati</t>
  </si>
  <si>
    <t>Page    9</t>
  </si>
  <si>
    <t>9810-0000</t>
  </si>
  <si>
    <t>9920-0000</t>
  </si>
  <si>
    <t>9922-0000</t>
  </si>
  <si>
    <t>9930-0000</t>
  </si>
  <si>
    <t>9980-0000</t>
  </si>
  <si>
    <t>9989-0000</t>
  </si>
  <si>
    <t>Community Benefits - Contribut</t>
  </si>
  <si>
    <t>Total NON-OPERATING EXPENSES</t>
  </si>
  <si>
    <t>Total NET GAIN (LOSS)</t>
  </si>
  <si>
    <t>_</t>
  </si>
  <si>
    <t>____________________</t>
  </si>
  <si>
    <t>_____________________</t>
  </si>
  <si>
    <t>Page   10</t>
  </si>
  <si>
    <t>HOSPITAL O</t>
  </si>
  <si>
    <t>PERATIONS</t>
  </si>
  <si>
    <t>Page   11</t>
  </si>
  <si>
    <t>Page   12</t>
  </si>
  <si>
    <t>Page   13</t>
  </si>
  <si>
    <t>Page   14</t>
  </si>
  <si>
    <t>Page   15</t>
  </si>
  <si>
    <t>Page   16</t>
  </si>
  <si>
    <t>Page   17</t>
  </si>
  <si>
    <t>Page   18</t>
  </si>
  <si>
    <t>CLINICIAN</t>
  </si>
  <si>
    <t>OPERATIONS</t>
  </si>
  <si>
    <t>Page   19</t>
  </si>
  <si>
    <t>Page   20</t>
  </si>
  <si>
    <t>Page   21</t>
  </si>
  <si>
    <t>RESEARCH O</t>
  </si>
  <si>
    <t>Page   22</t>
  </si>
  <si>
    <t>Page   23</t>
  </si>
  <si>
    <t>Page   24</t>
  </si>
  <si>
    <t>RESEARCH G</t>
  </si>
  <si>
    <t>RANTS</t>
  </si>
  <si>
    <t>Page   25</t>
  </si>
  <si>
    <t>Page   26</t>
  </si>
  <si>
    <t>Page   27</t>
  </si>
  <si>
    <t>HOSPITAL S</t>
  </si>
  <si>
    <t>PECIAL FUNDS</t>
  </si>
  <si>
    <t>Page   28</t>
  </si>
  <si>
    <t>Page   29</t>
  </si>
  <si>
    <t>PRIOR FISCAL  YEAR END</t>
  </si>
  <si>
    <t>ACCOUNT</t>
  </si>
  <si>
    <t>SUB_ACCOUNT</t>
  </si>
  <si>
    <t>DESCRIPTION</t>
  </si>
  <si>
    <t>FISCAL YTD</t>
  </si>
  <si>
    <t>Variance</t>
  </si>
  <si>
    <t>Variance %</t>
  </si>
  <si>
    <t>100</t>
  </si>
  <si>
    <t>CASH &amp; CASH EQUIVALENTS</t>
  </si>
  <si>
    <t>Controlled Disbursement</t>
  </si>
  <si>
    <t>CCIN Checking</t>
  </si>
  <si>
    <t>Payroll</t>
  </si>
  <si>
    <t>Concentration</t>
  </si>
  <si>
    <t>Gift Shop</t>
  </si>
  <si>
    <t>Petty Cash-Hospital Gift Shop #1</t>
  </si>
  <si>
    <t>Petty Cash-Whale Gift Shop</t>
  </si>
  <si>
    <t>Petty Cash-Hospital</t>
  </si>
  <si>
    <t>Petty Cash Bothell</t>
  </si>
  <si>
    <t>JP Morgan C&amp;CE</t>
  </si>
  <si>
    <t>Reclassification Cash</t>
  </si>
  <si>
    <t>TOTAL FOR CASH &amp; CASH EQUIVALENTS</t>
  </si>
  <si>
    <t>110</t>
  </si>
  <si>
    <t>PATIENT ACCOUNTS RECEIVABLE</t>
  </si>
  <si>
    <t>Patient AR-Pharmacy</t>
  </si>
  <si>
    <t>Patient AR-EPIC</t>
  </si>
  <si>
    <t>Patient AR - EPIC Clearing</t>
  </si>
  <si>
    <t>AK Medicaid Food Vouchers Clrg</t>
  </si>
  <si>
    <t>Receivable from CUMG</t>
  </si>
  <si>
    <t>Patient AR Clearing</t>
  </si>
  <si>
    <t>Patient Refunds Clrg-EPIC</t>
  </si>
  <si>
    <t>Reclassification of AR</t>
  </si>
  <si>
    <t>TOTAL FOR PATIENT ACCOUNTS RECEIVABLE</t>
  </si>
  <si>
    <t>116</t>
  </si>
  <si>
    <t>RESERVES ON PATIENT AR</t>
  </si>
  <si>
    <t>Reserve for Bad Debt-EPIC</t>
  </si>
  <si>
    <t>Reserve for DFR-Pharmacy</t>
  </si>
  <si>
    <t>Reserve Medicaid CA-EPIC</t>
  </si>
  <si>
    <t>Reserve Medicare Cont Allow-EPIC</t>
  </si>
  <si>
    <t>Reserve Champus Cont Allow-EPIC</t>
  </si>
  <si>
    <t>Reserve Neg Disc-EPIC</t>
  </si>
  <si>
    <t>Reserve for Free Care</t>
  </si>
  <si>
    <t>TOTAL FOR RESERVES ON PATIENT AR</t>
  </si>
  <si>
    <t>TOTAL PATIENT AR NET</t>
  </si>
  <si>
    <t>Intercompany with CHCS</t>
  </si>
  <si>
    <t>Reclass Credit Balances to Pay</t>
  </si>
  <si>
    <t>Reclass Long-Term Pay Affil</t>
  </si>
  <si>
    <t>120</t>
  </si>
  <si>
    <t>OTHER RECEIVABLES</t>
  </si>
  <si>
    <t>Lawson AR - Non Patient</t>
  </si>
  <si>
    <t>Non Patient AR - Allowance</t>
  </si>
  <si>
    <t>RNA Lawson AR - Non Patient</t>
  </si>
  <si>
    <t>Earned/Unbilled Grants &amp; Contracts Restricted Funds</t>
  </si>
  <si>
    <t>Earned/Unbilled Hospital Contracts</t>
  </si>
  <si>
    <t>Interest Receivable</t>
  </si>
  <si>
    <t>Pledges Receivable - Current Portion</t>
  </si>
  <si>
    <t>CUMG CMF Receivable</t>
  </si>
  <si>
    <t>Safety Net Assessment</t>
  </si>
  <si>
    <t>Gift Shop Accounts Receivable</t>
  </si>
  <si>
    <t>Insurance Recoveries - Professional Liability</t>
  </si>
  <si>
    <t>Insurance Recoveries - Workers Compensation</t>
  </si>
  <si>
    <t>Rent Receivable</t>
  </si>
  <si>
    <t>Rent Receivable - Amazon Lease</t>
  </si>
  <si>
    <t>RENT RECIEVABLE - 4511 40th Ave NE</t>
  </si>
  <si>
    <t>Foundation Gifts Clearing</t>
  </si>
  <si>
    <t>TOTAL FOR OTHER RECEIVABLES</t>
  </si>
  <si>
    <t>130</t>
  </si>
  <si>
    <t>INVENTORY</t>
  </si>
  <si>
    <t>Inventory-Hospital Whale Gift Shop</t>
  </si>
  <si>
    <t>Demand Flow Inventory - Others</t>
  </si>
  <si>
    <t>Inventory-IV</t>
  </si>
  <si>
    <t>Surgery Inventory</t>
  </si>
  <si>
    <t>Surgery Inventory - Demand Flow</t>
  </si>
  <si>
    <t>Surgery Inventory- Implantable Heart Device</t>
  </si>
  <si>
    <t>Central Service Inventory</t>
  </si>
  <si>
    <t>Inventory Returns Pending</t>
  </si>
  <si>
    <t>Laboratory Inventory - Demand Flow</t>
  </si>
  <si>
    <t>Laboratory Inventory</t>
  </si>
  <si>
    <t>Pharmacy Inventory - Rocket</t>
  </si>
  <si>
    <t>Pharmacy Inventory- Whale</t>
  </si>
  <si>
    <t>Pharmacy Inventory - Bellevue</t>
  </si>
  <si>
    <t>Reserve for Obsolescence</t>
  </si>
  <si>
    <t>Reclass Inventory</t>
  </si>
  <si>
    <t>TOTAL FOR INVENTORY</t>
  </si>
  <si>
    <t>135</t>
  </si>
  <si>
    <t>PREPAID EXPENSES</t>
  </si>
  <si>
    <t>Deposits</t>
  </si>
  <si>
    <t>Prepaid Isolation Gowns</t>
  </si>
  <si>
    <t>Prepaid Expense</t>
  </si>
  <si>
    <t>Prepaid Property Tax</t>
  </si>
  <si>
    <t>Prepaid Expense - Research</t>
  </si>
  <si>
    <t>Prepaid Expense - IS</t>
  </si>
  <si>
    <t>Prepaid Expense - IS CAP Ex Related</t>
  </si>
  <si>
    <t>Prepaid Rent</t>
  </si>
  <si>
    <t>Prepaid Postage</t>
  </si>
  <si>
    <t>Prepaid Insurance</t>
  </si>
  <si>
    <t>TOTAL FOR PREPAID EXPENSES</t>
  </si>
  <si>
    <t>140</t>
  </si>
  <si>
    <t>CURRENT PORTION OF AWUIL</t>
  </si>
  <si>
    <t>Reclassification AWUIL</t>
  </si>
  <si>
    <t>TOTAL FOR CURRENT PORTION OF AWUIL</t>
  </si>
  <si>
    <t>150</t>
  </si>
  <si>
    <t>INVESTMENTS</t>
  </si>
  <si>
    <t>JP Morgan CD</t>
  </si>
  <si>
    <t>Income Research &amp; Mgmt.</t>
  </si>
  <si>
    <t>PIMCO Income</t>
  </si>
  <si>
    <t>Western Short-term</t>
  </si>
  <si>
    <t>PIMCO Low Duration</t>
  </si>
  <si>
    <t>Kenneth Davis Acct. held at BofA</t>
  </si>
  <si>
    <t>Frozen Assets Baker Boyer stock</t>
  </si>
  <si>
    <t>Wells Fargo Securities</t>
  </si>
  <si>
    <t>TOTAL FOR INVESTMENTS</t>
  </si>
  <si>
    <t>154</t>
  </si>
  <si>
    <t>OTHER INVESTMENTS</t>
  </si>
  <si>
    <t>Oil Leases</t>
  </si>
  <si>
    <t>John Hancock Life Ins. #46797668 Ederer</t>
  </si>
  <si>
    <t>TOTAL FOR OTHER INVESTMENTS</t>
  </si>
  <si>
    <t>Prin. &amp; Int. 2010A Cost</t>
  </si>
  <si>
    <t>Prin. &amp; Int. 2010B Cost</t>
  </si>
  <si>
    <t>Princ. &amp; Int. Rev. 2009 Cost</t>
  </si>
  <si>
    <t>Prin. &amp; Int. 2012A Cost</t>
  </si>
  <si>
    <t>Prin. &amp; Int. 2012B Cost</t>
  </si>
  <si>
    <t>Prin. &amp; Int. 2012C Cost</t>
  </si>
  <si>
    <t>Prin. &amp; Int. 2012D Cost</t>
  </si>
  <si>
    <t>Prin. &amp; Int. 2015A Cost</t>
  </si>
  <si>
    <t>Prin. &amp; Int. 2015B Cost</t>
  </si>
  <si>
    <t>Prin &amp; Int 2017 Cost</t>
  </si>
  <si>
    <t>Project Fund Rev 2017 Cost</t>
  </si>
  <si>
    <t>Reclassification Invest/Bond</t>
  </si>
  <si>
    <t>161</t>
  </si>
  <si>
    <t>OTHER AGREEMENTS</t>
  </si>
  <si>
    <t>Deferred Compensation Plans</t>
  </si>
  <si>
    <t>TOTAL FOR OTHER AGREEMENTS</t>
  </si>
  <si>
    <t xml:space="preserve"> TOTAL ASSETS WHOSE USE IS LIMITED</t>
  </si>
  <si>
    <t>170</t>
  </si>
  <si>
    <t>BENEFICIAL INTEREST IN CHCS</t>
  </si>
  <si>
    <t>Reclass Beneficial Interest</t>
  </si>
  <si>
    <t>TOTAL FOR BENEFICIAL INTEREST IN CHCS</t>
  </si>
  <si>
    <t>180</t>
  </si>
  <si>
    <t>LAND BLDG &amp; EQUIPMENT</t>
  </si>
  <si>
    <t>Fixed Asset Clearing **</t>
  </si>
  <si>
    <t>Research Grant Asset Clearing **</t>
  </si>
  <si>
    <t>Non-Rsch GGC Asset Clrg **</t>
  </si>
  <si>
    <t>Research Operations Clearing **</t>
  </si>
  <si>
    <t>Research Land</t>
  </si>
  <si>
    <t>Research Buildings</t>
  </si>
  <si>
    <t>SCRH Buildings</t>
  </si>
  <si>
    <t>Research Fixed Equipment</t>
  </si>
  <si>
    <t>SCRH Fixed Equipment</t>
  </si>
  <si>
    <t>Fixed Equipment</t>
  </si>
  <si>
    <t>SCRH Interior Renovations</t>
  </si>
  <si>
    <t>Core Svcs/Center Interior Renovation</t>
  </si>
  <si>
    <t>Interior Renovations</t>
  </si>
  <si>
    <t>Research Interior Renovations</t>
  </si>
  <si>
    <t>Funiture &amp; Equipment Spec Funds</t>
  </si>
  <si>
    <t>Funiture &amp; Equipment Pract Plans</t>
  </si>
  <si>
    <t>Funiture &amp; Equip Desig Royalty Fds</t>
  </si>
  <si>
    <t>Funiture &amp; Equipment Research</t>
  </si>
  <si>
    <t>SCRH Furniture and Equipment</t>
  </si>
  <si>
    <t>Funiture &amp; Equip Resrch Desig Fds</t>
  </si>
  <si>
    <t>Funiture &amp; Equip Resrch Seed Fds</t>
  </si>
  <si>
    <t>Furniture &amp; Equip Research Centers/Core</t>
  </si>
  <si>
    <t>Funiture &amp; Equip Resrch Funds</t>
  </si>
  <si>
    <t>Funiture &amp; Equipment General</t>
  </si>
  <si>
    <t>Home Health Pumps</t>
  </si>
  <si>
    <t>Research Leasehold Improvements</t>
  </si>
  <si>
    <t>Reclass HCS DME&amp; Equipment</t>
  </si>
  <si>
    <t>TOTAL FOR LAND BLDG &amp; EQUIPMENT</t>
  </si>
  <si>
    <t>183</t>
  </si>
  <si>
    <t>Accum Deprec Land Improvements</t>
  </si>
  <si>
    <t>Accum Deprec Buildings</t>
  </si>
  <si>
    <t>Accum Deprec Research Buildings</t>
  </si>
  <si>
    <t>Accum Deprec Buildings-SCRH</t>
  </si>
  <si>
    <t>Accum Deprec Fixed Equipment</t>
  </si>
  <si>
    <t>Accum Deprec Research Fixed Equipment</t>
  </si>
  <si>
    <t>Accum Deprec Fixed Equipment SCRH</t>
  </si>
  <si>
    <t>Accum Deprec Interior Ren -SCRH</t>
  </si>
  <si>
    <t>Accum Depr Interior Ren - Core Svcs/Center</t>
  </si>
  <si>
    <t>Accum Deprec Interior Ren</t>
  </si>
  <si>
    <t>Accum Deprec Research Interior Ren</t>
  </si>
  <si>
    <t>Accum Deprec Furniture &amp; Equip -Research Designated Funds</t>
  </si>
  <si>
    <t>Accum Deprec Furniture &amp; Equip -Research Seed Funds</t>
  </si>
  <si>
    <t>Accum Deprec Research Centers Furniture &amp; Equip</t>
  </si>
  <si>
    <t>Accum Deprec Furniture &amp; Equip</t>
  </si>
  <si>
    <t>Accum Deprec Research Furniture &amp; Equip</t>
  </si>
  <si>
    <t>Accum Deprec Furniture &amp; Equip -SCRH</t>
  </si>
  <si>
    <t>Accum Deprec Home Health Pumps</t>
  </si>
  <si>
    <t>Accum Depr Research Leasehold Imp</t>
  </si>
  <si>
    <t>Accum Depr Leasehold Imp</t>
  </si>
  <si>
    <t>Reclass Accum Deprec</t>
  </si>
  <si>
    <t>TOTAL FOR ACCUMULATED DEPRECIATION</t>
  </si>
  <si>
    <t>185</t>
  </si>
  <si>
    <t>CONSTRUCTION IN PROGRESS</t>
  </si>
  <si>
    <t>IT Projects</t>
  </si>
  <si>
    <t>Research IT Projects</t>
  </si>
  <si>
    <t>CWIP Projects</t>
  </si>
  <si>
    <t>Research CWIP Projects</t>
  </si>
  <si>
    <t>TOTAL FOR CONSTRUCTION IN PROGRESS</t>
  </si>
  <si>
    <t xml:space="preserve"> TOTAL FIXED ASSETS</t>
  </si>
  <si>
    <t>192</t>
  </si>
  <si>
    <t>OTHER ASSETS</t>
  </si>
  <si>
    <t>Prepaid A/P Trade</t>
  </si>
  <si>
    <t>HCSA Contributed Capital</t>
  </si>
  <si>
    <t>Funds held for CIDR</t>
  </si>
  <si>
    <t>Proniras</t>
  </si>
  <si>
    <t>39th and Othello, LLC</t>
  </si>
  <si>
    <t>Orenda Equity Invest - OBCC Othello</t>
  </si>
  <si>
    <t>Investment in Providence</t>
  </si>
  <si>
    <t>Pledges Receivable Long Term</t>
  </si>
  <si>
    <t>Reserve Pledges</t>
  </si>
  <si>
    <t>TOTAL FOR OTHER ASSETS</t>
  </si>
  <si>
    <t>200</t>
  </si>
  <si>
    <t>PAYABLES TO AFFILIATES</t>
  </si>
  <si>
    <t>Reclassify Payables to Affiliates</t>
  </si>
  <si>
    <t>TOTAL FOR PAYABLES TO AFFILIATES</t>
  </si>
  <si>
    <t>201</t>
  </si>
  <si>
    <t>CURRENT PORTION OF LTD</t>
  </si>
  <si>
    <t>Current Portion Long Term Debt</t>
  </si>
  <si>
    <t>TOTAL FOR CURRENT PORTION OF LTD</t>
  </si>
  <si>
    <t>202</t>
  </si>
  <si>
    <t>ACCRUED ACCOUNTS PAYABLE</t>
  </si>
  <si>
    <t>CUMG Affiliate Payroll</t>
  </si>
  <si>
    <t>UW Affiliate Payroll</t>
  </si>
  <si>
    <t>Accounts Payable Trade</t>
  </si>
  <si>
    <t>PO Receipt Accrual</t>
  </si>
  <si>
    <t>Item Cost Variance</t>
  </si>
  <si>
    <t>Matched Not Received</t>
  </si>
  <si>
    <t>AR Refund Clearing - Research</t>
  </si>
  <si>
    <t>Subsequent Disbursements Accrual</t>
  </si>
  <si>
    <t>Wells Fargo Credit Card Accrual</t>
  </si>
  <si>
    <t>Transplants Accrual</t>
  </si>
  <si>
    <t>Research Expense Accrual</t>
  </si>
  <si>
    <t>Rent Expense Accrual</t>
  </si>
  <si>
    <t>Legal Accrual</t>
  </si>
  <si>
    <t>Interpreter Accrual</t>
  </si>
  <si>
    <t>OnBase Accrual</t>
  </si>
  <si>
    <t>Utility Accrual</t>
  </si>
  <si>
    <t>Lab Accrual</t>
  </si>
  <si>
    <t>Residents Accrual</t>
  </si>
  <si>
    <t>Contract Staffing Accrual</t>
  </si>
  <si>
    <t>AP Manual Accrual - CUMG and UW</t>
  </si>
  <si>
    <t>IT Manual Accrual</t>
  </si>
  <si>
    <t>Property Taxes Payable</t>
  </si>
  <si>
    <t>Accounting Fees Payable</t>
  </si>
  <si>
    <t>SCCA Payable</t>
  </si>
  <si>
    <t>P-Card Card-in-Hand clearing</t>
  </si>
  <si>
    <t>P-Card AP/Sourcing cards clearing</t>
  </si>
  <si>
    <t>P-Card AP/Transp Fleet Card</t>
  </si>
  <si>
    <t>P-Card AP/Home Care Fleet Card</t>
  </si>
  <si>
    <t>P-Card AP Control clearing</t>
  </si>
  <si>
    <t>FHCRC Payable</t>
  </si>
  <si>
    <t>Cafeteria Payment on Account</t>
  </si>
  <si>
    <t>Reclass Accounts Payable</t>
  </si>
  <si>
    <t>TOTAL FOR ACCRUED ACCOUNTS PAYABLE</t>
  </si>
  <si>
    <t>203</t>
  </si>
  <si>
    <t>ACCRUED SALARIES &amp; BENEFITS</t>
  </si>
  <si>
    <t>Accrued Payroll Clearing Account</t>
  </si>
  <si>
    <t>PR system monthend accrual</t>
  </si>
  <si>
    <t>Accrued Payroll-401K Loan</t>
  </si>
  <si>
    <t>Benefits - Short Term Disability Payable</t>
  </si>
  <si>
    <t>Benefits - Vision Payable</t>
  </si>
  <si>
    <t>Benefits - Payroll Accrual</t>
  </si>
  <si>
    <t>Benefits - Health Equity</t>
  </si>
  <si>
    <t>Benefits - Kaiser Payable</t>
  </si>
  <si>
    <t>Benefits - Regence Payable</t>
  </si>
  <si>
    <t>Benefits - Express Scripts Payable</t>
  </si>
  <si>
    <t>Benefits - Vera Payable</t>
  </si>
  <si>
    <t>Benefits - Dental Payable</t>
  </si>
  <si>
    <t>Accrued Payroll Retirement</t>
  </si>
  <si>
    <t>Federal Income Taxes Withheld</t>
  </si>
  <si>
    <t>Social Secuity Taxes Withheld</t>
  </si>
  <si>
    <t>State Taxes Withheld - Montana</t>
  </si>
  <si>
    <t>Workmens Compensation Payable</t>
  </si>
  <si>
    <t>Washington Family Leave Payable</t>
  </si>
  <si>
    <t>Unemployment Taxes Payable</t>
  </si>
  <si>
    <t>Payroll Deduction Ann Giving</t>
  </si>
  <si>
    <t>Payroll Deduction TDA Fidelity</t>
  </si>
  <si>
    <t>Payroll Deduction Flex Spend</t>
  </si>
  <si>
    <t>Payroll Deductions HSA</t>
  </si>
  <si>
    <t>Payroll Deduction Life Ins</t>
  </si>
  <si>
    <t>Payroll Deduction Garnishments</t>
  </si>
  <si>
    <t>Payroll Deduction Garn Writ</t>
  </si>
  <si>
    <t>Accrued Vacation Payable</t>
  </si>
  <si>
    <t>Payroll Deduction Hartford</t>
  </si>
  <si>
    <t>Payroll Deduction UNUM Sp LTD</t>
  </si>
  <si>
    <t>Payroll Deduction Premera</t>
  </si>
  <si>
    <t>Payroll Deduction Dental WDS</t>
  </si>
  <si>
    <t>Payroll deduction Voluntary</t>
  </si>
  <si>
    <t>TOTAL FOR ACCRUED SALARIES &amp; BENEFITS</t>
  </si>
  <si>
    <t>204</t>
  </si>
  <si>
    <t>INTEREST PAYABLE</t>
  </si>
  <si>
    <t>Interest Payable</t>
  </si>
  <si>
    <t>TOTAL FOR INTEREST PAYABLE</t>
  </si>
  <si>
    <t>206</t>
  </si>
  <si>
    <t>OTHER CURRENT PAYABLES</t>
  </si>
  <si>
    <t>Prof Liability Insurance Pay</t>
  </si>
  <si>
    <t>Rental Deposit Payble</t>
  </si>
  <si>
    <t>Other Liabilities</t>
  </si>
  <si>
    <t>DSH Payable</t>
  </si>
  <si>
    <t>Boeing ACO &amp; HCA</t>
  </si>
  <si>
    <t>Sales Tax Payable</t>
  </si>
  <si>
    <t>Safety Net Assessment Payable</t>
  </si>
  <si>
    <t>SNA Redistribution Payable</t>
  </si>
  <si>
    <t>Use Tax Payable</t>
  </si>
  <si>
    <t>City B&amp;O Tax Payable</t>
  </si>
  <si>
    <t>ID Mcaid Settlement Pable-2016</t>
  </si>
  <si>
    <t>ID Mcaid Settlement Pable-2017</t>
  </si>
  <si>
    <t>ID Mcaid Settlement Pable-2018</t>
  </si>
  <si>
    <t>ID Mcaid Settlement Payable-2019</t>
  </si>
  <si>
    <t>WA Medicaid Payable</t>
  </si>
  <si>
    <t>SCCA Insurance Transfer</t>
  </si>
  <si>
    <t>UWMC Insurance Transfer</t>
  </si>
  <si>
    <t>CUMG Insurance Transfer</t>
  </si>
  <si>
    <t>TOTAL FOR OTHER CURRENT PAYABLES</t>
  </si>
  <si>
    <t>210</t>
  </si>
  <si>
    <t>OTHER NON-CURRENT LIABILITIES</t>
  </si>
  <si>
    <t>State B&amp;O Tax Reserve</t>
  </si>
  <si>
    <t>Deferred Revenue</t>
  </si>
  <si>
    <t>Deferred Revenue - Research</t>
  </si>
  <si>
    <t>Deferred Rent Liability</t>
  </si>
  <si>
    <t>Lease Incentive Liability</t>
  </si>
  <si>
    <t>Asset Retirement Obligation</t>
  </si>
  <si>
    <t>CIDR funds held by SCH</t>
  </si>
  <si>
    <t>Malpractice Reserve</t>
  </si>
  <si>
    <t>Deferred Compensation Plan Pay</t>
  </si>
  <si>
    <t>SWAP MTM Value - Series 2006 A</t>
  </si>
  <si>
    <t>SWAP MTM Value - Series 2006 B</t>
  </si>
  <si>
    <t>TOTAL FOR OTHER NON-CURRENT LIABILITIES</t>
  </si>
  <si>
    <t>260</t>
  </si>
  <si>
    <t>BOND ISSUES</t>
  </si>
  <si>
    <t>Bond Series 2009</t>
  </si>
  <si>
    <t>Bond Series 2010A</t>
  </si>
  <si>
    <t>Bond Series 2010B</t>
  </si>
  <si>
    <t>Bond Discount 2009</t>
  </si>
  <si>
    <t>Bond Premium 2010A</t>
  </si>
  <si>
    <t>Bond Premium 2010B</t>
  </si>
  <si>
    <t>Bond Premium 2012A Bonds</t>
  </si>
  <si>
    <t>Bond Premium 2012B Bonds</t>
  </si>
  <si>
    <t>Bond Series 2012A</t>
  </si>
  <si>
    <t>Bond Series 2012B</t>
  </si>
  <si>
    <t>Bond Series 2012C</t>
  </si>
  <si>
    <t>Bond Series 2012D</t>
  </si>
  <si>
    <t>Bond Premium 2015A Bonds</t>
  </si>
  <si>
    <t>Bond Premium 2015B Bonds</t>
  </si>
  <si>
    <t>Bond Series 2015A</t>
  </si>
  <si>
    <t>Bond Series 2015B</t>
  </si>
  <si>
    <t>Bond Premium 2017</t>
  </si>
  <si>
    <t>Bond Series 2017</t>
  </si>
  <si>
    <t>Deferred Financing - Contra Debt</t>
  </si>
  <si>
    <t>TOTAL FOR BOND ISSUES</t>
  </si>
  <si>
    <t xml:space="preserve"> TOTAL LIABILITIES</t>
  </si>
  <si>
    <t>30</t>
  </si>
  <si>
    <t>OPERATING NET ASSETS</t>
  </si>
  <si>
    <t>Net Assets</t>
  </si>
  <si>
    <t>Undistributed Net Assets</t>
  </si>
  <si>
    <t>New Market Tax Credit</t>
  </si>
  <si>
    <t>System Error Suspense Account</t>
  </si>
  <si>
    <t>Operating Cash Fund Balance - LT Invest Pool - Int &amp; Div</t>
  </si>
  <si>
    <t>Operating Cash Fund Balance - LT Invest Pool - Real G/L</t>
  </si>
  <si>
    <t>Operating Cash Fund Balance - LT Invest Pool - Mkt Adj</t>
  </si>
  <si>
    <t>Operating Cash Reclass</t>
  </si>
  <si>
    <t>FB Rel fm Rest  - Equipment</t>
  </si>
  <si>
    <t>FB Rel fm Rest  - Other</t>
  </si>
  <si>
    <t>FB Endowment Value Adjust</t>
  </si>
  <si>
    <t>TOTAL FOR OPERATING NET ASSETS</t>
  </si>
  <si>
    <t>308</t>
  </si>
  <si>
    <t>BOARD DESIGNATED DIVISIONAL FUNDS</t>
  </si>
  <si>
    <t>Surgery Div Res Pool</t>
  </si>
  <si>
    <t>CUMG Faculty Practice Plan Admin</t>
  </si>
  <si>
    <t>Adolescent Medicine</t>
  </si>
  <si>
    <t>Cardiology Endowed Chair</t>
  </si>
  <si>
    <t>Cardiology</t>
  </si>
  <si>
    <t>Clinical Pediatric Fellowship</t>
  </si>
  <si>
    <t>Child Psych Fellowship Fund</t>
  </si>
  <si>
    <t>AN Div Chief Fund ResearchSupp - Rabbitts</t>
  </si>
  <si>
    <t>AN Division Chief fund</t>
  </si>
  <si>
    <t>Nephrology Fellowship Fund</t>
  </si>
  <si>
    <t>Pulmonary Fellowship Fund</t>
  </si>
  <si>
    <t>Neurology Fellowship Fund</t>
  </si>
  <si>
    <t>Neurosurgery Fellowship Fund</t>
  </si>
  <si>
    <t>Ophthalmology Fellowship Fund</t>
  </si>
  <si>
    <t>Otolaryngology Fellowship Fund</t>
  </si>
  <si>
    <t>Pediatric GI/Hepatology Fellowship Fund</t>
  </si>
  <si>
    <t>Pediatric Residency CBA Fund</t>
  </si>
  <si>
    <t>Dermatology Fellowship Fund</t>
  </si>
  <si>
    <t>Genetics Fellowship Fund</t>
  </si>
  <si>
    <t>Rheumatology Fellowship Fund</t>
  </si>
  <si>
    <t>Infectious Disease Fellowship Fund</t>
  </si>
  <si>
    <t>Rudell Seed Fund</t>
  </si>
  <si>
    <t>Wissow Seed Fund</t>
  </si>
  <si>
    <t>Developmental Pediatrics Fellowship Fund</t>
  </si>
  <si>
    <t>Emergency Room Fellowship Fund</t>
  </si>
  <si>
    <t>Endocrinology Fellowship Fund</t>
  </si>
  <si>
    <t>CICU Medical Director Projects</t>
  </si>
  <si>
    <t>Psychiatry Seed Fund</t>
  </si>
  <si>
    <t>OTO Division chief academic support fund</t>
  </si>
  <si>
    <t>Hospital Medicine - Academic Program Operations</t>
  </si>
  <si>
    <t>Hawkins Seed Fund</t>
  </si>
  <si>
    <t>Mergeurian Support</t>
  </si>
  <si>
    <t>Yandow Academic Support</t>
  </si>
  <si>
    <t>Wightman Start-Up</t>
  </si>
  <si>
    <t>Peds WWAMI Visiting Professor Program</t>
  </si>
  <si>
    <t>Sawin's Academic Allowance</t>
  </si>
  <si>
    <t>PICU Medical Director Projects</t>
  </si>
  <si>
    <t>Rhodes Family Endowed Chair</t>
  </si>
  <si>
    <t>Stroum Endowment</t>
  </si>
  <si>
    <t>Craniofacial Program Support</t>
  </si>
  <si>
    <t>Orthopedics Program Support</t>
  </si>
  <si>
    <t>Urology Program Support</t>
  </si>
  <si>
    <t>Hoffman Support</t>
  </si>
  <si>
    <t>Radiology</t>
  </si>
  <si>
    <t>Radiology Capital Tech Fund</t>
  </si>
  <si>
    <t>Child Psych</t>
  </si>
  <si>
    <t>Rehabilitation</t>
  </si>
  <si>
    <t>Jean Renny Endowed Chair</t>
  </si>
  <si>
    <t>Immunology</t>
  </si>
  <si>
    <t>Cardiac Intensive Care</t>
  </si>
  <si>
    <t>Orthopedics</t>
  </si>
  <si>
    <t>Laurel Craniofacl Endow Chair</t>
  </si>
  <si>
    <t>Dept of Peds CHRC Conference</t>
  </si>
  <si>
    <t>Larson Endowed Chair Ped Cran</t>
  </si>
  <si>
    <t>Transplantation</t>
  </si>
  <si>
    <t>Transplant Marketing</t>
  </si>
  <si>
    <t>Urology</t>
  </si>
  <si>
    <t>Anesthesia Faculty Academic Ex</t>
  </si>
  <si>
    <t>General Surgery</t>
  </si>
  <si>
    <t>Ellenbogen Endowed Chair</t>
  </si>
  <si>
    <t>Neurosurgery</t>
  </si>
  <si>
    <t>Ophthalmology</t>
  </si>
  <si>
    <t>Otolaryngology</t>
  </si>
  <si>
    <t>Plastic Surgery</t>
  </si>
  <si>
    <t>Pulmonary</t>
  </si>
  <si>
    <t>Sinegal Endw Chair OBCC</t>
  </si>
  <si>
    <t>Sinegal Rose Tumor Endw Chair</t>
  </si>
  <si>
    <t>Critical Care Fellowship Prg</t>
  </si>
  <si>
    <t>Cardiac Surgery</t>
  </si>
  <si>
    <t>Surgery Div Resource Pool</t>
  </si>
  <si>
    <t>Neonatology</t>
  </si>
  <si>
    <t>Lewin Start Up Support</t>
  </si>
  <si>
    <t>Nephrology</t>
  </si>
  <si>
    <t>Nephrol-Hickman Endowed Chair</t>
  </si>
  <si>
    <t>Neurology</t>
  </si>
  <si>
    <t>Pediatric Intensive Care</t>
  </si>
  <si>
    <t>Infectious Diseases</t>
  </si>
  <si>
    <t>Englund Start Up Support</t>
  </si>
  <si>
    <t>Redding-Pulmonary Operations</t>
  </si>
  <si>
    <t>Medicine Director</t>
  </si>
  <si>
    <t>Division of Hospital Medicine</t>
  </si>
  <si>
    <t>Genetics</t>
  </si>
  <si>
    <t>Trever Endowed Chair</t>
  </si>
  <si>
    <t>Hematology</t>
  </si>
  <si>
    <t>Evans Endowed Chair Ped Cancer</t>
  </si>
  <si>
    <t>Immunology - Rheumatology</t>
  </si>
  <si>
    <t>Infectious Disease Faculy Development</t>
  </si>
  <si>
    <t>Pediatric GI/Hepatology</t>
  </si>
  <si>
    <t>Endocrinology Endowed Chair</t>
  </si>
  <si>
    <t>General Pediatrics</t>
  </si>
  <si>
    <t>Dept of Peds Residency Program</t>
  </si>
  <si>
    <t>Dermatology</t>
  </si>
  <si>
    <t>Yuk Law Start Up Support</t>
  </si>
  <si>
    <t>Congenital Defects</t>
  </si>
  <si>
    <t>Division of Craniofacial Medicine</t>
  </si>
  <si>
    <t>Norcliffe Endowed Chair ER Med</t>
  </si>
  <si>
    <t>Endocrinology</t>
  </si>
  <si>
    <t>Division of Bioethics</t>
  </si>
  <si>
    <t>Designated General</t>
  </si>
  <si>
    <t>Designated Royalty</t>
  </si>
  <si>
    <t>Royalty Allocated Funds</t>
  </si>
  <si>
    <t>PI Seed Funds</t>
  </si>
  <si>
    <t>Research Royalties</t>
  </si>
  <si>
    <t>Internally Funded Research</t>
  </si>
  <si>
    <t>TOTAL FOR BOARD DESIGNATED DIVISIONAL FUNDS</t>
  </si>
  <si>
    <t>309</t>
  </si>
  <si>
    <t>BOARD DESIGNATED ENDOWMENT FUNDS</t>
  </si>
  <si>
    <t>Board Des Endow Fund Balance-Holding</t>
  </si>
  <si>
    <t>Board Des Endow Fund Balance-Pledges</t>
  </si>
  <si>
    <t>Board Des Endow Fund Balance-Int &amp; Div</t>
  </si>
  <si>
    <t>Board Des Endow Fund Balance-Market</t>
  </si>
  <si>
    <t>Board Des Endow Fund Balance-Real G&amp;L</t>
  </si>
  <si>
    <t>Reclassify BDF Endowments</t>
  </si>
  <si>
    <t>TOTAL FOR BOARD DESIGNATED ENDOWMENT FUNDS</t>
  </si>
  <si>
    <t xml:space="preserve"> TOTAL UNRESTRICTED NET ASSETS</t>
  </si>
  <si>
    <t>310</t>
  </si>
  <si>
    <t>GIFT ANNUITIES</t>
  </si>
  <si>
    <t>Reclassify Gift Annuities</t>
  </si>
  <si>
    <t>TOTAL FOR GIFT ANNUITIES</t>
  </si>
  <si>
    <t>320</t>
  </si>
  <si>
    <t>RESEARCH FUNDS</t>
  </si>
  <si>
    <t>Res FB Facilities &amp; Admin Costs (F&amp;A)</t>
  </si>
  <si>
    <t>Res FB Rel fm Rest Capital</t>
  </si>
  <si>
    <t>Res FB Rel from Restriction</t>
  </si>
  <si>
    <t>FB Reclass Research</t>
  </si>
  <si>
    <t>TOTAL FOR RESEARCH FUNDS</t>
  </si>
  <si>
    <t>330</t>
  </si>
  <si>
    <t>SPECIAL FUNDS</t>
  </si>
  <si>
    <t>Spec FB Facilities &amp; Admin Costs (F&amp;A)</t>
  </si>
  <si>
    <t>Spec FB Rel fm Rest Capital</t>
  </si>
  <si>
    <t>Spec FB Rel fm Restriction</t>
  </si>
  <si>
    <t>TOTAL FOR SPECIAL FUNDS</t>
  </si>
  <si>
    <t>340</t>
  </si>
  <si>
    <t>TEMPORARILY RESTRICTED TRUSTS</t>
  </si>
  <si>
    <t>Reclassify Temp Rest Trusts</t>
  </si>
  <si>
    <t>TOTAL FOR TEMPORARILY RESTRICTED TRUSTS</t>
  </si>
  <si>
    <t>345</t>
  </si>
  <si>
    <t>TEMP RESTRICTED ENDOWMENTS</t>
  </si>
  <si>
    <t>Endow FB Cost - Holding</t>
  </si>
  <si>
    <t>Endow FB Int &amp; Div</t>
  </si>
  <si>
    <t>Endow FB Market - Temp</t>
  </si>
  <si>
    <t>Endow FB Real G &amp; L</t>
  </si>
  <si>
    <t>Reclassify Beneficial Interest - Endowment</t>
  </si>
  <si>
    <t>Endowment Value Adjustment</t>
  </si>
  <si>
    <t>TOTAL FOR TEMP RESTRICTED ENDOWMENTS</t>
  </si>
  <si>
    <t xml:space="preserve"> TOTAL TEMPORARY RESTRICTED NET ASSETS</t>
  </si>
  <si>
    <t>351</t>
  </si>
  <si>
    <t>ENDOWMENT FUNDS</t>
  </si>
  <si>
    <t>Endow Fund Balance-Holding</t>
  </si>
  <si>
    <t>Endow Fund Balance-Pledges</t>
  </si>
  <si>
    <t>Endow Fund Balance-Cost</t>
  </si>
  <si>
    <t>Endow Fund Balance-Market</t>
  </si>
  <si>
    <t>Endow Fund Balance-Real G&amp;L</t>
  </si>
  <si>
    <t>Reclassify Endowments</t>
  </si>
  <si>
    <t>TOTAL FOR ENDOWMENT FUNDS</t>
  </si>
  <si>
    <t>352</t>
  </si>
  <si>
    <t>PERMANENTLY RESTRICTED TRUSTS</t>
  </si>
  <si>
    <t>Reclassify Perm Rest Trusts</t>
  </si>
  <si>
    <t>TOTAL FOR PERMANENTLY RESTRICTED TRUSTS</t>
  </si>
  <si>
    <t xml:space="preserve"> TOTAL PERMANENTLY RESTRICTED NET ASSETS</t>
  </si>
  <si>
    <t xml:space="preserve"> TOTAL LIABILITIES AND NET ASSETS</t>
  </si>
  <si>
    <t>150.5</t>
  </si>
  <si>
    <t>POOLED INVESTMENT ACCOUNTS - OPERATING</t>
  </si>
  <si>
    <t>Rec/Pay Operating Cash - LT Invest Pool - Cost</t>
  </si>
  <si>
    <t>Rec/Pay Operating Cash - LT Invest Pool - Mkt Adj</t>
  </si>
  <si>
    <t>TOTAL FOR POOLED INVESTMENT ACCOUNTS - OPERATING</t>
  </si>
  <si>
    <t>151</t>
  </si>
  <si>
    <t>POOLED INVESTMENT ACCOUNTS - ENDOWMENT</t>
  </si>
  <si>
    <t>Pooled Investment Accts Cost</t>
  </si>
  <si>
    <t>Pooled Investment Accounts FMV</t>
  </si>
  <si>
    <t>TOTAL FOR POOLED INVESTMENT ACCOUNTS - ENDOWMENT</t>
  </si>
  <si>
    <t>152</t>
  </si>
  <si>
    <t>LONG TERM RECEIVABLE FROM AFFILIATE</t>
  </si>
  <si>
    <t>Rcl Pooled Invest-LT Payable</t>
  </si>
  <si>
    <t>TOTAL FOR LONG TERM RECEIVABLE FROM AFFILIATE</t>
  </si>
  <si>
    <t>156</t>
  </si>
  <si>
    <t>DUE FROM BROKER</t>
  </si>
  <si>
    <t>Due From Broker - SMA</t>
  </si>
  <si>
    <t>TOTAL FOR DUE FROM BROKER</t>
  </si>
  <si>
    <t>Hospital Cloud Computing SaaS</t>
  </si>
  <si>
    <t>Hospital Accumulated SaaS Amortization</t>
  </si>
  <si>
    <t>208</t>
  </si>
  <si>
    <t>DUE TO BROKERS FOR SECURITIES PURCHASED</t>
  </si>
  <si>
    <t>Due To Broker - SMA</t>
  </si>
  <si>
    <t>TOTAL FOR DUE TO BROKERS FOR SECURITIES PURCHASED</t>
  </si>
  <si>
    <t xml:space="preserve">CHRMC Combined Balance Sheet       </t>
  </si>
  <si>
    <t>Fiscal Year  2019  Period 12</t>
  </si>
  <si>
    <t>CFI135</t>
  </si>
  <si>
    <t>SEATTLE CHILDREN'S HEALTHCARE SYSTEM</t>
  </si>
  <si>
    <t>Consolidating Balance Sheets</t>
  </si>
  <si>
    <t xml:space="preserve">ASSETS                   </t>
  </si>
  <si>
    <t>SCHS</t>
  </si>
  <si>
    <t>SCH</t>
  </si>
  <si>
    <t>FOUNDATION</t>
  </si>
  <si>
    <t>GUILD</t>
  </si>
  <si>
    <t>FOUNDATION &amp; GUILD</t>
  </si>
  <si>
    <t xml:space="preserve">RETAIL </t>
  </si>
  <si>
    <t>ELIMINATION</t>
  </si>
  <si>
    <t>LAWSON TOTAL</t>
  </si>
  <si>
    <t>FY 2019                 ALL ENTITIES</t>
  </si>
  <si>
    <t>FY 2018                  ALL ENTITIES</t>
  </si>
  <si>
    <t>FY 2010</t>
  </si>
  <si>
    <t>FY 2009</t>
  </si>
  <si>
    <t>FY 2008</t>
  </si>
  <si>
    <t>FY 2007</t>
  </si>
  <si>
    <t xml:space="preserve">Cash and cash equivalents                    </t>
  </si>
  <si>
    <t xml:space="preserve">Accounts receivable, net                     </t>
  </si>
  <si>
    <t>110/116</t>
  </si>
  <si>
    <t xml:space="preserve">Receivables from affiliates, net             </t>
  </si>
  <si>
    <t>EL 01</t>
  </si>
  <si>
    <t>Break out receivable/payable for ST &amp; LT Pledges</t>
  </si>
  <si>
    <t>Pledges receivable, current portion</t>
  </si>
  <si>
    <t>Receivables from affiliates, current portion</t>
  </si>
  <si>
    <t xml:space="preserve">Other current assets                         </t>
  </si>
  <si>
    <t>120/130/135</t>
  </si>
  <si>
    <t>Due from brokers for securities sold</t>
  </si>
  <si>
    <t xml:space="preserve">Adjusted Other current assets </t>
  </si>
  <si>
    <t>Current portion of assets whose use is limited</t>
  </si>
  <si>
    <t xml:space="preserve">      Total current assets                   </t>
  </si>
  <si>
    <t xml:space="preserve">Assets limited as to use                </t>
  </si>
  <si>
    <t xml:space="preserve">Long term payable to affiliate            </t>
  </si>
  <si>
    <t>Pooled investments held at SCHS:</t>
  </si>
  <si>
    <t xml:space="preserve">Long term receivable from affiliate       </t>
  </si>
  <si>
    <t>Pooled investment accts - Endowment</t>
  </si>
  <si>
    <t xml:space="preserve">Pooled investment accts - Operating </t>
  </si>
  <si>
    <t>Total pooled investment held at SCHS</t>
  </si>
  <si>
    <t xml:space="preserve">   Investments                               </t>
  </si>
  <si>
    <t>150/154/155/156</t>
  </si>
  <si>
    <t xml:space="preserve">   Pooled investments                        </t>
  </si>
  <si>
    <t xml:space="preserve">   Investments under bond indenture &amp; other a</t>
  </si>
  <si>
    <t>160/161</t>
  </si>
  <si>
    <t xml:space="preserve">      Total assets whose use is limited      </t>
  </si>
  <si>
    <t xml:space="preserve">Beneficial Interest in SCHS                  </t>
  </si>
  <si>
    <t>EL 02</t>
  </si>
  <si>
    <t xml:space="preserve">Land, buildings, and equipment, net          </t>
  </si>
  <si>
    <t>180/183/185</t>
  </si>
  <si>
    <t>Pledges receivable, long-term portion</t>
  </si>
  <si>
    <t xml:space="preserve">Other Assets        </t>
  </si>
  <si>
    <t>181/184/190/192</t>
  </si>
  <si>
    <t>KPMG Manual ST/LT pledge reclass - No more</t>
  </si>
  <si>
    <t xml:space="preserve">Adjusted Other assets </t>
  </si>
  <si>
    <t xml:space="preserve">   Total assets                              </t>
  </si>
  <si>
    <t xml:space="preserve">LIABILITIES              </t>
  </si>
  <si>
    <t xml:space="preserve">Current portion of long term debt         </t>
  </si>
  <si>
    <t xml:space="preserve">Accounts payable                          </t>
  </si>
  <si>
    <t xml:space="preserve">Accrued salaries, wages, and benefits     </t>
  </si>
  <si>
    <t>Due to brokers for securities purchased</t>
  </si>
  <si>
    <t>Other payables</t>
  </si>
  <si>
    <t xml:space="preserve">Interest Payable                          </t>
  </si>
  <si>
    <t xml:space="preserve">Payables to affiliates, net               </t>
  </si>
  <si>
    <t>Break out receivable/(payable) for ST &amp; LT Pledges</t>
  </si>
  <si>
    <t>Payables to affiliates, current portion</t>
  </si>
  <si>
    <t xml:space="preserve">      Total current liabilities              </t>
  </si>
  <si>
    <t xml:space="preserve">Deferred and other liabilities               </t>
  </si>
  <si>
    <t>207/210</t>
  </si>
  <si>
    <t>Payables to affiliates, net of current portion</t>
  </si>
  <si>
    <t xml:space="preserve">Long term debt, net of current portion       </t>
  </si>
  <si>
    <t xml:space="preserve">Net Assets/Retained Earnings                                                  </t>
  </si>
  <si>
    <t xml:space="preserve">   Unrestricted                              </t>
  </si>
  <si>
    <t>300/308/309</t>
  </si>
  <si>
    <t xml:space="preserve">   Temporarily Restricted                    </t>
  </si>
  <si>
    <t>310/312/320/330/340/345</t>
  </si>
  <si>
    <t xml:space="preserve">   Permanently Restricted                    </t>
  </si>
  <si>
    <t>351/352</t>
  </si>
  <si>
    <t xml:space="preserve">      Total net assets                       </t>
  </si>
  <si>
    <t xml:space="preserve">   Total liabilities and net assets          </t>
  </si>
  <si>
    <t>proof</t>
  </si>
  <si>
    <t xml:space="preserve">Uncollectible accounts </t>
  </si>
  <si>
    <t xml:space="preserve">Accumulated depreciation </t>
  </si>
  <si>
    <t>Gross PP &amp; E</t>
  </si>
  <si>
    <t>WIP</t>
  </si>
  <si>
    <t>Gross PP &amp; E Total</t>
  </si>
  <si>
    <t>PP &amp; E net</t>
  </si>
  <si>
    <t>Cash reclass</t>
  </si>
  <si>
    <t xml:space="preserve">Cash </t>
  </si>
  <si>
    <t>Investment</t>
  </si>
  <si>
    <t>PIMCO SMA reclass</t>
  </si>
  <si>
    <t xml:space="preserve">Investment </t>
  </si>
  <si>
    <t>Other payable</t>
  </si>
  <si>
    <t>Self pay AR</t>
  </si>
  <si>
    <t>Home care</t>
  </si>
  <si>
    <t>September 30, 2019</t>
  </si>
  <si>
    <t>CWIP Rollforward Schedule</t>
  </si>
  <si>
    <t>802 - SCH</t>
  </si>
  <si>
    <t>Prepared by</t>
  </si>
  <si>
    <t>Marissa C. Lumansoc</t>
  </si>
  <si>
    <t>Printed</t>
  </si>
  <si>
    <t>Balance as of September 30 2019</t>
  </si>
  <si>
    <t>AC290</t>
  </si>
  <si>
    <t>LAWSON</t>
  </si>
  <si>
    <t>CWIP/IT</t>
  </si>
  <si>
    <t>PO</t>
  </si>
  <si>
    <t>PR</t>
  </si>
  <si>
    <t>Prior Year</t>
  </si>
  <si>
    <t>Report vx</t>
  </si>
  <si>
    <t>FY 2018</t>
  </si>
  <si>
    <t>ADDITIONS</t>
  </si>
  <si>
    <t>TRANSFERS</t>
  </si>
  <si>
    <t>ACCRUALS</t>
  </si>
  <si>
    <t>Reconciling</t>
  </si>
  <si>
    <t>LTD</t>
  </si>
  <si>
    <t>GL vx AC LTD</t>
  </si>
  <si>
    <t>GL292</t>
  </si>
  <si>
    <t>804 SCH</t>
  </si>
  <si>
    <t>Item</t>
  </si>
  <si>
    <t>BALANCE</t>
  </si>
  <si>
    <t>Per GL 292</t>
  </si>
  <si>
    <t>Per AC480</t>
  </si>
  <si>
    <t>variance**</t>
  </si>
  <si>
    <t>variance **</t>
  </si>
  <si>
    <t>Information Technology Projects</t>
  </si>
  <si>
    <t xml:space="preserve">Research Information Technology </t>
  </si>
  <si>
    <t xml:space="preserve">            </t>
  </si>
  <si>
    <t xml:space="preserve">TOTAL FIXED ASSETS                </t>
  </si>
  <si>
    <t>C</t>
  </si>
  <si>
    <t>Total AC Transfer</t>
  </si>
  <si>
    <t xml:space="preserve">Total  Net Balances </t>
  </si>
  <si>
    <t>** Accruals not in AC</t>
  </si>
  <si>
    <t>Total Transfer to 180*</t>
  </si>
  <si>
    <t>OBCC Joint Venture transfer to 01001 16860</t>
  </si>
  <si>
    <t>Per G/L 292 Report</t>
  </si>
  <si>
    <t>Unidentified variance</t>
  </si>
  <si>
    <t>Reconciliation of Fixed Assets - Summary</t>
  </si>
  <si>
    <t>Beginning Balance- net</t>
  </si>
  <si>
    <t>CWIP- Additions</t>
  </si>
  <si>
    <t>CWIP- Accruals</t>
  </si>
  <si>
    <t>AM Accruals</t>
  </si>
  <si>
    <t>H</t>
  </si>
  <si>
    <t>AM Additions</t>
  </si>
  <si>
    <t>I</t>
  </si>
  <si>
    <t>J</t>
  </si>
  <si>
    <t>Asset Clearing</t>
  </si>
  <si>
    <t>K</t>
  </si>
  <si>
    <t>Transfers</t>
  </si>
  <si>
    <t>To AM from CWIP</t>
  </si>
  <si>
    <t>From CWIP to AM</t>
  </si>
  <si>
    <t>E</t>
  </si>
  <si>
    <t>Adjustment</t>
  </si>
  <si>
    <t>Intercompany Transfer</t>
  </si>
  <si>
    <t>F</t>
  </si>
  <si>
    <t>Addition Adjustment</t>
  </si>
  <si>
    <t>G</t>
  </si>
  <si>
    <t>Net Retirements</t>
  </si>
  <si>
    <t>Accumlated Depreciation</t>
  </si>
  <si>
    <t>Additions - AM</t>
  </si>
  <si>
    <t>L</t>
  </si>
  <si>
    <t>Adjustments</t>
  </si>
  <si>
    <t>O</t>
  </si>
  <si>
    <t>Transfers and Adjustments</t>
  </si>
  <si>
    <t xml:space="preserve">Adjustment/Transfer </t>
  </si>
  <si>
    <t>M</t>
  </si>
  <si>
    <t>Ending Balance, NET</t>
  </si>
  <si>
    <t>Per GL292</t>
  </si>
  <si>
    <t>Property  Rollforward Schedule</t>
  </si>
  <si>
    <t>801 -SCH</t>
  </si>
  <si>
    <t>Balance as of September 2019</t>
  </si>
  <si>
    <t>Asset</t>
  </si>
  <si>
    <t>2018 P.O.</t>
  </si>
  <si>
    <t>2019 P.O.</t>
  </si>
  <si>
    <t>AM260</t>
  </si>
  <si>
    <t>AM225</t>
  </si>
  <si>
    <t>AM235</t>
  </si>
  <si>
    <t>AM240</t>
  </si>
  <si>
    <t>GL VS AM260</t>
  </si>
  <si>
    <t>Report</t>
  </si>
  <si>
    <t>Clearing</t>
  </si>
  <si>
    <t xml:space="preserve">Intercompany </t>
  </si>
  <si>
    <t>CIP/IT</t>
  </si>
  <si>
    <t>RETIREMENTS</t>
  </si>
  <si>
    <t>NET BALANCE</t>
  </si>
  <si>
    <t>Per AM 260</t>
  </si>
  <si>
    <t>Transfer</t>
  </si>
  <si>
    <t>805-SCH</t>
  </si>
  <si>
    <t>810 SCH</t>
  </si>
  <si>
    <t>Fixed Asset Clearing Account</t>
  </si>
  <si>
    <t>Research Asset Clearing</t>
  </si>
  <si>
    <t>Non-Research Asset Clearing</t>
  </si>
  <si>
    <t xml:space="preserve">Land                              </t>
  </si>
  <si>
    <t xml:space="preserve">Land - Research                             </t>
  </si>
  <si>
    <t xml:space="preserve">Land Improvements                 </t>
  </si>
  <si>
    <t xml:space="preserve">Buildings                         </t>
  </si>
  <si>
    <t xml:space="preserve">Buildings - Research                        </t>
  </si>
  <si>
    <t>Buildings - SCRH</t>
  </si>
  <si>
    <t xml:space="preserve">Fixed Equipment                   </t>
  </si>
  <si>
    <t xml:space="preserve">Fixed Equipment - Research                  </t>
  </si>
  <si>
    <t xml:space="preserve">Fixed Equipment - SCRH                  </t>
  </si>
  <si>
    <t xml:space="preserve">Interior Renovations              </t>
  </si>
  <si>
    <t xml:space="preserve">Interior Renovations - Research          </t>
  </si>
  <si>
    <t>Interior Renovations - SCRH</t>
  </si>
  <si>
    <t>Interior Renovations - Core Svcs/Center</t>
  </si>
  <si>
    <t xml:space="preserve">Major Movable Equipment  - Hospital         </t>
  </si>
  <si>
    <t xml:space="preserve">Major Movable Equipment  - Designated Funds       </t>
  </si>
  <si>
    <t xml:space="preserve">Major Movable Equipment  - Grants         </t>
  </si>
  <si>
    <t xml:space="preserve">Major Movable Equipment  - Special Funds          </t>
  </si>
  <si>
    <t xml:space="preserve">Major Movable Equipment - Practice Plan      </t>
  </si>
  <si>
    <t xml:space="preserve">Major Movable Equipment - Royalty Funds   </t>
  </si>
  <si>
    <t xml:space="preserve">Major Movable Equipment - Research          </t>
  </si>
  <si>
    <t>Major Movable Equipment - SCRH</t>
  </si>
  <si>
    <t>Major Movable Equipment - Res Designated Funds</t>
  </si>
  <si>
    <t>Major Movable Equipment - Res Seed Funds</t>
  </si>
  <si>
    <t>Major Movable Equipment - Center</t>
  </si>
  <si>
    <t>Leasehold Improvement</t>
  </si>
  <si>
    <t>Leasehold Improvement - Research</t>
  </si>
  <si>
    <t>Reclass Land Bldg Equipt</t>
  </si>
  <si>
    <t>AM280</t>
  </si>
  <si>
    <t>AM281</t>
  </si>
  <si>
    <t>Accum Depr</t>
  </si>
  <si>
    <t>Disposed</t>
  </si>
  <si>
    <t>Adjustmens</t>
  </si>
  <si>
    <t>821 SCH</t>
  </si>
  <si>
    <t>Per GL</t>
  </si>
  <si>
    <t xml:space="preserve">Accum Deprec Land Im              </t>
  </si>
  <si>
    <t xml:space="preserve">Accum Deprec Building              </t>
  </si>
  <si>
    <t xml:space="preserve">Accum Deprec Building - Research             </t>
  </si>
  <si>
    <t>Accum Deprec Building - SCRH</t>
  </si>
  <si>
    <t xml:space="preserve">Accum Deprec Fixed E              </t>
  </si>
  <si>
    <t>Accum Deprec Fixed E Research</t>
  </si>
  <si>
    <t xml:space="preserve">Accum Deprec Fixed E SCRH             </t>
  </si>
  <si>
    <t xml:space="preserve">Accum Deprec Interior Renovations </t>
  </si>
  <si>
    <t>Accum Deprec Interior Renovations -Research</t>
  </si>
  <si>
    <t>Accum Deprec Interior Renovations - SCRH</t>
  </si>
  <si>
    <t>Accum Deprec Interior Renovations - Core Svcs/Center</t>
  </si>
  <si>
    <t>Accum Deprec Major Movable Equip - Hospital</t>
  </si>
  <si>
    <t>Accum Deprec Major Movable Equip - Designated Funds</t>
  </si>
  <si>
    <t>Accum Deprec Major Movable Equip - Grants</t>
  </si>
  <si>
    <t>Accum Deprec Major Movable Equip - Special Funds</t>
  </si>
  <si>
    <t>Accum Deprec Major Movable Equip  - Practice Plan</t>
  </si>
  <si>
    <t>Accum Deprec Major Movable Equip - Royalty Funds</t>
  </si>
  <si>
    <t xml:space="preserve">Accum Deprec Major Movable Equip - Research  </t>
  </si>
  <si>
    <t>Accum Deprec Major Movable Equip - SCRH</t>
  </si>
  <si>
    <t>Accum Deprec Major Movable Equip - Res Designated Funds</t>
  </si>
  <si>
    <t>Accum Deprec Major Movable Equip - Res Seed Funds</t>
  </si>
  <si>
    <t>Accum Deprec Major Movable Equip - Center</t>
  </si>
  <si>
    <t xml:space="preserve">Accum Deprec Leashold Imp         </t>
  </si>
  <si>
    <t xml:space="preserve">Accum Deprec Leashold Imp - Research         </t>
  </si>
  <si>
    <t xml:space="preserve">TOTAL ACCUM. DEPRECIATION    </t>
  </si>
  <si>
    <t>Accum Depr - HTNW</t>
  </si>
  <si>
    <t>Accum Dpr HHP</t>
  </si>
  <si>
    <t>Reclass Accum Depr</t>
  </si>
  <si>
    <t>AM Accum Depr vs GL Expense</t>
  </si>
  <si>
    <t>Ttl Net Retirements:</t>
  </si>
  <si>
    <t>Bond Premium/Discount Amortization Account 7962</t>
  </si>
  <si>
    <t>Cash on Sale - Hospital</t>
  </si>
  <si>
    <t>unidentified variance</t>
  </si>
  <si>
    <t>Sub Total</t>
  </si>
  <si>
    <t xml:space="preserve">   </t>
  </si>
  <si>
    <t>Sub-Total</t>
  </si>
  <si>
    <t>Operating Expense Per GL293</t>
  </si>
  <si>
    <t>Per GL293</t>
  </si>
  <si>
    <t>Variance:</t>
  </si>
  <si>
    <t xml:space="preserve">Footnote Disclosure </t>
  </si>
  <si>
    <t>AM</t>
  </si>
  <si>
    <t>Land and Improvements</t>
  </si>
  <si>
    <t>Buildings and Improvements</t>
  </si>
  <si>
    <t>Furniture and Equipment</t>
  </si>
  <si>
    <t>Construction in Progress</t>
  </si>
  <si>
    <t>Accumulated Depreciation</t>
  </si>
  <si>
    <t>Net PP&amp;E</t>
  </si>
  <si>
    <t>Addition</t>
  </si>
  <si>
    <t xml:space="preserve">Retirement </t>
  </si>
  <si>
    <t>Other expense</t>
  </si>
  <si>
    <t xml:space="preserve">Revised </t>
  </si>
  <si>
    <t>Consolidating  Statement of Operations</t>
  </si>
  <si>
    <t>Hospital Ops, Clinician, Special Fund and Research Breakout</t>
  </si>
  <si>
    <t>Clinical Division</t>
  </si>
  <si>
    <t>Research Institute</t>
  </si>
  <si>
    <t>Audit</t>
  </si>
  <si>
    <t xml:space="preserve">SCHS              Trial balance </t>
  </si>
  <si>
    <t>SCHS              Reclass</t>
  </si>
  <si>
    <t xml:space="preserve">SCHS              After reclass </t>
  </si>
  <si>
    <t>SCH Aggregate Trial Balance</t>
  </si>
  <si>
    <t>Hospital Operations</t>
  </si>
  <si>
    <t>Clinician Funds</t>
  </si>
  <si>
    <t>Special Funds</t>
  </si>
  <si>
    <t>Research Operations</t>
  </si>
  <si>
    <t>Research Grants</t>
  </si>
  <si>
    <t>SCH              Reclass</t>
  </si>
  <si>
    <t xml:space="preserve">SCH                  After reclass </t>
  </si>
  <si>
    <t>INPATIENT REVENUES</t>
  </si>
  <si>
    <t>OUTPATIENT REVENUES</t>
  </si>
  <si>
    <t>GROSS PATIENT REVENUES</t>
  </si>
  <si>
    <t>LESS DEDUCTIONS FROM REVENUE</t>
  </si>
  <si>
    <t>PROVISION FOR UNCOLLECTIBLE ACCOUNTS</t>
  </si>
  <si>
    <t>CONTRACTUAL ALLOWANCES</t>
  </si>
  <si>
    <t>NEGOTIATED DISCOUNTS</t>
  </si>
  <si>
    <t>NET PATIENT REVENUES</t>
  </si>
  <si>
    <t>UNRESTRICTED DONATIONS AND BEQUESTS</t>
  </si>
  <si>
    <t>EL03</t>
  </si>
  <si>
    <t>RESTRICTED DONATIONS AND BEQUESTS</t>
  </si>
  <si>
    <t>RESEARCH GRANTS AND CONTRACTS</t>
  </si>
  <si>
    <t>OTHER</t>
  </si>
  <si>
    <t>NET ASSETS REL UNCOMP CARE</t>
  </si>
  <si>
    <t xml:space="preserve">OTHER DONATION RELEASED </t>
  </si>
  <si>
    <t>NET OPERATING REVENUES</t>
  </si>
  <si>
    <t>SALARIES</t>
  </si>
  <si>
    <t>PAYROLL BENEFITS</t>
  </si>
  <si>
    <t>CONTRACT STAFFING</t>
  </si>
  <si>
    <t>MEDICAL SUPPLIES</t>
  </si>
  <si>
    <t>OTHER SUPPLIES</t>
  </si>
  <si>
    <t>UTILITIES</t>
  </si>
  <si>
    <t>PURCHASED SERVICES</t>
  </si>
  <si>
    <t>DEPRECIATION</t>
  </si>
  <si>
    <t>RENTALS</t>
  </si>
  <si>
    <t>OTHER EXPENSES</t>
  </si>
  <si>
    <t>INTEREST</t>
  </si>
  <si>
    <t>TRANSFER TO SCHS AND SCH</t>
  </si>
  <si>
    <t>NET OPERATIONS GAIN (LOSS)</t>
  </si>
  <si>
    <t>INVESTMENT INCOME - REALIZED AND UNREALIZED</t>
  </si>
  <si>
    <t>REALIZED GAINS ON TRADING SECURITIES, NET</t>
  </si>
  <si>
    <t>UNREALIZED GAINS(LOSSES) ON TRADING SECURITIES,NET</t>
  </si>
  <si>
    <t>OTHER NON OPERATING INCOME</t>
  </si>
  <si>
    <t>CHANGE IN VALUATION OF INTEREST RATE SWAP AGREEMENTS</t>
  </si>
  <si>
    <t>OTHER NON OPERATING EXPENSE</t>
  </si>
  <si>
    <t>NON CASH GAIN(LOSS) ON FORGIVENESS OF NEW MARKET TAX CREDIT DEBT</t>
  </si>
  <si>
    <t>NET GAIN (LOSS)</t>
  </si>
  <si>
    <t xml:space="preserve">Cost of Goods Sold </t>
  </si>
  <si>
    <t>before reclass</t>
  </si>
  <si>
    <t>Year ended September 30, 2019</t>
  </si>
  <si>
    <t>√</t>
  </si>
  <si>
    <t>ties to P&amp;L detail from 12 2019 Master Rollup - September 2019 v4 (used for audited financial statements)</t>
  </si>
  <si>
    <t>JS review legend</t>
  </si>
  <si>
    <t>√√</t>
  </si>
  <si>
    <t>Review notes</t>
  </si>
  <si>
    <t>Review</t>
  </si>
  <si>
    <t>ties to GL for 01 (Hospital) entity</t>
  </si>
  <si>
    <t>7110-0</t>
  </si>
  <si>
    <t>7120-0</t>
  </si>
  <si>
    <t>7130-0</t>
  </si>
  <si>
    <t>7100,7125,7170,7180,7185,7192,7199</t>
  </si>
  <si>
    <t>7810, 7899</t>
  </si>
  <si>
    <t>7820</t>
  </si>
  <si>
    <t>√, √√</t>
  </si>
  <si>
    <t>7935</t>
  </si>
  <si>
    <t>7930,7940</t>
  </si>
  <si>
    <t>7920,7921</t>
  </si>
  <si>
    <t>7960</t>
  </si>
  <si>
    <t>4000,4010,4020,4100,4110,4120,4130</t>
  </si>
  <si>
    <t>5100</t>
  </si>
  <si>
    <t>5220</t>
  </si>
  <si>
    <t>5230,5231,5232,5233,5236,5999</t>
  </si>
  <si>
    <t>5200,5240,5290</t>
  </si>
  <si>
    <t>5300,5330</t>
  </si>
  <si>
    <t>5000,5000-1000,5000-1001</t>
  </si>
  <si>
    <t>5000-2000,5000-2001</t>
  </si>
  <si>
    <t>5350,5390,5391,5392</t>
  </si>
  <si>
    <t>6210-6999, exclude 6935-5100</t>
  </si>
  <si>
    <t>7000-7099</t>
  </si>
  <si>
    <t>7510-7599</t>
  </si>
  <si>
    <t>ties to audited financial statement FY19, support schedule</t>
  </si>
  <si>
    <t>7100-7199</t>
  </si>
  <si>
    <t>7650,7605-7699,7780</t>
  </si>
  <si>
    <t>7720-7770,7962</t>
  </si>
  <si>
    <t>7930,7935,7940</t>
  </si>
  <si>
    <t>7920, 7921</t>
  </si>
  <si>
    <t>7810, 7820, 7899</t>
  </si>
  <si>
    <t>7330-7399,7410-7499</t>
  </si>
  <si>
    <t>6935-5100,7600-7609,7965-7999</t>
  </si>
  <si>
    <t>8000-8099,8811,8930, 9480-9989</t>
  </si>
  <si>
    <t>see above</t>
  </si>
  <si>
    <t>18030, 18050</t>
  </si>
  <si>
    <t>18010</t>
  </si>
  <si>
    <t>18020</t>
  </si>
  <si>
    <t>18040</t>
  </si>
  <si>
    <t>18000,18001,18060</t>
  </si>
  <si>
    <t>18070</t>
  </si>
  <si>
    <t>18548,18550,18590,18595</t>
  </si>
  <si>
    <t>18320</t>
  </si>
  <si>
    <t>18370</t>
  </si>
  <si>
    <t>18330,18350</t>
  </si>
  <si>
    <t>18340</t>
  </si>
  <si>
    <t>18360</t>
  </si>
  <si>
    <t>adds/retirements ties to Marissa's file:  801_+802_+SCHPropertyRollforward_FY2019_UPDATED</t>
  </si>
  <si>
    <t>10155-10999</t>
  </si>
  <si>
    <t>11000-11499</t>
  </si>
  <si>
    <t>11600-11690</t>
  </si>
  <si>
    <t>13000-13099</t>
  </si>
  <si>
    <t>13500-13870</t>
  </si>
  <si>
    <t>14099</t>
  </si>
  <si>
    <t>12000-12830,12916,15098</t>
  </si>
  <si>
    <t>15299, 15397, 15399,10502,15004-15300, 15920, 15962</t>
  </si>
  <si>
    <t>16500</t>
  </si>
  <si>
    <t>18060</t>
  </si>
  <si>
    <t>18548-18595</t>
  </si>
  <si>
    <t>18320-18399</t>
  </si>
  <si>
    <t>17099, 18140, 18440,16800-16890,19800-19805</t>
  </si>
  <si>
    <t>20010-20299</t>
  </si>
  <si>
    <t>20300-20364</t>
  </si>
  <si>
    <t>20400</t>
  </si>
  <si>
    <t>20100</t>
  </si>
  <si>
    <t>20660,21000,21030,21032,21300,21400,23000,23500,26080,26081</t>
  </si>
  <si>
    <t>20099,20218,20615,20620,20660,20661,20665,20671,20672,20681-20683</t>
  </si>
  <si>
    <t>26009-26033,20100</t>
  </si>
  <si>
    <t>3xxxx</t>
  </si>
  <si>
    <t>Increase in employees</t>
  </si>
  <si>
    <t>increase in buildings (Building Cure) and CIP (Building Care)</t>
  </si>
  <si>
    <t>Net assets including restricted (make note in report includes both without restriction and with donor restriction)</t>
  </si>
  <si>
    <t>increase in pledges receivable, 39th and Othello Investment</t>
  </si>
  <si>
    <t>818 lease new in FY19</t>
  </si>
  <si>
    <t>higher outpatient volumes, favorable payer mix</t>
  </si>
  <si>
    <t>increase in employees, increase in ins costs</t>
  </si>
  <si>
    <t>decrease in inpatient charity care from PY</t>
  </si>
  <si>
    <t>increase in indemnity payments from PY</t>
  </si>
  <si>
    <t>PTO usage, dropped from $5.8M to $426K credit in FY19</t>
  </si>
  <si>
    <t>State B&amp;O reserve (new), CIDR funds (new), increase in swap from PY</t>
  </si>
  <si>
    <t>FY2019 Audited Financials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</si>
</sst>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  <numFmt numFmtId="167" formatCode="0.0%"/>
    <numFmt numFmtId="168" formatCode="#,##0[$%-409]"/>
    <numFmt numFmtId="169" formatCode="[$-409]mmmm\ d\,\ yyyy;@"/>
    <numFmt numFmtId="170" formatCode="[$-409]m/d/yy\ h:mm\ AM/PM;@"/>
    <numFmt numFmtId="171" formatCode="#,##0.0_);\(#,##0.0\)"/>
  </numFmts>
  <fonts count="67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3333FF"/>
      <name val="Times New Roman"/>
      <family val="1"/>
    </font>
    <font>
      <b/>
      <i/>
      <sz val="10"/>
      <name val="Times New Roman"/>
      <family val="1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rgb="FF3333FF"/>
      <name val="Arial"/>
      <family val="2"/>
    </font>
    <font>
      <sz val="10"/>
      <color rgb="FF00B050"/>
      <name val="Arial"/>
      <family val="2"/>
    </font>
    <font>
      <sz val="10"/>
      <color indexed="8"/>
      <name val="Arial"/>
      <family val="2"/>
    </font>
    <font>
      <sz val="10"/>
      <color rgb="FF3333FF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indexed="12"/>
      <name val="Arial"/>
      <family val="2"/>
    </font>
    <font>
      <sz val="10"/>
      <color rgb="FFFF0000"/>
      <name val="Arial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b/>
      <i/>
      <sz val="9"/>
      <name val="Times New Roman"/>
      <family val="1"/>
    </font>
    <font>
      <b/>
      <sz val="9"/>
      <name val="Times New Roman"/>
      <family val="1"/>
    </font>
    <font>
      <sz val="10"/>
      <color rgb="FF0000FF"/>
      <name val="Arial"/>
      <family val="2"/>
    </font>
    <font>
      <sz val="8"/>
      <name val="Times New Roman"/>
      <family val="1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u/>
      <sz val="10"/>
      <name val="Times New Roman"/>
      <family val="1"/>
    </font>
    <font>
      <b/>
      <sz val="24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b/>
      <sz val="11"/>
      <color theme="1"/>
      <name val="Times New Roman"/>
      <family val="1"/>
    </font>
    <font>
      <b/>
      <u/>
      <sz val="11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</font>
    <font>
      <sz val="10"/>
      <name val="Tms Rmn"/>
    </font>
    <font>
      <b/>
      <sz val="10"/>
      <color rgb="FFFF0000"/>
      <name val="Arial"/>
      <family val="2"/>
    </font>
    <font>
      <b/>
      <sz val="10"/>
      <color rgb="FF0000FF"/>
      <name val="Arial"/>
      <family val="2"/>
    </font>
    <font>
      <i/>
      <sz val="10"/>
      <name val="Times New Roman"/>
      <family val="1"/>
    </font>
    <font>
      <sz val="12"/>
      <color rgb="FFFF0000"/>
      <name val="Calibri"/>
      <family val="2"/>
    </font>
    <font>
      <sz val="12"/>
      <color rgb="FFFF00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2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25"/>
      </patternFill>
    </fill>
    <fill>
      <patternFill patternType="solid">
        <fgColor rgb="FF9FF62A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2">
    <xf numFmtId="37" fontId="0" fillId="0" borderId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8" fillId="0" borderId="0">
      <alignment vertical="top"/>
    </xf>
    <xf numFmtId="43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8" fillId="0" borderId="0">
      <alignment vertical="top"/>
    </xf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3" fillId="0" borderId="0"/>
    <xf numFmtId="0" fontId="28" fillId="0" borderId="0">
      <alignment vertical="top"/>
    </xf>
    <xf numFmtId="0" fontId="28" fillId="0" borderId="0">
      <alignment vertical="top"/>
    </xf>
    <xf numFmtId="0" fontId="30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3" fillId="0" borderId="0"/>
    <xf numFmtId="0" fontId="3" fillId="0" borderId="0"/>
    <xf numFmtId="0" fontId="17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28" fillId="0" borderId="0">
      <alignment vertical="top"/>
    </xf>
    <xf numFmtId="0" fontId="17" fillId="0" borderId="0"/>
    <xf numFmtId="0" fontId="3" fillId="0" borderId="0"/>
    <xf numFmtId="0" fontId="17" fillId="0" borderId="0"/>
    <xf numFmtId="0" fontId="1" fillId="0" borderId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58" fillId="0" borderId="0"/>
    <xf numFmtId="0" fontId="3" fillId="0" borderId="0"/>
    <xf numFmtId="0" fontId="17" fillId="0" borderId="0"/>
  </cellStyleXfs>
  <cellXfs count="931">
    <xf numFmtId="37" fontId="0" fillId="0" borderId="0" xfId="0"/>
    <xf numFmtId="37" fontId="5" fillId="0" borderId="0" xfId="0" applyFont="1" applyBorder="1"/>
    <xf numFmtId="37" fontId="5" fillId="0" borderId="0" xfId="0" applyFont="1"/>
    <xf numFmtId="37" fontId="4" fillId="0" borderId="0" xfId="0" applyFont="1" applyFill="1" applyBorder="1"/>
    <xf numFmtId="37" fontId="6" fillId="0" borderId="0" xfId="0" applyNumberFormat="1" applyFont="1" applyFill="1" applyBorder="1" applyAlignment="1" applyProtection="1">
      <alignment horizontal="centerContinuous"/>
    </xf>
    <xf numFmtId="37" fontId="7" fillId="0" borderId="0" xfId="0" applyFont="1" applyBorder="1" applyAlignment="1">
      <alignment horizontal="centerContinuous"/>
    </xf>
    <xf numFmtId="37" fontId="7" fillId="0" borderId="0" xfId="0" applyFont="1" applyAlignment="1">
      <alignment horizontal="centerContinuous"/>
    </xf>
    <xf numFmtId="37" fontId="7" fillId="0" borderId="0" xfId="0" applyFont="1"/>
    <xf numFmtId="37" fontId="7" fillId="0" borderId="0" xfId="0" applyFont="1" applyBorder="1"/>
    <xf numFmtId="37" fontId="6" fillId="0" borderId="0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Border="1" applyAlignment="1" applyProtection="1">
      <alignment horizontal="left"/>
    </xf>
    <xf numFmtId="37" fontId="8" fillId="0" borderId="0" xfId="0" applyFont="1"/>
    <xf numFmtId="37" fontId="7" fillId="0" borderId="0" xfId="0" quotePrefix="1" applyNumberFormat="1" applyFont="1" applyBorder="1" applyAlignment="1" applyProtection="1">
      <alignment horizontal="center"/>
    </xf>
    <xf numFmtId="37" fontId="6" fillId="0" borderId="1" xfId="0" applyNumberFormat="1" applyFont="1" applyFill="1" applyBorder="1" applyProtection="1"/>
    <xf numFmtId="37" fontId="6" fillId="0" borderId="2" xfId="0" applyNumberFormat="1" applyFont="1" applyFill="1" applyBorder="1" applyAlignment="1" applyProtection="1"/>
    <xf numFmtId="37" fontId="6" fillId="0" borderId="2" xfId="0" applyNumberFormat="1" applyFont="1" applyFill="1" applyBorder="1" applyAlignment="1" applyProtection="1">
      <alignment horizontal="center"/>
    </xf>
    <xf numFmtId="37" fontId="6" fillId="0" borderId="3" xfId="0" applyNumberFormat="1" applyFont="1" applyFill="1" applyBorder="1" applyProtection="1"/>
    <xf numFmtId="37" fontId="6" fillId="0" borderId="4" xfId="0" applyNumberFormat="1" applyFont="1" applyFill="1" applyBorder="1" applyAlignment="1" applyProtection="1"/>
    <xf numFmtId="37" fontId="6" fillId="0" borderId="4" xfId="0" applyNumberFormat="1" applyFont="1" applyFill="1" applyBorder="1" applyAlignment="1" applyProtection="1">
      <alignment horizontal="center"/>
    </xf>
    <xf numFmtId="37" fontId="6" fillId="0" borderId="3" xfId="0" applyFont="1" applyFill="1" applyBorder="1"/>
    <xf numFmtId="37" fontId="6" fillId="0" borderId="4" xfId="0" applyFont="1" applyFill="1" applyBorder="1"/>
    <xf numFmtId="37" fontId="6" fillId="0" borderId="2" xfId="0" applyNumberFormat="1" applyFont="1" applyFill="1" applyBorder="1" applyProtection="1"/>
    <xf numFmtId="37" fontId="6" fillId="0" borderId="2" xfId="0" quotePrefix="1" applyNumberFormat="1" applyFont="1" applyFill="1" applyBorder="1" applyAlignment="1" applyProtection="1">
      <alignment horizontal="left"/>
    </xf>
    <xf numFmtId="37" fontId="6" fillId="0" borderId="1" xfId="0" applyNumberFormat="1" applyFont="1" applyFill="1" applyBorder="1" applyAlignment="1" applyProtection="1"/>
    <xf numFmtId="37" fontId="6" fillId="0" borderId="2" xfId="0" applyFont="1" applyFill="1" applyBorder="1"/>
    <xf numFmtId="37" fontId="6" fillId="0" borderId="4" xfId="0" applyFont="1" applyFill="1" applyBorder="1" applyAlignment="1">
      <alignment horizontal="center"/>
    </xf>
    <xf numFmtId="39" fontId="6" fillId="0" borderId="2" xfId="0" applyNumberFormat="1" applyFont="1" applyFill="1" applyBorder="1" applyAlignment="1" applyProtection="1"/>
    <xf numFmtId="37" fontId="7" fillId="0" borderId="2" xfId="0" applyFont="1" applyBorder="1"/>
    <xf numFmtId="37" fontId="7" fillId="0" borderId="4" xfId="0" applyFont="1" applyBorder="1"/>
    <xf numFmtId="37" fontId="6" fillId="0" borderId="0" xfId="0" quotePrefix="1" applyNumberFormat="1" applyFont="1" applyFill="1" applyBorder="1" applyAlignment="1" applyProtection="1">
      <alignment horizontal="left"/>
    </xf>
    <xf numFmtId="37" fontId="6" fillId="0" borderId="0" xfId="0" applyFont="1" applyFill="1" applyBorder="1"/>
    <xf numFmtId="37" fontId="6" fillId="0" borderId="0" xfId="0" quotePrefix="1" applyNumberFormat="1" applyFont="1" applyFill="1" applyBorder="1" applyAlignment="1" applyProtection="1">
      <alignment horizontal="center"/>
    </xf>
    <xf numFmtId="37" fontId="6" fillId="0" borderId="5" xfId="0" applyFont="1" applyFill="1" applyBorder="1"/>
    <xf numFmtId="37" fontId="6" fillId="0" borderId="6" xfId="0" quotePrefix="1" applyNumberFormat="1" applyFont="1" applyFill="1" applyBorder="1" applyAlignment="1" applyProtection="1">
      <alignment horizontal="centerContinuous"/>
    </xf>
    <xf numFmtId="37" fontId="6" fillId="0" borderId="7" xfId="0" applyFont="1" applyFill="1" applyBorder="1" applyAlignment="1">
      <alignment horizontal="centerContinuous"/>
    </xf>
    <xf numFmtId="37" fontId="6" fillId="0" borderId="2" xfId="0" applyNumberFormat="1" applyFont="1" applyFill="1" applyBorder="1" applyAlignment="1" applyProtection="1">
      <alignment horizontal="centerContinuous"/>
    </xf>
    <xf numFmtId="37" fontId="6" fillId="0" borderId="2" xfId="0" applyFont="1" applyFill="1" applyBorder="1" applyAlignment="1">
      <alignment horizontal="centerContinuous"/>
    </xf>
    <xf numFmtId="37" fontId="6" fillId="0" borderId="8" xfId="0" applyNumberFormat="1" applyFont="1" applyFill="1" applyBorder="1" applyAlignment="1" applyProtection="1">
      <alignment horizontal="centerContinuous"/>
    </xf>
    <xf numFmtId="37" fontId="6" fillId="0" borderId="8" xfId="0" applyFont="1" applyFill="1" applyBorder="1"/>
    <xf numFmtId="37" fontId="6" fillId="0" borderId="1" xfId="0" applyNumberFormat="1" applyFont="1" applyFill="1" applyBorder="1" applyAlignment="1" applyProtection="1">
      <alignment horizontal="centerContinuous"/>
    </xf>
    <xf numFmtId="37" fontId="6" fillId="0" borderId="9" xfId="0" applyNumberFormat="1" applyFont="1" applyFill="1" applyBorder="1" applyProtection="1"/>
    <xf numFmtId="37" fontId="6" fillId="0" borderId="10" xfId="0" applyNumberFormat="1" applyFont="1" applyFill="1" applyBorder="1" applyAlignment="1" applyProtection="1"/>
    <xf numFmtId="37" fontId="6" fillId="0" borderId="11" xfId="0" applyFont="1" applyFill="1" applyBorder="1"/>
    <xf numFmtId="37" fontId="6" fillId="0" borderId="6" xfId="0" applyNumberFormat="1" applyFont="1" applyFill="1" applyBorder="1" applyAlignment="1" applyProtection="1">
      <alignment horizontal="centerContinuous"/>
    </xf>
    <xf numFmtId="37" fontId="6" fillId="0" borderId="4" xfId="0" applyFont="1" applyFill="1" applyBorder="1" applyAlignment="1">
      <alignment horizontal="centerContinuous"/>
    </xf>
    <xf numFmtId="37" fontId="6" fillId="0" borderId="0" xfId="0" applyNumberFormat="1" applyFont="1" applyFill="1" applyBorder="1" applyAlignment="1" applyProtection="1"/>
    <xf numFmtId="37" fontId="6" fillId="0" borderId="6" xfId="0" applyFont="1" applyFill="1" applyBorder="1" applyAlignment="1">
      <alignment horizontal="center"/>
    </xf>
    <xf numFmtId="37" fontId="6" fillId="0" borderId="7" xfId="0" applyFont="1" applyFill="1" applyBorder="1" applyAlignment="1">
      <alignment horizontal="center"/>
    </xf>
    <xf numFmtId="37" fontId="6" fillId="0" borderId="2" xfId="0" quotePrefix="1" applyNumberFormat="1" applyFont="1" applyFill="1" applyBorder="1" applyAlignment="1" applyProtection="1"/>
    <xf numFmtId="37" fontId="6" fillId="0" borderId="8" xfId="0" applyNumberFormat="1" applyFont="1" applyFill="1" applyBorder="1" applyAlignment="1" applyProtection="1"/>
    <xf numFmtId="37" fontId="6" fillId="0" borderId="12" xfId="0" applyFont="1" applyFill="1" applyBorder="1"/>
    <xf numFmtId="37" fontId="6" fillId="0" borderId="10" xfId="0" applyFont="1" applyFill="1" applyBorder="1"/>
    <xf numFmtId="37" fontId="6" fillId="0" borderId="7" xfId="0" applyFont="1" applyFill="1" applyBorder="1"/>
    <xf numFmtId="37" fontId="6" fillId="0" borderId="9" xfId="0" applyFont="1" applyFill="1" applyBorder="1"/>
    <xf numFmtId="37" fontId="6" fillId="0" borderId="10" xfId="0" applyFont="1" applyFill="1" applyBorder="1" applyAlignment="1">
      <alignment horizontal="center"/>
    </xf>
    <xf numFmtId="164" fontId="6" fillId="0" borderId="2" xfId="0" applyNumberFormat="1" applyFont="1" applyFill="1" applyBorder="1" applyProtection="1"/>
    <xf numFmtId="37" fontId="6" fillId="0" borderId="2" xfId="0" applyFont="1" applyFill="1" applyBorder="1" applyAlignment="1">
      <alignment horizontal="center"/>
    </xf>
    <xf numFmtId="37" fontId="6" fillId="0" borderId="13" xfId="0" applyNumberFormat="1" applyFont="1" applyFill="1" applyBorder="1" applyProtection="1"/>
    <xf numFmtId="37" fontId="6" fillId="0" borderId="0" xfId="0" applyFont="1" applyFill="1" applyBorder="1" applyAlignment="1">
      <alignment horizontal="center"/>
    </xf>
    <xf numFmtId="164" fontId="6" fillId="0" borderId="2" xfId="0" applyNumberFormat="1" applyFont="1" applyFill="1" applyBorder="1" applyAlignment="1" applyProtection="1">
      <alignment horizontal="right"/>
    </xf>
    <xf numFmtId="37" fontId="6" fillId="0" borderId="2" xfId="0" applyFont="1" applyFill="1" applyBorder="1" applyAlignment="1"/>
    <xf numFmtId="164" fontId="6" fillId="0" borderId="1" xfId="0" applyNumberFormat="1" applyFont="1" applyFill="1" applyBorder="1" applyProtection="1"/>
    <xf numFmtId="164" fontId="6" fillId="0" borderId="1" xfId="0" applyNumberFormat="1" applyFont="1" applyFill="1" applyBorder="1" applyAlignment="1" applyProtection="1"/>
    <xf numFmtId="164" fontId="6" fillId="0" borderId="2" xfId="0" quotePrefix="1" applyNumberFormat="1" applyFont="1" applyFill="1" applyBorder="1" applyAlignment="1" applyProtection="1">
      <alignment horizontal="left"/>
    </xf>
    <xf numFmtId="37" fontId="6" fillId="0" borderId="9" xfId="0" applyNumberFormat="1" applyFont="1" applyFill="1" applyBorder="1" applyAlignment="1" applyProtection="1"/>
    <xf numFmtId="37" fontId="6" fillId="0" borderId="12" xfId="0" quotePrefix="1" applyNumberFormat="1" applyFont="1" applyFill="1" applyBorder="1" applyAlignment="1" applyProtection="1">
      <alignment horizontal="left"/>
    </xf>
    <xf numFmtId="37" fontId="6" fillId="0" borderId="14" xfId="0" applyFont="1" applyFill="1" applyBorder="1" applyAlignment="1">
      <alignment horizontal="center"/>
    </xf>
    <xf numFmtId="37" fontId="6" fillId="0" borderId="8" xfId="0" applyFont="1" applyFill="1" applyBorder="1" applyAlignment="1">
      <alignment horizontal="center"/>
    </xf>
    <xf numFmtId="37" fontId="6" fillId="0" borderId="14" xfId="0" applyFont="1" applyFill="1" applyBorder="1"/>
    <xf numFmtId="37" fontId="7" fillId="0" borderId="14" xfId="0" applyFont="1" applyBorder="1"/>
    <xf numFmtId="37" fontId="7" fillId="0" borderId="8" xfId="0" applyFont="1" applyBorder="1"/>
    <xf numFmtId="37" fontId="6" fillId="0" borderId="8" xfId="0" applyFont="1" applyFill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"/>
    </xf>
    <xf numFmtId="37" fontId="6" fillId="0" borderId="13" xfId="0" applyFont="1" applyFill="1" applyBorder="1"/>
    <xf numFmtId="37" fontId="7" fillId="0" borderId="13" xfId="0" applyFont="1" applyBorder="1"/>
    <xf numFmtId="37" fontId="6" fillId="0" borderId="3" xfId="0" applyFont="1" applyFill="1" applyBorder="1" applyAlignment="1">
      <alignment horizontal="centerContinuous"/>
    </xf>
    <xf numFmtId="37" fontId="7" fillId="0" borderId="0" xfId="0" applyFont="1" applyBorder="1" applyAlignment="1">
      <alignment horizontal="center"/>
    </xf>
    <xf numFmtId="37" fontId="7" fillId="0" borderId="0" xfId="0" applyFont="1" applyBorder="1" applyAlignment="1"/>
    <xf numFmtId="37" fontId="7" fillId="0" borderId="0" xfId="0" applyFont="1" applyAlignment="1"/>
    <xf numFmtId="37" fontId="7" fillId="0" borderId="0" xfId="0" quotePrefix="1" applyNumberFormat="1" applyFont="1" applyBorder="1" applyAlignment="1" applyProtection="1"/>
    <xf numFmtId="37" fontId="8" fillId="0" borderId="0" xfId="0" applyFont="1" applyAlignment="1"/>
    <xf numFmtId="37" fontId="6" fillId="0" borderId="3" xfId="0" applyNumberFormat="1" applyFont="1" applyFill="1" applyBorder="1" applyAlignment="1" applyProtection="1"/>
    <xf numFmtId="37" fontId="6" fillId="0" borderId="3" xfId="0" applyFont="1" applyFill="1" applyBorder="1" applyAlignment="1"/>
    <xf numFmtId="37" fontId="6" fillId="0" borderId="4" xfId="0" applyFont="1" applyFill="1" applyBorder="1" applyAlignment="1"/>
    <xf numFmtId="4" fontId="6" fillId="0" borderId="2" xfId="0" applyNumberFormat="1" applyFont="1" applyFill="1" applyBorder="1" applyAlignment="1" applyProtection="1"/>
    <xf numFmtId="37" fontId="7" fillId="0" borderId="10" xfId="0" applyFont="1" applyBorder="1" applyAlignment="1"/>
    <xf numFmtId="3" fontId="6" fillId="0" borderId="2" xfId="0" applyNumberFormat="1" applyFont="1" applyFill="1" applyBorder="1" applyAlignment="1" applyProtection="1"/>
    <xf numFmtId="2" fontId="6" fillId="0" borderId="2" xfId="0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>
      <alignment horizontal="center"/>
    </xf>
    <xf numFmtId="37" fontId="6" fillId="0" borderId="2" xfId="0" quotePrefix="1" applyNumberFormat="1" applyFont="1" applyFill="1" applyBorder="1" applyAlignment="1" applyProtection="1">
      <alignment horizontal="center"/>
    </xf>
    <xf numFmtId="37" fontId="7" fillId="0" borderId="2" xfId="0" applyFont="1" applyBorder="1" applyAlignment="1">
      <alignment horizontal="center"/>
    </xf>
    <xf numFmtId="37" fontId="7" fillId="0" borderId="4" xfId="0" applyFont="1" applyBorder="1" applyAlignment="1">
      <alignment horizontal="center"/>
    </xf>
    <xf numFmtId="37" fontId="6" fillId="2" borderId="2" xfId="0" applyNumberFormat="1" applyFont="1" applyFill="1" applyBorder="1" applyProtection="1"/>
    <xf numFmtId="37" fontId="6" fillId="2" borderId="2" xfId="0" applyNumberFormat="1" applyFont="1" applyFill="1" applyBorder="1" applyAlignment="1" applyProtection="1"/>
    <xf numFmtId="37" fontId="6" fillId="0" borderId="0" xfId="0" applyNumberFormat="1" applyFont="1" applyFill="1" applyBorder="1" applyAlignment="1" applyProtection="1">
      <alignment horizontal="left"/>
    </xf>
    <xf numFmtId="37" fontId="7" fillId="0" borderId="7" xfId="0" applyFont="1" applyBorder="1" applyAlignment="1">
      <alignment horizontal="centerContinuous"/>
    </xf>
    <xf numFmtId="37" fontId="6" fillId="0" borderId="9" xfId="0" quotePrefix="1" applyNumberFormat="1" applyFont="1" applyFill="1" applyBorder="1" applyAlignment="1" applyProtection="1"/>
    <xf numFmtId="37" fontId="6" fillId="0" borderId="8" xfId="0" quotePrefix="1" applyNumberFormat="1" applyFont="1" applyFill="1" applyBorder="1" applyAlignment="1" applyProtection="1">
      <alignment horizontal="left"/>
    </xf>
    <xf numFmtId="37" fontId="6" fillId="0" borderId="4" xfId="0" applyNumberFormat="1" applyFont="1" applyFill="1" applyBorder="1" applyProtection="1"/>
    <xf numFmtId="37" fontId="7" fillId="0" borderId="1" xfId="0" applyFont="1" applyBorder="1"/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6" fillId="0" borderId="11" xfId="0" applyNumberFormat="1" applyFont="1" applyFill="1" applyBorder="1" applyProtection="1"/>
    <xf numFmtId="37" fontId="6" fillId="0" borderId="6" xfId="0" applyFont="1" applyFill="1" applyBorder="1" applyAlignment="1">
      <alignment horizontal="centerContinuous"/>
    </xf>
    <xf numFmtId="37" fontId="6" fillId="0" borderId="1" xfId="0" applyFont="1" applyFill="1" applyBorder="1" applyAlignment="1">
      <alignment horizontal="centerContinuous"/>
    </xf>
    <xf numFmtId="37" fontId="7" fillId="0" borderId="0" xfId="0" applyNumberFormat="1" applyFont="1" applyBorder="1" applyProtection="1"/>
    <xf numFmtId="37" fontId="7" fillId="0" borderId="0" xfId="0" applyNumberFormat="1" applyFont="1" applyBorder="1" applyAlignment="1" applyProtection="1">
      <alignment horizontal="center"/>
    </xf>
    <xf numFmtId="37" fontId="6" fillId="0" borderId="5" xfId="0" applyNumberFormat="1" applyFont="1" applyFill="1" applyBorder="1" applyAlignment="1" applyProtection="1">
      <alignment horizontal="centerContinuous"/>
    </xf>
    <xf numFmtId="37" fontId="7" fillId="0" borderId="6" xfId="0" applyFont="1" applyBorder="1" applyAlignment="1">
      <alignment horizontal="centerContinuous"/>
    </xf>
    <xf numFmtId="37" fontId="6" fillId="0" borderId="2" xfId="0" quotePrefix="1" applyNumberFormat="1" applyFont="1" applyFill="1" applyBorder="1" applyAlignment="1" applyProtection="1">
      <alignment horizontal="centerContinuous"/>
    </xf>
    <xf numFmtId="37" fontId="6" fillId="0" borderId="3" xfId="0" applyNumberFormat="1" applyFont="1" applyFill="1" applyBorder="1" applyAlignment="1" applyProtection="1">
      <alignment horizontal="center"/>
    </xf>
    <xf numFmtId="37" fontId="6" fillId="0" borderId="1" xfId="0" applyNumberFormat="1" applyFont="1" applyFill="1" applyBorder="1" applyAlignment="1" applyProtection="1">
      <alignment horizontal="center"/>
    </xf>
    <xf numFmtId="37" fontId="6" fillId="0" borderId="13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/>
    <xf numFmtId="37" fontId="6" fillId="0" borderId="13" xfId="0" applyNumberFormat="1" applyFont="1" applyFill="1" applyBorder="1" applyAlignment="1" applyProtection="1">
      <alignment horizontal="centerContinuous"/>
    </xf>
    <xf numFmtId="37" fontId="7" fillId="0" borderId="4" xfId="0" applyFont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Continuous"/>
    </xf>
    <xf numFmtId="37" fontId="6" fillId="0" borderId="14" xfId="0" applyNumberFormat="1" applyFont="1" applyFill="1" applyBorder="1" applyAlignment="1" applyProtection="1">
      <alignment horizontal="left"/>
    </xf>
    <xf numFmtId="37" fontId="7" fillId="0" borderId="12" xfId="0" applyFont="1" applyBorder="1"/>
    <xf numFmtId="37" fontId="7" fillId="0" borderId="6" xfId="0" applyFont="1" applyBorder="1"/>
    <xf numFmtId="37" fontId="7" fillId="0" borderId="7" xfId="0" applyFont="1" applyBorder="1"/>
    <xf numFmtId="37" fontId="7" fillId="0" borderId="15" xfId="0" applyFont="1" applyBorder="1"/>
    <xf numFmtId="37" fontId="7" fillId="0" borderId="12" xfId="0" quotePrefix="1" applyNumberFormat="1" applyFont="1" applyBorder="1" applyAlignment="1" applyProtection="1"/>
    <xf numFmtId="37" fontId="7" fillId="0" borderId="12" xfId="0" quotePrefix="1" applyNumberFormat="1" applyFont="1" applyBorder="1" applyAlignment="1" applyProtection="1">
      <alignment horizontal="left"/>
    </xf>
    <xf numFmtId="37" fontId="7" fillId="0" borderId="12" xfId="0" applyNumberFormat="1" applyFont="1" applyBorder="1" applyAlignment="1" applyProtection="1"/>
    <xf numFmtId="37" fontId="7" fillId="0" borderId="10" xfId="0" applyFont="1" applyBorder="1"/>
    <xf numFmtId="37" fontId="6" fillId="0" borderId="8" xfId="0" applyNumberFormat="1" applyFont="1" applyFill="1" applyBorder="1" applyProtection="1"/>
    <xf numFmtId="37" fontId="6" fillId="0" borderId="14" xfId="0" applyFont="1" applyFill="1" applyBorder="1" applyAlignment="1">
      <alignment horizontal="centerContinuous"/>
    </xf>
    <xf numFmtId="37" fontId="6" fillId="0" borderId="12" xfId="0" applyNumberFormat="1" applyFont="1" applyFill="1" applyBorder="1" applyAlignment="1" applyProtection="1"/>
    <xf numFmtId="37" fontId="6" fillId="0" borderId="1" xfId="0" applyFont="1" applyFill="1" applyBorder="1"/>
    <xf numFmtId="37" fontId="7" fillId="0" borderId="3" xfId="0" applyNumberFormat="1" applyFont="1" applyBorder="1" applyProtection="1"/>
    <xf numFmtId="37" fontId="7" fillId="2" borderId="0" xfId="0" applyFont="1" applyFill="1" applyBorder="1"/>
    <xf numFmtId="37" fontId="7" fillId="2" borderId="4" xfId="0" applyFont="1" applyFill="1" applyBorder="1"/>
    <xf numFmtId="37" fontId="7" fillId="0" borderId="9" xfId="0" applyFont="1" applyBorder="1"/>
    <xf numFmtId="37" fontId="6" fillId="0" borderId="12" xfId="0" applyNumberFormat="1" applyFont="1" applyFill="1" applyBorder="1" applyAlignment="1" applyProtection="1">
      <alignment horizontal="left"/>
    </xf>
    <xf numFmtId="37" fontId="6" fillId="0" borderId="10" xfId="0" applyNumberFormat="1" applyFont="1" applyFill="1" applyBorder="1" applyAlignment="1" applyProtection="1">
      <alignment horizontal="right"/>
    </xf>
    <xf numFmtId="37" fontId="7" fillId="0" borderId="10" xfId="0" applyNumberFormat="1" applyFont="1" applyBorder="1" applyProtection="1"/>
    <xf numFmtId="37" fontId="7" fillId="2" borderId="12" xfId="0" applyFont="1" applyFill="1" applyBorder="1"/>
    <xf numFmtId="37" fontId="7" fillId="2" borderId="10" xfId="0" applyFont="1" applyFill="1" applyBorder="1"/>
    <xf numFmtId="37" fontId="6" fillId="0" borderId="1" xfId="0" applyFont="1" applyFill="1" applyBorder="1" applyAlignment="1"/>
    <xf numFmtId="37" fontId="7" fillId="0" borderId="16" xfId="0" applyFont="1" applyBorder="1"/>
    <xf numFmtId="37" fontId="7" fillId="0" borderId="17" xfId="0" applyFont="1" applyBorder="1"/>
    <xf numFmtId="37" fontId="7" fillId="0" borderId="18" xfId="0" applyFont="1" applyBorder="1"/>
    <xf numFmtId="37" fontId="7" fillId="0" borderId="19" xfId="0" applyFont="1" applyBorder="1"/>
    <xf numFmtId="37" fontId="7" fillId="0" borderId="20" xfId="0" applyFont="1" applyBorder="1"/>
    <xf numFmtId="37" fontId="7" fillId="0" borderId="21" xfId="0" applyFont="1" applyBorder="1"/>
    <xf numFmtId="37" fontId="7" fillId="0" borderId="22" xfId="0" applyFont="1" applyBorder="1"/>
    <xf numFmtId="37" fontId="7" fillId="0" borderId="23" xfId="0" applyFont="1" applyBorder="1"/>
    <xf numFmtId="37" fontId="7" fillId="0" borderId="17" xfId="0" applyFont="1" applyBorder="1" applyAlignment="1">
      <alignment horizontal="center"/>
    </xf>
    <xf numFmtId="37" fontId="7" fillId="0" borderId="17" xfId="0" applyFont="1" applyBorder="1" applyAlignment="1">
      <alignment horizontal="right"/>
    </xf>
    <xf numFmtId="37" fontId="7" fillId="0" borderId="0" xfId="0" applyFont="1" applyBorder="1" applyAlignment="1">
      <alignment horizontal="right"/>
    </xf>
    <xf numFmtId="37" fontId="7" fillId="0" borderId="24" xfId="0" applyFont="1" applyBorder="1"/>
    <xf numFmtId="37" fontId="7" fillId="0" borderId="8" xfId="0" applyFont="1" applyBorder="1" applyAlignment="1">
      <alignment horizontal="center"/>
    </xf>
    <xf numFmtId="37" fontId="7" fillId="0" borderId="25" xfId="0" applyFont="1" applyBorder="1"/>
    <xf numFmtId="37" fontId="7" fillId="0" borderId="26" xfId="0" applyFont="1" applyBorder="1"/>
    <xf numFmtId="37" fontId="7" fillId="0" borderId="27" xfId="0" applyFont="1" applyBorder="1"/>
    <xf numFmtId="37" fontId="7" fillId="0" borderId="28" xfId="0" quotePrefix="1" applyFont="1" applyBorder="1" applyAlignment="1">
      <alignment horizontal="left"/>
    </xf>
    <xf numFmtId="37" fontId="7" fillId="0" borderId="29" xfId="0" applyFont="1" applyBorder="1"/>
    <xf numFmtId="37" fontId="7" fillId="0" borderId="28" xfId="0" applyFont="1" applyBorder="1" applyAlignment="1">
      <alignment horizontal="center"/>
    </xf>
    <xf numFmtId="37" fontId="7" fillId="0" borderId="30" xfId="0" applyFont="1" applyBorder="1"/>
    <xf numFmtId="37" fontId="7" fillId="0" borderId="31" xfId="0" applyFont="1" applyBorder="1"/>
    <xf numFmtId="37" fontId="7" fillId="0" borderId="31" xfId="0" applyFont="1" applyBorder="1" applyAlignment="1">
      <alignment horizontal="center"/>
    </xf>
    <xf numFmtId="37" fontId="7" fillId="0" borderId="32" xfId="0" applyFont="1" applyBorder="1"/>
    <xf numFmtId="37" fontId="10" fillId="0" borderId="0" xfId="0" applyFont="1"/>
    <xf numFmtId="37" fontId="8" fillId="0" borderId="0" xfId="0" quotePrefix="1" applyFont="1" applyAlignment="1">
      <alignment horizontal="right"/>
    </xf>
    <xf numFmtId="37" fontId="9" fillId="0" borderId="0" xfId="0" quotePrefix="1" applyFont="1" applyAlignment="1">
      <alignment horizontal="right"/>
    </xf>
    <xf numFmtId="37" fontId="7" fillId="0" borderId="0" xfId="0" quotePrefix="1" applyFont="1" applyBorder="1" applyAlignment="1">
      <alignment horizontal="right"/>
    </xf>
    <xf numFmtId="37" fontId="6" fillId="0" borderId="0" xfId="0" quotePrefix="1" applyNumberFormat="1" applyFont="1" applyFill="1" applyBorder="1" applyAlignment="1" applyProtection="1">
      <alignment horizontal="right"/>
    </xf>
    <xf numFmtId="37" fontId="7" fillId="0" borderId="0" xfId="0" quotePrefix="1" applyFont="1" applyAlignment="1">
      <alignment horizontal="right"/>
    </xf>
    <xf numFmtId="37" fontId="5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left"/>
    </xf>
    <xf numFmtId="37" fontId="5" fillId="3" borderId="0" xfId="0" applyFont="1" applyFill="1" applyAlignment="1" applyProtection="1">
      <alignment horizontal="right"/>
    </xf>
    <xf numFmtId="37" fontId="5" fillId="3" borderId="0" xfId="0" applyFont="1" applyFill="1" applyAlignment="1" applyProtection="1"/>
    <xf numFmtId="37" fontId="11" fillId="4" borderId="1" xfId="0" applyFont="1" applyFill="1" applyBorder="1" applyProtection="1">
      <protection locked="0"/>
    </xf>
    <xf numFmtId="37" fontId="5" fillId="3" borderId="0" xfId="0" applyFont="1" applyFill="1" applyProtection="1"/>
    <xf numFmtId="37" fontId="11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/>
    <xf numFmtId="37" fontId="11" fillId="3" borderId="0" xfId="0" applyFont="1" applyFill="1" applyProtection="1"/>
    <xf numFmtId="37" fontId="5" fillId="0" borderId="0" xfId="0" applyFont="1" applyAlignment="1" applyProtection="1"/>
    <xf numFmtId="37" fontId="5" fillId="0" borderId="0" xfId="0" applyFont="1" applyProtection="1"/>
    <xf numFmtId="37" fontId="5" fillId="0" borderId="0" xfId="0" applyFont="1" applyAlignment="1" applyProtection="1">
      <alignment horizontal="center"/>
    </xf>
    <xf numFmtId="38" fontId="5" fillId="3" borderId="0" xfId="0" applyNumberFormat="1" applyFont="1" applyFill="1" applyAlignment="1" applyProtection="1">
      <alignment horizontal="center"/>
    </xf>
    <xf numFmtId="37" fontId="11" fillId="0" borderId="1" xfId="0" applyNumberFormat="1" applyFont="1" applyBorder="1" applyAlignment="1" applyProtection="1">
      <protection locked="0"/>
    </xf>
    <xf numFmtId="37" fontId="11" fillId="0" borderId="1" xfId="0" quotePrefix="1" applyNumberFormat="1" applyFont="1" applyBorder="1" applyProtection="1">
      <protection locked="0"/>
    </xf>
    <xf numFmtId="37" fontId="11" fillId="0" borderId="1" xfId="1" quotePrefix="1" applyNumberFormat="1" applyFont="1" applyBorder="1" applyProtection="1">
      <protection locked="0"/>
    </xf>
    <xf numFmtId="39" fontId="11" fillId="0" borderId="1" xfId="3" quotePrefix="1" applyNumberFormat="1" applyFont="1" applyBorder="1" applyProtection="1">
      <protection locked="0"/>
    </xf>
    <xf numFmtId="39" fontId="11" fillId="0" borderId="1" xfId="0" quotePrefix="1" applyNumberFormat="1" applyFont="1" applyBorder="1" applyProtection="1">
      <protection locked="0"/>
    </xf>
    <xf numFmtId="37" fontId="11" fillId="4" borderId="1" xfId="0" quotePrefix="1" applyNumberFormat="1" applyFont="1" applyFill="1" applyBorder="1" applyProtection="1">
      <protection locked="0"/>
    </xf>
    <xf numFmtId="38" fontId="11" fillId="4" borderId="1" xfId="0" applyNumberFormat="1" applyFont="1" applyFill="1" applyBorder="1" applyProtection="1">
      <protection locked="0"/>
    </xf>
    <xf numFmtId="38" fontId="5" fillId="3" borderId="0" xfId="0" applyNumberFormat="1" applyFont="1" applyFill="1" applyAlignment="1" applyProtection="1">
      <alignment horizontal="right"/>
    </xf>
    <xf numFmtId="38" fontId="5" fillId="3" borderId="0" xfId="0" applyNumberFormat="1" applyFont="1" applyFill="1" applyProtection="1"/>
    <xf numFmtId="38" fontId="11" fillId="3" borderId="0" xfId="0" applyNumberFormat="1" applyFont="1" applyFill="1" applyAlignment="1" applyProtection="1">
      <alignment horizontal="center"/>
    </xf>
    <xf numFmtId="38" fontId="11" fillId="3" borderId="0" xfId="0" applyNumberFormat="1" applyFont="1" applyFill="1" applyProtection="1"/>
    <xf numFmtId="37" fontId="5" fillId="0" borderId="0" xfId="0" applyFont="1" applyFill="1" applyAlignment="1" applyProtection="1"/>
    <xf numFmtId="37" fontId="5" fillId="3" borderId="0" xfId="0" applyNumberFormat="1" applyFont="1" applyFill="1" applyProtection="1"/>
    <xf numFmtId="164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Font="1" applyAlignment="1" applyProtection="1">
      <alignment horizontal="left"/>
    </xf>
    <xf numFmtId="37" fontId="5" fillId="0" borderId="0" xfId="0" quotePrefix="1" applyFont="1" applyAlignment="1" applyProtection="1">
      <alignment horizontal="left"/>
    </xf>
    <xf numFmtId="164" fontId="5" fillId="0" borderId="0" xfId="0" applyNumberFormat="1" applyFont="1" applyAlignment="1" applyProtection="1">
      <alignment horizontal="left"/>
    </xf>
    <xf numFmtId="38" fontId="11" fillId="4" borderId="2" xfId="0" applyNumberFormat="1" applyFont="1" applyFill="1" applyBorder="1" applyProtection="1">
      <protection locked="0"/>
    </xf>
    <xf numFmtId="38" fontId="11" fillId="4" borderId="8" xfId="0" applyNumberFormat="1" applyFont="1" applyFill="1" applyBorder="1" applyProtection="1">
      <protection locked="0"/>
    </xf>
    <xf numFmtId="37" fontId="5" fillId="0" borderId="0" xfId="0" quotePrefix="1" applyFont="1" applyAlignment="1" applyProtection="1">
      <alignment horizontal="fill"/>
    </xf>
    <xf numFmtId="37" fontId="5" fillId="3" borderId="0" xfId="0" quotePrefix="1" applyFont="1" applyFill="1" applyAlignment="1" applyProtection="1">
      <alignment horizontal="centerContinuous"/>
    </xf>
    <xf numFmtId="37" fontId="5" fillId="3" borderId="0" xfId="0" applyFont="1" applyFill="1" applyAlignment="1" applyProtection="1">
      <alignment horizontal="centerContinuous"/>
    </xf>
    <xf numFmtId="37" fontId="6" fillId="5" borderId="2" xfId="0" applyFont="1" applyFill="1" applyBorder="1" applyAlignment="1"/>
    <xf numFmtId="37" fontId="6" fillId="6" borderId="2" xfId="0" applyFont="1" applyFill="1" applyBorder="1" applyAlignment="1"/>
    <xf numFmtId="37" fontId="6" fillId="6" borderId="2" xfId="0" applyFont="1" applyFill="1" applyBorder="1" applyAlignment="1">
      <alignment horizontal="center"/>
    </xf>
    <xf numFmtId="37" fontId="6" fillId="6" borderId="2" xfId="0" quotePrefix="1" applyNumberFormat="1" applyFont="1" applyFill="1" applyBorder="1" applyAlignment="1" applyProtection="1">
      <alignment horizontal="center"/>
    </xf>
    <xf numFmtId="37" fontId="6" fillId="6" borderId="2" xfId="0" applyNumberFormat="1" applyFont="1" applyFill="1" applyBorder="1" applyAlignment="1" applyProtection="1"/>
    <xf numFmtId="37" fontId="6" fillId="6" borderId="2" xfId="0" quotePrefix="1" applyFont="1" applyFill="1" applyBorder="1" applyAlignment="1"/>
    <xf numFmtId="39" fontId="6" fillId="6" borderId="2" xfId="0" quotePrefix="1" applyNumberFormat="1" applyFont="1" applyFill="1" applyBorder="1" applyAlignment="1" applyProtection="1">
      <alignment horizontal="center"/>
    </xf>
    <xf numFmtId="39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/>
    <xf numFmtId="37" fontId="6" fillId="6" borderId="2" xfId="0" applyNumberFormat="1" applyFont="1" applyFill="1" applyBorder="1" applyAlignment="1"/>
    <xf numFmtId="39" fontId="11" fillId="0" borderId="1" xfId="1" quotePrefix="1" applyNumberFormat="1" applyFont="1" applyBorder="1" applyProtection="1">
      <protection locked="0"/>
    </xf>
    <xf numFmtId="38" fontId="11" fillId="4" borderId="1" xfId="0" applyNumberFormat="1" applyFont="1" applyFill="1" applyBorder="1" applyAlignment="1" applyProtection="1">
      <alignment horizontal="center"/>
      <protection locked="0"/>
    </xf>
    <xf numFmtId="39" fontId="11" fillId="0" borderId="1" xfId="0" applyNumberFormat="1" applyFont="1" applyBorder="1" applyProtection="1">
      <protection locked="0"/>
    </xf>
    <xf numFmtId="37" fontId="11" fillId="0" borderId="1" xfId="1" applyNumberFormat="1" applyFont="1" applyBorder="1" applyProtection="1">
      <protection locked="0"/>
    </xf>
    <xf numFmtId="165" fontId="11" fillId="0" borderId="1" xfId="1" quotePrefix="1" applyNumberFormat="1" applyFont="1" applyBorder="1" applyProtection="1">
      <protection locked="0"/>
    </xf>
    <xf numFmtId="38" fontId="11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>
      <alignment horizontal="left"/>
    </xf>
    <xf numFmtId="3" fontId="7" fillId="0" borderId="2" xfId="0" applyNumberFormat="1" applyFont="1" applyFill="1" applyBorder="1" applyAlignment="1" applyProtection="1"/>
    <xf numFmtId="38" fontId="11" fillId="3" borderId="8" xfId="0" applyNumberFormat="1" applyFont="1" applyFill="1" applyBorder="1" applyAlignment="1" applyProtection="1">
      <alignment horizontal="center"/>
      <protection locked="0"/>
    </xf>
    <xf numFmtId="37" fontId="5" fillId="0" borderId="0" xfId="0" applyFont="1" applyFill="1" applyAlignment="1" applyProtection="1">
      <alignment horizontal="left"/>
    </xf>
    <xf numFmtId="37" fontId="5" fillId="0" borderId="0" xfId="0" applyFont="1" applyFill="1" applyProtection="1"/>
    <xf numFmtId="38" fontId="5" fillId="0" borderId="0" xfId="0" applyNumberFormat="1" applyFont="1" applyFill="1" applyProtection="1"/>
    <xf numFmtId="38" fontId="5" fillId="0" borderId="0" xfId="0" applyNumberFormat="1" applyFont="1" applyProtection="1"/>
    <xf numFmtId="37" fontId="5" fillId="7" borderId="0" xfId="0" applyFont="1" applyFill="1" applyProtection="1"/>
    <xf numFmtId="37" fontId="5" fillId="7" borderId="0" xfId="0" quotePrefix="1" applyFont="1" applyFill="1" applyAlignment="1" applyProtection="1">
      <alignment horizontal="left"/>
    </xf>
    <xf numFmtId="38" fontId="5" fillId="7" borderId="0" xfId="0" applyNumberFormat="1" applyFont="1" applyFill="1" applyProtection="1"/>
    <xf numFmtId="37" fontId="5" fillId="0" borderId="0" xfId="0" quotePrefix="1" applyFont="1" applyAlignment="1" applyProtection="1"/>
    <xf numFmtId="0" fontId="5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/>
    <xf numFmtId="0" fontId="5" fillId="0" borderId="0" xfId="0" quotePrefix="1" applyNumberFormat="1" applyFont="1" applyAlignment="1" applyProtection="1">
      <alignment horizontal="center"/>
    </xf>
    <xf numFmtId="37" fontId="5" fillId="3" borderId="0" xfId="0" quotePrefix="1" applyFont="1" applyFill="1" applyAlignment="1" applyProtection="1">
      <alignment horizontal="center"/>
    </xf>
    <xf numFmtId="37" fontId="5" fillId="3" borderId="0" xfId="0" quotePrefix="1" applyNumberFormat="1" applyFont="1" applyFill="1" applyAlignment="1" applyProtection="1"/>
    <xf numFmtId="166" fontId="5" fillId="3" borderId="0" xfId="0" applyNumberFormat="1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fill"/>
    </xf>
    <xf numFmtId="37" fontId="5" fillId="3" borderId="0" xfId="1" applyNumberFormat="1" applyFont="1" applyFill="1" applyProtection="1"/>
    <xf numFmtId="37" fontId="5" fillId="3" borderId="0" xfId="0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left"/>
    </xf>
    <xf numFmtId="4" fontId="5" fillId="3" borderId="0" xfId="0" applyNumberFormat="1" applyFont="1" applyFill="1" applyProtection="1"/>
    <xf numFmtId="37" fontId="5" fillId="0" borderId="0" xfId="0" applyNumberFormat="1" applyFont="1" applyProtection="1"/>
    <xf numFmtId="37" fontId="5" fillId="3" borderId="0" xfId="1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fill"/>
    </xf>
    <xf numFmtId="39" fontId="5" fillId="3" borderId="0" xfId="0" applyNumberFormat="1" applyFont="1" applyFill="1" applyProtection="1"/>
    <xf numFmtId="37" fontId="12" fillId="3" borderId="0" xfId="0" applyFont="1" applyFill="1" applyProtection="1"/>
    <xf numFmtId="37" fontId="11" fillId="3" borderId="0" xfId="0" applyFont="1" applyFill="1" applyAlignment="1" applyProtection="1">
      <alignment horizontal="centerContinuous"/>
    </xf>
    <xf numFmtId="37" fontId="11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5" fillId="0" borderId="0" xfId="0" applyNumberFormat="1" applyFont="1" applyProtection="1"/>
    <xf numFmtId="1" fontId="5" fillId="0" borderId="0" xfId="0" applyNumberFormat="1" applyFont="1" applyAlignment="1" applyProtection="1">
      <alignment horizontal="center"/>
    </xf>
    <xf numFmtId="37" fontId="5" fillId="0" borderId="0" xfId="0" quotePrefix="1" applyFont="1" applyAlignment="1" applyProtection="1">
      <alignment horizontal="center"/>
    </xf>
    <xf numFmtId="2" fontId="5" fillId="0" borderId="0" xfId="0" applyNumberFormat="1" applyFont="1" applyProtection="1"/>
    <xf numFmtId="2" fontId="5" fillId="0" borderId="0" xfId="0" applyNumberFormat="1" applyFont="1" applyAlignment="1" applyProtection="1"/>
    <xf numFmtId="10" fontId="5" fillId="0" borderId="0" xfId="0" applyNumberFormat="1" applyFont="1" applyProtection="1"/>
    <xf numFmtId="37" fontId="11" fillId="0" borderId="0" xfId="0" applyFont="1" applyProtection="1"/>
    <xf numFmtId="37" fontId="5" fillId="0" borderId="0" xfId="0" applyFont="1" applyProtection="1">
      <protection locked="0"/>
    </xf>
    <xf numFmtId="37" fontId="7" fillId="0" borderId="0" xfId="0" applyFont="1" applyAlignment="1" applyProtection="1"/>
    <xf numFmtId="37" fontId="7" fillId="0" borderId="0" xfId="0" applyFont="1" applyProtection="1"/>
    <xf numFmtId="37" fontId="5" fillId="3" borderId="0" xfId="0" applyFont="1" applyFill="1" applyAlignment="1" applyProtection="1">
      <alignment horizontal="left"/>
    </xf>
    <xf numFmtId="37" fontId="5" fillId="8" borderId="0" xfId="0" applyFont="1" applyFill="1" applyProtection="1"/>
    <xf numFmtId="37" fontId="6" fillId="0" borderId="8" xfId="0" applyNumberFormat="1" applyFont="1" applyFill="1" applyBorder="1" applyAlignment="1" applyProtection="1">
      <alignment horizontal="left"/>
    </xf>
    <xf numFmtId="164" fontId="6" fillId="0" borderId="3" xfId="0" applyNumberFormat="1" applyFont="1" applyFill="1" applyBorder="1" applyAlignment="1" applyProtection="1"/>
    <xf numFmtId="49" fontId="11" fillId="4" borderId="1" xfId="0" quotePrefix="1" applyNumberFormat="1" applyFont="1" applyFill="1" applyBorder="1" applyAlignment="1" applyProtection="1">
      <protection locked="0"/>
    </xf>
    <xf numFmtId="37" fontId="14" fillId="0" borderId="0" xfId="2" applyNumberFormat="1" applyFont="1" applyAlignment="1" applyProtection="1"/>
    <xf numFmtId="38" fontId="5" fillId="8" borderId="0" xfId="0" applyNumberFormat="1" applyFont="1" applyFill="1" applyProtection="1"/>
    <xf numFmtId="37" fontId="15" fillId="0" borderId="23" xfId="0" applyFont="1" applyBorder="1" applyAlignment="1">
      <alignment horizontal="right"/>
    </xf>
    <xf numFmtId="0" fontId="2" fillId="0" borderId="0" xfId="4"/>
    <xf numFmtId="0" fontId="2" fillId="0" borderId="0" xfId="4" applyAlignment="1"/>
    <xf numFmtId="165" fontId="0" fillId="0" borderId="0" xfId="5" applyNumberFormat="1" applyFont="1"/>
    <xf numFmtId="165" fontId="16" fillId="0" borderId="0" xfId="5" applyNumberFormat="1" applyFont="1"/>
    <xf numFmtId="165" fontId="2" fillId="9" borderId="31" xfId="4" applyNumberFormat="1" applyFont="1" applyFill="1" applyBorder="1"/>
    <xf numFmtId="0" fontId="18" fillId="0" borderId="0" xfId="6" applyFont="1"/>
    <xf numFmtId="0" fontId="18" fillId="0" borderId="0" xfId="6" applyFont="1" applyAlignment="1">
      <alignment horizontal="centerContinuous"/>
    </xf>
    <xf numFmtId="0" fontId="18" fillId="0" borderId="0" xfId="6" applyFont="1" applyAlignment="1">
      <alignment horizontal="right"/>
    </xf>
    <xf numFmtId="37" fontId="18" fillId="0" borderId="0" xfId="6" applyNumberFormat="1" applyFont="1" applyAlignment="1">
      <alignment horizontal="centerContinuous"/>
    </xf>
    <xf numFmtId="37" fontId="18" fillId="0" borderId="0" xfId="6" applyNumberFormat="1" applyFont="1" applyFill="1" applyAlignment="1">
      <alignment horizontal="centerContinuous"/>
    </xf>
    <xf numFmtId="10" fontId="18" fillId="0" borderId="0" xfId="6" applyNumberFormat="1" applyFont="1"/>
    <xf numFmtId="167" fontId="18" fillId="0" borderId="0" xfId="6" applyNumberFormat="1" applyFont="1"/>
    <xf numFmtId="9" fontId="18" fillId="10" borderId="0" xfId="6" applyNumberFormat="1" applyFont="1" applyFill="1" applyBorder="1"/>
    <xf numFmtId="9" fontId="18" fillId="0" borderId="0" xfId="6" applyNumberFormat="1" applyFont="1" applyBorder="1"/>
    <xf numFmtId="37" fontId="18" fillId="0" borderId="0" xfId="6" applyNumberFormat="1" applyFont="1" applyBorder="1"/>
    <xf numFmtId="0" fontId="18" fillId="0" borderId="0" xfId="6" applyFont="1" applyBorder="1" applyAlignment="1">
      <alignment wrapText="1"/>
    </xf>
    <xf numFmtId="0" fontId="18" fillId="0" borderId="0" xfId="6" applyFont="1" applyBorder="1"/>
    <xf numFmtId="0" fontId="18" fillId="0" borderId="0" xfId="6" applyFont="1" applyAlignment="1">
      <alignment horizontal="left"/>
    </xf>
    <xf numFmtId="0" fontId="18" fillId="0" borderId="0" xfId="6" quotePrefix="1" applyFont="1" applyAlignment="1">
      <alignment horizontal="centerContinuous"/>
    </xf>
    <xf numFmtId="37" fontId="18" fillId="0" borderId="0" xfId="6" quotePrefix="1" applyNumberFormat="1" applyFont="1" applyAlignment="1">
      <alignment horizontal="center"/>
    </xf>
    <xf numFmtId="167" fontId="18" fillId="0" borderId="0" xfId="6" quotePrefix="1" applyNumberFormat="1" applyFont="1" applyAlignment="1">
      <alignment horizontal="center"/>
    </xf>
    <xf numFmtId="0" fontId="18" fillId="0" borderId="0" xfId="6" applyFont="1" applyAlignment="1">
      <alignment horizontal="center"/>
    </xf>
    <xf numFmtId="37" fontId="18" fillId="0" borderId="0" xfId="6" applyNumberFormat="1" applyFont="1" applyAlignment="1">
      <alignment horizontal="center"/>
    </xf>
    <xf numFmtId="10" fontId="18" fillId="0" borderId="0" xfId="6" quotePrefix="1" applyNumberFormat="1" applyFont="1" applyFill="1" applyAlignment="1">
      <alignment horizontal="center"/>
    </xf>
    <xf numFmtId="167" fontId="18" fillId="0" borderId="0" xfId="6" applyNumberFormat="1" applyFont="1" applyFill="1"/>
    <xf numFmtId="9" fontId="18" fillId="10" borderId="0" xfId="6" applyNumberFormat="1" applyFont="1" applyFill="1" applyBorder="1" applyAlignment="1">
      <alignment horizontal="center"/>
    </xf>
    <xf numFmtId="0" fontId="18" fillId="0" borderId="0" xfId="6" applyFont="1" applyBorder="1" applyAlignment="1">
      <alignment horizontal="right" wrapText="1"/>
    </xf>
    <xf numFmtId="0" fontId="18" fillId="0" borderId="0" xfId="6" quotePrefix="1" applyFont="1"/>
    <xf numFmtId="37" fontId="18" fillId="0" borderId="0" xfId="6" applyNumberFormat="1" applyFont="1" applyFill="1" applyAlignment="1">
      <alignment horizontal="center"/>
    </xf>
    <xf numFmtId="37" fontId="18" fillId="0" borderId="0" xfId="6" quotePrefix="1" applyNumberFormat="1" applyFont="1" applyFill="1" applyAlignment="1">
      <alignment horizontal="center"/>
    </xf>
    <xf numFmtId="0" fontId="18" fillId="10" borderId="0" xfId="6" applyNumberFormat="1" applyFont="1" applyFill="1" applyBorder="1" applyAlignment="1">
      <alignment horizontal="center"/>
    </xf>
    <xf numFmtId="0" fontId="18" fillId="0" borderId="0" xfId="6" quotePrefix="1" applyNumberFormat="1" applyFont="1" applyBorder="1" applyAlignment="1"/>
    <xf numFmtId="0" fontId="18" fillId="0" borderId="0" xfId="6" applyNumberFormat="1" applyFont="1" applyBorder="1" applyAlignment="1">
      <alignment horizontal="center"/>
    </xf>
    <xf numFmtId="37" fontId="18" fillId="0" borderId="0" xfId="6" applyNumberFormat="1" applyFont="1"/>
    <xf numFmtId="37" fontId="18" fillId="0" borderId="0" xfId="6" applyNumberFormat="1" applyFont="1" applyFill="1"/>
    <xf numFmtId="10" fontId="18" fillId="0" borderId="0" xfId="6" applyNumberFormat="1" applyFont="1" applyFill="1"/>
    <xf numFmtId="37" fontId="18" fillId="0" borderId="0" xfId="6" applyNumberFormat="1" applyFont="1" applyBorder="1" applyAlignment="1">
      <alignment horizontal="center"/>
    </xf>
    <xf numFmtId="0" fontId="18" fillId="0" borderId="0" xfId="6" applyFont="1" applyBorder="1" applyAlignment="1">
      <alignment horizontal="center" wrapText="1"/>
    </xf>
    <xf numFmtId="0" fontId="18" fillId="0" borderId="0" xfId="6" applyFont="1" applyBorder="1" applyAlignment="1">
      <alignment horizontal="center"/>
    </xf>
    <xf numFmtId="0" fontId="18" fillId="11" borderId="0" xfId="6" applyFont="1" applyFill="1"/>
    <xf numFmtId="0" fontId="18" fillId="0" borderId="0" xfId="6" applyFont="1" applyFill="1" applyAlignment="1">
      <alignment horizontal="right"/>
    </xf>
    <xf numFmtId="37" fontId="19" fillId="0" borderId="0" xfId="6" applyNumberFormat="1" applyFont="1" applyAlignment="1">
      <alignment horizontal="right"/>
    </xf>
    <xf numFmtId="37" fontId="19" fillId="0" borderId="12" xfId="6" applyNumberFormat="1" applyFont="1" applyBorder="1" applyAlignment="1">
      <alignment horizontal="right"/>
    </xf>
    <xf numFmtId="37" fontId="19" fillId="0" borderId="0" xfId="6" applyNumberFormat="1" applyFont="1"/>
    <xf numFmtId="37" fontId="19" fillId="0" borderId="12" xfId="6" applyNumberFormat="1" applyFont="1" applyBorder="1"/>
    <xf numFmtId="37" fontId="19" fillId="0" borderId="12" xfId="6" applyNumberFormat="1" applyFont="1" applyFill="1" applyBorder="1"/>
    <xf numFmtId="37" fontId="19" fillId="0" borderId="0" xfId="6" applyNumberFormat="1" applyFont="1" applyFill="1"/>
    <xf numFmtId="10" fontId="19" fillId="0" borderId="0" xfId="6" applyNumberFormat="1" applyFont="1" applyFill="1"/>
    <xf numFmtId="167" fontId="19" fillId="0" borderId="0" xfId="6" applyNumberFormat="1" applyFont="1" applyFill="1"/>
    <xf numFmtId="37" fontId="18" fillId="10" borderId="0" xfId="6" applyNumberFormat="1" applyFont="1" applyFill="1" applyBorder="1"/>
    <xf numFmtId="9" fontId="18" fillId="9" borderId="0" xfId="6" applyNumberFormat="1" applyFont="1" applyFill="1" applyBorder="1"/>
    <xf numFmtId="165" fontId="18" fillId="0" borderId="0" xfId="7" applyNumberFormat="1" applyFont="1" applyBorder="1" applyAlignment="1">
      <alignment wrapText="1"/>
    </xf>
    <xf numFmtId="0" fontId="18" fillId="0" borderId="0" xfId="6" quotePrefix="1" applyFont="1" applyAlignment="1">
      <alignment horizontal="left"/>
    </xf>
    <xf numFmtId="37" fontId="18" fillId="0" borderId="0" xfId="6" applyNumberFormat="1" applyFont="1" applyFill="1" applyAlignment="1">
      <alignment horizontal="right"/>
    </xf>
    <xf numFmtId="37" fontId="18" fillId="0" borderId="0" xfId="6" applyNumberFormat="1" applyFont="1" applyBorder="1" applyAlignment="1">
      <alignment wrapText="1"/>
    </xf>
    <xf numFmtId="37" fontId="19" fillId="0" borderId="12" xfId="6" applyNumberFormat="1" applyFont="1" applyFill="1" applyBorder="1" applyAlignment="1">
      <alignment horizontal="right"/>
    </xf>
    <xf numFmtId="0" fontId="18" fillId="0" borderId="0" xfId="6" applyFont="1" applyFill="1" applyAlignment="1">
      <alignment horizontal="center"/>
    </xf>
    <xf numFmtId="37" fontId="18" fillId="0" borderId="0" xfId="6" applyNumberFormat="1" applyFont="1" applyFill="1" applyBorder="1"/>
    <xf numFmtId="0" fontId="18" fillId="11" borderId="0" xfId="6" quotePrefix="1" applyFont="1" applyFill="1" applyAlignment="1">
      <alignment horizontal="left"/>
    </xf>
    <xf numFmtId="37" fontId="19" fillId="0" borderId="0" xfId="6" applyNumberFormat="1" applyFont="1" applyBorder="1"/>
    <xf numFmtId="37" fontId="18" fillId="10" borderId="0" xfId="6" applyNumberFormat="1" applyFont="1" applyFill="1" applyBorder="1" applyAlignment="1">
      <alignment horizontal="right"/>
    </xf>
    <xf numFmtId="37" fontId="18" fillId="0" borderId="0" xfId="6" applyNumberFormat="1" applyFont="1" applyBorder="1" applyAlignment="1">
      <alignment horizontal="right"/>
    </xf>
    <xf numFmtId="37" fontId="18" fillId="0" borderId="0" xfId="6" applyNumberFormat="1" applyFont="1" applyBorder="1" applyAlignment="1">
      <alignment horizontal="right" wrapText="1"/>
    </xf>
    <xf numFmtId="0" fontId="18" fillId="11" borderId="0" xfId="6" applyFont="1" applyFill="1" applyAlignment="1">
      <alignment horizontal="center"/>
    </xf>
    <xf numFmtId="10" fontId="19" fillId="0" borderId="12" xfId="6" applyNumberFormat="1" applyFont="1" applyFill="1" applyBorder="1"/>
    <xf numFmtId="167" fontId="19" fillId="0" borderId="12" xfId="6" applyNumberFormat="1" applyFont="1" applyFill="1" applyBorder="1"/>
    <xf numFmtId="0" fontId="18" fillId="0" borderId="0" xfId="6" applyFont="1" applyFill="1"/>
    <xf numFmtId="0" fontId="20" fillId="0" borderId="0" xfId="6" applyFont="1" applyFill="1"/>
    <xf numFmtId="37" fontId="19" fillId="0" borderId="0" xfId="6" applyNumberFormat="1" applyFont="1" applyFill="1" applyAlignment="1">
      <alignment horizontal="right"/>
    </xf>
    <xf numFmtId="167" fontId="19" fillId="0" borderId="0" xfId="6" applyNumberFormat="1" applyFont="1" applyFill="1" applyAlignment="1">
      <alignment horizontal="right"/>
    </xf>
    <xf numFmtId="37" fontId="18" fillId="0" borderId="0" xfId="6" applyNumberFormat="1" applyFont="1" applyFill="1" applyBorder="1" applyAlignment="1">
      <alignment horizontal="right"/>
    </xf>
    <xf numFmtId="37" fontId="18" fillId="0" borderId="0" xfId="6" applyNumberFormat="1" applyFont="1" applyFill="1" applyBorder="1" applyAlignment="1">
      <alignment wrapText="1"/>
    </xf>
    <xf numFmtId="0" fontId="18" fillId="0" borderId="0" xfId="6" applyFont="1" applyFill="1" applyBorder="1"/>
    <xf numFmtId="0" fontId="18" fillId="0" borderId="0" xfId="6" quotePrefix="1" applyFont="1" applyFill="1" applyAlignment="1">
      <alignment horizontal="left"/>
    </xf>
    <xf numFmtId="37" fontId="21" fillId="0" borderId="0" xfId="6" applyNumberFormat="1" applyFont="1" applyBorder="1"/>
    <xf numFmtId="0" fontId="18" fillId="0" borderId="0" xfId="6" quotePrefix="1" applyFont="1" applyAlignment="1">
      <alignment horizontal="center"/>
    </xf>
    <xf numFmtId="0" fontId="20" fillId="0" borderId="0" xfId="6" applyFont="1"/>
    <xf numFmtId="37" fontId="19" fillId="0" borderId="0" xfId="6" applyNumberFormat="1" applyFont="1" applyBorder="1" applyAlignment="1">
      <alignment horizontal="right"/>
    </xf>
    <xf numFmtId="37" fontId="19" fillId="0" borderId="0" xfId="6" applyNumberFormat="1" applyFont="1" applyFill="1" applyBorder="1"/>
    <xf numFmtId="10" fontId="19" fillId="0" borderId="8" xfId="6" applyNumberFormat="1" applyFont="1" applyFill="1" applyBorder="1"/>
    <xf numFmtId="167" fontId="19" fillId="0" borderId="8" xfId="6" applyNumberFormat="1" applyFont="1" applyFill="1" applyBorder="1"/>
    <xf numFmtId="37" fontId="19" fillId="0" borderId="31" xfId="6" applyNumberFormat="1" applyFont="1" applyBorder="1" applyAlignment="1">
      <alignment horizontal="right"/>
    </xf>
    <xf numFmtId="37" fontId="19" fillId="12" borderId="31" xfId="6" applyNumberFormat="1" applyFont="1" applyFill="1" applyBorder="1" applyAlignment="1">
      <alignment horizontal="right"/>
    </xf>
    <xf numFmtId="167" fontId="19" fillId="0" borderId="22" xfId="6" applyNumberFormat="1" applyFont="1" applyBorder="1"/>
    <xf numFmtId="37" fontId="18" fillId="0" borderId="0" xfId="6" applyNumberFormat="1" applyFont="1" applyAlignment="1">
      <alignment horizontal="right"/>
    </xf>
    <xf numFmtId="167" fontId="18" fillId="0" borderId="0" xfId="7" applyNumberFormat="1" applyFont="1"/>
    <xf numFmtId="165" fontId="18" fillId="0" borderId="0" xfId="6" applyNumberFormat="1" applyFont="1" applyBorder="1"/>
    <xf numFmtId="9" fontId="18" fillId="0" borderId="0" xfId="6" applyNumberFormat="1" applyFont="1"/>
    <xf numFmtId="0" fontId="3" fillId="0" borderId="0" xfId="8"/>
    <xf numFmtId="43" fontId="3" fillId="0" borderId="0" xfId="7" applyFont="1"/>
    <xf numFmtId="43" fontId="3" fillId="0" borderId="0" xfId="5" applyFont="1"/>
    <xf numFmtId="0" fontId="26" fillId="0" borderId="0" xfId="8" applyFont="1"/>
    <xf numFmtId="43" fontId="25" fillId="0" borderId="0" xfId="7" applyFont="1"/>
    <xf numFmtId="0" fontId="27" fillId="14" borderId="0" xfId="8" applyFont="1" applyFill="1" applyAlignment="1">
      <alignment horizontal="center"/>
    </xf>
    <xf numFmtId="3" fontId="25" fillId="0" borderId="0" xfId="8" applyNumberFormat="1" applyFont="1" applyAlignment="1">
      <alignment horizontal="center"/>
    </xf>
    <xf numFmtId="3" fontId="25" fillId="0" borderId="0" xfId="7" applyNumberFormat="1" applyFont="1" applyAlignment="1">
      <alignment horizontal="center"/>
    </xf>
    <xf numFmtId="0" fontId="25" fillId="0" borderId="0" xfId="8" applyFont="1" applyFill="1" applyBorder="1" applyAlignment="1">
      <alignment horizontal="center"/>
    </xf>
    <xf numFmtId="0" fontId="3" fillId="0" borderId="0" xfId="8" applyFont="1" applyFill="1" applyBorder="1"/>
    <xf numFmtId="43" fontId="25" fillId="0" borderId="8" xfId="7" applyFont="1" applyBorder="1" applyAlignment="1">
      <alignment horizontal="center"/>
    </xf>
    <xf numFmtId="43" fontId="25" fillId="0" borderId="8" xfId="9" applyFont="1" applyBorder="1" applyAlignment="1">
      <alignment horizontal="center"/>
    </xf>
    <xf numFmtId="43" fontId="25" fillId="0" borderId="8" xfId="8" applyNumberFormat="1" applyFont="1" applyBorder="1" applyAlignment="1">
      <alignment horizontal="center"/>
    </xf>
    <xf numFmtId="0" fontId="25" fillId="0" borderId="8" xfId="8" applyFont="1" applyBorder="1" applyAlignment="1">
      <alignment horizontal="center"/>
    </xf>
    <xf numFmtId="43" fontId="25" fillId="0" borderId="0" xfId="8" applyNumberFormat="1" applyFont="1" applyAlignment="1">
      <alignment horizontal="center"/>
    </xf>
    <xf numFmtId="43" fontId="25" fillId="0" borderId="0" xfId="7" applyFont="1" applyAlignment="1">
      <alignment horizontal="center"/>
    </xf>
    <xf numFmtId="39" fontId="25" fillId="0" borderId="0" xfId="8" applyNumberFormat="1" applyFont="1" applyAlignment="1">
      <alignment horizontal="center"/>
    </xf>
    <xf numFmtId="0" fontId="28" fillId="0" borderId="0" xfId="10" applyFont="1">
      <alignment vertical="top"/>
    </xf>
    <xf numFmtId="0" fontId="3" fillId="15" borderId="0" xfId="8" applyFont="1" applyFill="1" applyBorder="1"/>
    <xf numFmtId="43" fontId="29" fillId="0" borderId="0" xfId="8" applyNumberFormat="1" applyFont="1"/>
    <xf numFmtId="43" fontId="3" fillId="9" borderId="0" xfId="5" applyFont="1" applyFill="1"/>
    <xf numFmtId="10" fontId="3" fillId="0" borderId="0" xfId="12" applyNumberFormat="1" applyFont="1"/>
    <xf numFmtId="0" fontId="28" fillId="0" borderId="0" xfId="13" applyFont="1">
      <alignment vertical="top"/>
    </xf>
    <xf numFmtId="10" fontId="29" fillId="0" borderId="0" xfId="14" applyNumberFormat="1" applyFont="1"/>
    <xf numFmtId="10" fontId="3" fillId="0" borderId="0" xfId="15" applyNumberFormat="1" applyFont="1"/>
    <xf numFmtId="39" fontId="29" fillId="0" borderId="0" xfId="16" applyNumberFormat="1" applyFont="1"/>
    <xf numFmtId="43" fontId="29" fillId="0" borderId="0" xfId="7" applyFont="1"/>
    <xf numFmtId="3" fontId="28" fillId="16" borderId="0" xfId="17" applyNumberFormat="1" applyFont="1" applyFill="1">
      <alignment vertical="top"/>
    </xf>
    <xf numFmtId="3" fontId="3" fillId="16" borderId="0" xfId="7" applyNumberFormat="1" applyFont="1" applyFill="1" applyAlignment="1">
      <alignment vertical="top"/>
    </xf>
    <xf numFmtId="3" fontId="3" fillId="0" borderId="0" xfId="7" applyNumberFormat="1" applyFont="1" applyFill="1" applyAlignment="1">
      <alignment vertical="top"/>
    </xf>
    <xf numFmtId="0" fontId="28" fillId="0" borderId="0" xfId="13" applyFont="1" applyFill="1">
      <alignment vertical="top"/>
    </xf>
    <xf numFmtId="0" fontId="28" fillId="0" borderId="0" xfId="10" applyFont="1" applyFill="1">
      <alignment vertical="top"/>
    </xf>
    <xf numFmtId="0" fontId="28" fillId="0" borderId="0" xfId="18" applyFont="1">
      <alignment vertical="top"/>
    </xf>
    <xf numFmtId="0" fontId="28" fillId="0" borderId="0" xfId="19" applyFont="1" applyFill="1">
      <alignment vertical="top"/>
    </xf>
    <xf numFmtId="0" fontId="28" fillId="0" borderId="0" xfId="10" applyFont="1" applyFill="1" applyBorder="1">
      <alignment vertical="top"/>
    </xf>
    <xf numFmtId="0" fontId="3" fillId="17" borderId="0" xfId="8" applyFont="1" applyFill="1" applyBorder="1"/>
    <xf numFmtId="0" fontId="28" fillId="0" borderId="0" xfId="20" applyFont="1">
      <alignment vertical="top"/>
    </xf>
    <xf numFmtId="0" fontId="28" fillId="0" borderId="0" xfId="20" applyFont="1" applyFill="1">
      <alignment vertical="top"/>
    </xf>
    <xf numFmtId="0" fontId="28" fillId="0" borderId="0" xfId="10" applyFont="1" applyBorder="1">
      <alignment vertical="top"/>
    </xf>
    <xf numFmtId="0" fontId="28" fillId="18" borderId="8" xfId="10" applyFont="1" applyFill="1" applyBorder="1">
      <alignment vertical="top"/>
    </xf>
    <xf numFmtId="0" fontId="3" fillId="18" borderId="8" xfId="8" applyFont="1" applyFill="1" applyBorder="1"/>
    <xf numFmtId="43" fontId="26" fillId="18" borderId="8" xfId="7" applyFont="1" applyFill="1" applyBorder="1"/>
    <xf numFmtId="10" fontId="25" fillId="0" borderId="0" xfId="8" applyNumberFormat="1" applyFont="1"/>
    <xf numFmtId="0" fontId="28" fillId="0" borderId="0" xfId="22" applyFont="1">
      <alignment vertical="top"/>
    </xf>
    <xf numFmtId="39" fontId="29" fillId="0" borderId="31" xfId="16" applyNumberFormat="1" applyFont="1" applyBorder="1"/>
    <xf numFmtId="3" fontId="28" fillId="0" borderId="31" xfId="23" applyNumberFormat="1" applyFont="1" applyBorder="1">
      <alignment vertical="top"/>
    </xf>
    <xf numFmtId="43" fontId="3" fillId="12" borderId="0" xfId="5" applyFont="1" applyFill="1" applyAlignment="1">
      <alignment horizontal="right"/>
    </xf>
    <xf numFmtId="43" fontId="3" fillId="12" borderId="0" xfId="5" applyFont="1" applyFill="1"/>
    <xf numFmtId="0" fontId="29" fillId="0" borderId="0" xfId="8" applyFont="1"/>
    <xf numFmtId="37" fontId="25" fillId="0" borderId="0" xfId="24" applyNumberFormat="1" applyFont="1" applyFill="1" applyBorder="1" applyAlignment="1">
      <alignment horizontal="center"/>
    </xf>
    <xf numFmtId="43" fontId="25" fillId="0" borderId="0" xfId="9" applyFont="1" applyAlignment="1">
      <alignment horizontal="center"/>
    </xf>
    <xf numFmtId="43" fontId="25" fillId="0" borderId="0" xfId="4" applyNumberFormat="1" applyFont="1" applyAlignment="1">
      <alignment horizontal="center"/>
    </xf>
    <xf numFmtId="0" fontId="25" fillId="0" borderId="0" xfId="4" applyFont="1" applyAlignment="1">
      <alignment horizontal="center"/>
    </xf>
    <xf numFmtId="0" fontId="28" fillId="0" borderId="0" xfId="17" applyFont="1" applyFill="1">
      <alignment vertical="top"/>
    </xf>
    <xf numFmtId="0" fontId="28" fillId="0" borderId="0" xfId="17" applyFont="1">
      <alignment vertical="top"/>
    </xf>
    <xf numFmtId="43" fontId="3" fillId="0" borderId="0" xfId="25" applyFont="1" applyFill="1" applyBorder="1"/>
    <xf numFmtId="43" fontId="31" fillId="0" borderId="0" xfId="25" applyFont="1" applyFill="1" applyBorder="1"/>
    <xf numFmtId="43" fontId="29" fillId="0" borderId="0" xfId="26" applyNumberFormat="1" applyFont="1"/>
    <xf numFmtId="43" fontId="29" fillId="0" borderId="0" xfId="27" applyFont="1"/>
    <xf numFmtId="167" fontId="3" fillId="0" borderId="0" xfId="15" applyNumberFormat="1" applyFont="1"/>
    <xf numFmtId="3" fontId="3" fillId="0" borderId="0" xfId="28" applyNumberFormat="1" applyFont="1" applyAlignment="1">
      <alignment horizontal="center"/>
    </xf>
    <xf numFmtId="10" fontId="28" fillId="0" borderId="0" xfId="20" applyNumberFormat="1" applyFont="1">
      <alignment vertical="top"/>
    </xf>
    <xf numFmtId="10" fontId="32" fillId="0" borderId="0" xfId="29" applyNumberFormat="1" applyFont="1" applyFill="1">
      <alignment vertical="top"/>
    </xf>
    <xf numFmtId="43" fontId="3" fillId="0" borderId="0" xfId="26" applyNumberFormat="1" applyFont="1"/>
    <xf numFmtId="43" fontId="3" fillId="0" borderId="0" xfId="27" applyFont="1"/>
    <xf numFmtId="0" fontId="28" fillId="20" borderId="0" xfId="17" applyFont="1" applyFill="1">
      <alignment vertical="top"/>
    </xf>
    <xf numFmtId="0" fontId="28" fillId="0" borderId="0" xfId="30" applyFont="1" applyFill="1">
      <alignment vertical="top"/>
    </xf>
    <xf numFmtId="0" fontId="28" fillId="20" borderId="0" xfId="30" applyFont="1" applyFill="1">
      <alignment vertical="top"/>
    </xf>
    <xf numFmtId="0" fontId="28" fillId="0" borderId="0" xfId="19" applyFont="1">
      <alignment vertical="top"/>
    </xf>
    <xf numFmtId="0" fontId="28" fillId="0" borderId="0" xfId="31" applyFont="1">
      <alignment vertical="top"/>
    </xf>
    <xf numFmtId="0" fontId="28" fillId="0" borderId="0" xfId="18" applyFont="1" applyFill="1">
      <alignment vertical="top"/>
    </xf>
    <xf numFmtId="0" fontId="28" fillId="20" borderId="0" xfId="18" applyFont="1" applyFill="1">
      <alignment vertical="top"/>
    </xf>
    <xf numFmtId="0" fontId="28" fillId="0" borderId="0" xfId="32" applyFont="1">
      <alignment vertical="top"/>
    </xf>
    <xf numFmtId="0" fontId="28" fillId="0" borderId="0" xfId="33" applyFont="1">
      <alignment vertical="top"/>
    </xf>
    <xf numFmtId="0" fontId="28" fillId="17" borderId="0" xfId="31" applyFont="1" applyFill="1">
      <alignment vertical="top"/>
    </xf>
    <xf numFmtId="0" fontId="28" fillId="20" borderId="0" xfId="10" applyFont="1" applyFill="1">
      <alignment vertical="top"/>
    </xf>
    <xf numFmtId="0" fontId="28" fillId="0" borderId="0" xfId="17" applyFont="1" applyBorder="1">
      <alignment vertical="top"/>
    </xf>
    <xf numFmtId="0" fontId="28" fillId="0" borderId="0" xfId="17" applyFont="1" applyFill="1" applyBorder="1">
      <alignment vertical="top"/>
    </xf>
    <xf numFmtId="9" fontId="3" fillId="0" borderId="0" xfId="28" applyFont="1"/>
    <xf numFmtId="43" fontId="25" fillId="18" borderId="8" xfId="7" applyFont="1" applyFill="1" applyBorder="1"/>
    <xf numFmtId="39" fontId="29" fillId="0" borderId="31" xfId="8" applyNumberFormat="1" applyFont="1" applyBorder="1"/>
    <xf numFmtId="0" fontId="28" fillId="0" borderId="0" xfId="23" applyFont="1">
      <alignment vertical="top"/>
    </xf>
    <xf numFmtId="0" fontId="25" fillId="21" borderId="0" xfId="8" applyFont="1" applyFill="1"/>
    <xf numFmtId="39" fontId="26" fillId="21" borderId="0" xfId="8" applyNumberFormat="1" applyFont="1" applyFill="1"/>
    <xf numFmtId="39" fontId="29" fillId="21" borderId="0" xfId="8" applyNumberFormat="1" applyFont="1" applyFill="1"/>
    <xf numFmtId="0" fontId="25" fillId="21" borderId="5" xfId="8" applyFont="1" applyFill="1" applyBorder="1"/>
    <xf numFmtId="0" fontId="25" fillId="21" borderId="6" xfId="8" applyFont="1" applyFill="1" applyBorder="1"/>
    <xf numFmtId="39" fontId="26" fillId="21" borderId="7" xfId="8" applyNumberFormat="1" applyFont="1" applyFill="1" applyBorder="1"/>
    <xf numFmtId="39" fontId="29" fillId="8" borderId="1" xfId="8" applyNumberFormat="1" applyFont="1" applyFill="1" applyBorder="1"/>
    <xf numFmtId="0" fontId="25" fillId="0" borderId="0" xfId="8" applyFont="1"/>
    <xf numFmtId="0" fontId="25" fillId="21" borderId="15" xfId="8" applyFont="1" applyFill="1" applyBorder="1"/>
    <xf numFmtId="0" fontId="25" fillId="21" borderId="12" xfId="8" applyFont="1" applyFill="1" applyBorder="1"/>
    <xf numFmtId="39" fontId="26" fillId="21" borderId="10" xfId="8" applyNumberFormat="1" applyFont="1" applyFill="1" applyBorder="1"/>
    <xf numFmtId="39" fontId="26" fillId="21" borderId="0" xfId="8" applyNumberFormat="1" applyFont="1" applyFill="1" applyBorder="1"/>
    <xf numFmtId="0" fontId="29" fillId="21" borderId="0" xfId="8" applyFont="1" applyFill="1"/>
    <xf numFmtId="0" fontId="32" fillId="19" borderId="0" xfId="34" applyFont="1" applyFill="1"/>
    <xf numFmtId="43" fontId="3" fillId="0" borderId="0" xfId="5" applyFont="1" applyAlignment="1">
      <alignment vertical="top"/>
    </xf>
    <xf numFmtId="43" fontId="29" fillId="9" borderId="0" xfId="7" applyFont="1" applyFill="1"/>
    <xf numFmtId="0" fontId="33" fillId="9" borderId="0" xfId="35" applyFont="1" applyFill="1"/>
    <xf numFmtId="165" fontId="3" fillId="9" borderId="0" xfId="5" applyNumberFormat="1" applyFont="1" applyFill="1"/>
    <xf numFmtId="43" fontId="3" fillId="0" borderId="0" xfId="5" applyFont="1" applyFill="1" applyAlignment="1">
      <alignment vertical="top"/>
    </xf>
    <xf numFmtId="0" fontId="28" fillId="0" borderId="0" xfId="33" applyFont="1" applyFill="1">
      <alignment vertical="top"/>
    </xf>
    <xf numFmtId="0" fontId="28" fillId="0" borderId="0" xfId="31" applyFont="1" applyFill="1">
      <alignment vertical="top"/>
    </xf>
    <xf numFmtId="0" fontId="28" fillId="22" borderId="0" xfId="30" applyFont="1" applyFill="1">
      <alignment vertical="top"/>
    </xf>
    <xf numFmtId="0" fontId="28" fillId="8" borderId="0" xfId="17" applyFont="1" applyFill="1">
      <alignment vertical="top"/>
    </xf>
    <xf numFmtId="43" fontId="3" fillId="0" borderId="0" xfId="5" applyFont="1" applyBorder="1" applyAlignment="1">
      <alignment vertical="top"/>
    </xf>
    <xf numFmtId="37" fontId="25" fillId="18" borderId="8" xfId="24" applyNumberFormat="1" applyFont="1" applyFill="1" applyBorder="1"/>
    <xf numFmtId="43" fontId="3" fillId="18" borderId="8" xfId="7" applyFont="1" applyFill="1" applyBorder="1"/>
    <xf numFmtId="37" fontId="25" fillId="0" borderId="0" xfId="24" applyNumberFormat="1" applyFont="1" applyFill="1" applyBorder="1"/>
    <xf numFmtId="0" fontId="32" fillId="0" borderId="0" xfId="8" applyFont="1"/>
    <xf numFmtId="43" fontId="26" fillId="18" borderId="31" xfId="8" applyNumberFormat="1" applyFont="1" applyFill="1" applyBorder="1"/>
    <xf numFmtId="43" fontId="3" fillId="9" borderId="0" xfId="7" applyFont="1" applyFill="1"/>
    <xf numFmtId="43" fontId="25" fillId="9" borderId="0" xfId="8" applyNumberFormat="1" applyFont="1" applyFill="1" applyBorder="1"/>
    <xf numFmtId="43" fontId="26" fillId="9" borderId="0" xfId="8" applyNumberFormat="1" applyFont="1" applyFill="1" applyBorder="1"/>
    <xf numFmtId="43" fontId="25" fillId="9" borderId="0" xfId="7" applyFont="1" applyFill="1" applyAlignment="1">
      <alignment horizontal="center"/>
    </xf>
    <xf numFmtId="43" fontId="25" fillId="9" borderId="0" xfId="7" applyFont="1" applyFill="1" applyAlignment="1">
      <alignment horizontal="left"/>
    </xf>
    <xf numFmtId="43" fontId="25" fillId="9" borderId="0" xfId="8" applyNumberFormat="1" applyFont="1" applyFill="1" applyAlignment="1">
      <alignment horizontal="center"/>
    </xf>
    <xf numFmtId="43" fontId="25" fillId="9" borderId="0" xfId="8" applyNumberFormat="1" applyFont="1" applyFill="1" applyBorder="1" applyAlignment="1">
      <alignment horizontal="center"/>
    </xf>
    <xf numFmtId="0" fontId="3" fillId="9" borderId="0" xfId="8" applyFont="1" applyFill="1"/>
    <xf numFmtId="43" fontId="33" fillId="9" borderId="0" xfId="7" applyFont="1" applyFill="1"/>
    <xf numFmtId="43" fontId="25" fillId="0" borderId="0" xfId="7" applyFont="1" applyAlignment="1">
      <alignment horizontal="right"/>
    </xf>
    <xf numFmtId="43" fontId="3" fillId="0" borderId="0" xfId="7" quotePrefix="1" applyFont="1" applyAlignment="1">
      <alignment horizontal="right"/>
    </xf>
    <xf numFmtId="9" fontId="3" fillId="0" borderId="0" xfId="28" applyFont="1" applyAlignment="1">
      <alignment horizontal="left"/>
    </xf>
    <xf numFmtId="43" fontId="3" fillId="0" borderId="0" xfId="7" applyFont="1" applyAlignment="1">
      <alignment horizontal="right"/>
    </xf>
    <xf numFmtId="43" fontId="3" fillId="19" borderId="34" xfId="7" applyFont="1" applyFill="1" applyBorder="1"/>
    <xf numFmtId="0" fontId="25" fillId="19" borderId="36" xfId="37" applyFont="1" applyFill="1" applyBorder="1"/>
    <xf numFmtId="43" fontId="3" fillId="19" borderId="0" xfId="7" applyFont="1" applyFill="1" applyBorder="1"/>
    <xf numFmtId="43" fontId="25" fillId="19" borderId="12" xfId="38" applyFont="1" applyFill="1" applyBorder="1" applyAlignment="1">
      <alignment horizontal="center"/>
    </xf>
    <xf numFmtId="0" fontId="25" fillId="19" borderId="12" xfId="8" applyFont="1" applyFill="1" applyBorder="1" applyAlignment="1">
      <alignment horizontal="center"/>
    </xf>
    <xf numFmtId="43" fontId="29" fillId="19" borderId="0" xfId="7" applyFont="1" applyFill="1" applyBorder="1"/>
    <xf numFmtId="167" fontId="29" fillId="19" borderId="0" xfId="15" applyNumberFormat="1" applyFont="1" applyFill="1" applyBorder="1"/>
    <xf numFmtId="167" fontId="29" fillId="19" borderId="0" xfId="28" applyNumberFormat="1" applyFont="1" applyFill="1" applyBorder="1"/>
    <xf numFmtId="37" fontId="17" fillId="19" borderId="36" xfId="36" applyNumberFormat="1" applyFont="1" applyFill="1" applyBorder="1"/>
    <xf numFmtId="0" fontId="3" fillId="19" borderId="36" xfId="39" applyFont="1" applyFill="1" applyBorder="1"/>
    <xf numFmtId="43" fontId="29" fillId="19" borderId="31" xfId="7" applyFont="1" applyFill="1" applyBorder="1"/>
    <xf numFmtId="167" fontId="29" fillId="19" borderId="31" xfId="15" applyNumberFormat="1" applyFont="1" applyFill="1" applyBorder="1"/>
    <xf numFmtId="43" fontId="3" fillId="19" borderId="39" xfId="7" applyFont="1" applyFill="1" applyBorder="1"/>
    <xf numFmtId="43" fontId="3" fillId="8" borderId="39" xfId="7" applyFont="1" applyFill="1" applyBorder="1"/>
    <xf numFmtId="43" fontId="3" fillId="0" borderId="0" xfId="7" applyFont="1" applyFill="1"/>
    <xf numFmtId="37" fontId="19" fillId="12" borderId="12" xfId="6" applyNumberFormat="1" applyFont="1" applyFill="1" applyBorder="1" applyAlignment="1">
      <alignment horizontal="right"/>
    </xf>
    <xf numFmtId="37" fontId="19" fillId="12" borderId="0" xfId="6" applyNumberFormat="1" applyFont="1" applyFill="1"/>
    <xf numFmtId="37" fontId="19" fillId="12" borderId="12" xfId="6" applyNumberFormat="1" applyFont="1" applyFill="1" applyBorder="1"/>
    <xf numFmtId="37" fontId="3" fillId="0" borderId="0" xfId="0" applyFont="1"/>
    <xf numFmtId="20" fontId="3" fillId="0" borderId="0" xfId="0" applyNumberFormat="1" applyFont="1"/>
    <xf numFmtId="4" fontId="3" fillId="0" borderId="0" xfId="0" applyNumberFormat="1" applyFont="1"/>
    <xf numFmtId="16" fontId="3" fillId="0" borderId="0" xfId="0" applyNumberFormat="1" applyFont="1"/>
    <xf numFmtId="37" fontId="0" fillId="0" borderId="0" xfId="0" applyFill="1"/>
    <xf numFmtId="4" fontId="3" fillId="12" borderId="0" xfId="0" applyNumberFormat="1" applyFont="1" applyFill="1"/>
    <xf numFmtId="0" fontId="25" fillId="0" borderId="0" xfId="8" applyFont="1" applyAlignment="1">
      <alignment horizontal="center"/>
    </xf>
    <xf numFmtId="0" fontId="28" fillId="0" borderId="0" xfId="40">
      <alignment vertical="top"/>
    </xf>
    <xf numFmtId="1" fontId="28" fillId="0" borderId="0" xfId="40" applyNumberFormat="1">
      <alignment vertical="top"/>
    </xf>
    <xf numFmtId="4" fontId="28" fillId="0" borderId="0" xfId="40" applyNumberFormat="1">
      <alignment vertical="top"/>
    </xf>
    <xf numFmtId="168" fontId="28" fillId="0" borderId="0" xfId="40" applyNumberFormat="1">
      <alignment vertical="top"/>
    </xf>
    <xf numFmtId="0" fontId="36" fillId="0" borderId="0" xfId="35" applyFont="1" applyFill="1" applyProtection="1"/>
    <xf numFmtId="0" fontId="37" fillId="0" borderId="0" xfId="35" applyFont="1" applyFill="1" applyProtection="1"/>
    <xf numFmtId="0" fontId="3" fillId="0" borderId="0" xfId="35" applyFont="1" applyFill="1" applyAlignment="1" applyProtection="1">
      <alignment horizontal="right"/>
    </xf>
    <xf numFmtId="39" fontId="3" fillId="0" borderId="0" xfId="35" applyNumberFormat="1" applyFont="1" applyFill="1" applyProtection="1"/>
    <xf numFmtId="0" fontId="3" fillId="0" borderId="0" xfId="35" applyFont="1" applyFill="1" applyProtection="1"/>
    <xf numFmtId="0" fontId="3" fillId="0" borderId="0" xfId="35" applyFont="1" applyFill="1" applyBorder="1" applyProtection="1"/>
    <xf numFmtId="43" fontId="3" fillId="0" borderId="0" xfId="1" applyFont="1" applyFill="1" applyBorder="1" applyProtection="1"/>
    <xf numFmtId="43" fontId="3" fillId="0" borderId="0" xfId="1" applyFont="1" applyFill="1" applyProtection="1"/>
    <xf numFmtId="0" fontId="3" fillId="0" borderId="0" xfId="35" applyFont="1" applyFill="1" applyProtection="1">
      <protection locked="0"/>
    </xf>
    <xf numFmtId="0" fontId="18" fillId="0" borderId="0" xfId="35" applyFont="1" applyFill="1" applyProtection="1"/>
    <xf numFmtId="0" fontId="38" fillId="0" borderId="0" xfId="35" applyFont="1" applyFill="1" applyBorder="1" applyProtection="1"/>
    <xf numFmtId="0" fontId="39" fillId="0" borderId="0" xfId="35" applyFont="1" applyFill="1" applyBorder="1" applyProtection="1"/>
    <xf numFmtId="0" fontId="17" fillId="0" borderId="0" xfId="35" applyFont="1" applyFill="1" applyProtection="1"/>
    <xf numFmtId="0" fontId="25" fillId="0" borderId="0" xfId="35" applyFont="1" applyFill="1" applyAlignment="1" applyProtection="1">
      <alignment horizontal="center"/>
    </xf>
    <xf numFmtId="0" fontId="25" fillId="0" borderId="0" xfId="35" applyFont="1" applyFill="1" applyAlignment="1" applyProtection="1">
      <alignment horizontal="right"/>
    </xf>
    <xf numFmtId="39" fontId="25" fillId="0" borderId="8" xfId="35" applyNumberFormat="1" applyFont="1" applyFill="1" applyBorder="1" applyAlignment="1" applyProtection="1">
      <alignment horizontal="center" vertical="center" wrapText="1"/>
    </xf>
    <xf numFmtId="39" fontId="25" fillId="0" borderId="0" xfId="35" applyNumberFormat="1" applyFont="1" applyFill="1" applyBorder="1" applyAlignment="1" applyProtection="1">
      <alignment horizontal="center" vertical="center" wrapText="1"/>
    </xf>
    <xf numFmtId="43" fontId="25" fillId="0" borderId="8" xfId="1" applyFont="1" applyFill="1" applyBorder="1" applyAlignment="1" applyProtection="1">
      <alignment horizontal="center" vertical="center" wrapText="1"/>
    </xf>
    <xf numFmtId="0" fontId="25" fillId="0" borderId="0" xfId="35" applyFont="1" applyFill="1" applyProtection="1">
      <protection locked="0"/>
    </xf>
    <xf numFmtId="39" fontId="25" fillId="0" borderId="0" xfId="35" applyNumberFormat="1" applyFont="1" applyFill="1" applyAlignment="1" applyProtection="1">
      <alignment horizontal="center" vertical="center" wrapText="1"/>
      <protection locked="0"/>
    </xf>
    <xf numFmtId="39" fontId="3" fillId="0" borderId="6" xfId="35" applyNumberFormat="1" applyFont="1" applyFill="1" applyBorder="1" applyProtection="1"/>
    <xf numFmtId="39" fontId="3" fillId="0" borderId="0" xfId="35" applyNumberFormat="1" applyFont="1" applyFill="1" applyBorder="1" applyProtection="1"/>
    <xf numFmtId="39" fontId="3" fillId="0" borderId="6" xfId="42" applyNumberFormat="1" applyFont="1" applyFill="1" applyBorder="1" applyProtection="1"/>
    <xf numFmtId="39" fontId="3" fillId="0" borderId="0" xfId="35" applyNumberFormat="1" applyFont="1" applyFill="1" applyProtection="1">
      <protection locked="0"/>
    </xf>
    <xf numFmtId="39" fontId="3" fillId="8" borderId="0" xfId="35" applyNumberFormat="1" applyFont="1" applyFill="1" applyProtection="1">
      <protection locked="0"/>
    </xf>
    <xf numFmtId="39" fontId="3" fillId="0" borderId="0" xfId="42" applyNumberFormat="1" applyFont="1" applyFill="1" applyBorder="1" applyProtection="1"/>
    <xf numFmtId="39" fontId="3" fillId="23" borderId="0" xfId="35" applyNumberFormat="1" applyFont="1" applyFill="1" applyBorder="1" applyProtection="1"/>
    <xf numFmtId="39" fontId="3" fillId="15" borderId="0" xfId="35" applyNumberFormat="1" applyFont="1" applyFill="1" applyProtection="1"/>
    <xf numFmtId="39" fontId="3" fillId="24" borderId="0" xfId="35" applyNumberFormat="1" applyFont="1" applyFill="1" applyProtection="1"/>
    <xf numFmtId="39" fontId="3" fillId="0" borderId="12" xfId="35" applyNumberFormat="1" applyFont="1" applyFill="1" applyBorder="1" applyProtection="1"/>
    <xf numFmtId="39" fontId="3" fillId="24" borderId="12" xfId="35" applyNumberFormat="1" applyFont="1" applyFill="1" applyBorder="1" applyProtection="1"/>
    <xf numFmtId="0" fontId="3" fillId="0" borderId="12" xfId="35" applyFont="1" applyFill="1" applyBorder="1" applyProtection="1"/>
    <xf numFmtId="39" fontId="3" fillId="23" borderId="12" xfId="35" applyNumberFormat="1" applyFont="1" applyFill="1" applyBorder="1" applyProtection="1"/>
    <xf numFmtId="39" fontId="3" fillId="0" borderId="12" xfId="42" applyNumberFormat="1" applyFont="1" applyFill="1" applyBorder="1" applyProtection="1"/>
    <xf numFmtId="39" fontId="3" fillId="15" borderId="12" xfId="35" applyNumberFormat="1" applyFont="1" applyFill="1" applyBorder="1" applyProtection="1"/>
    <xf numFmtId="39" fontId="3" fillId="0" borderId="0" xfId="42" applyNumberFormat="1" applyFont="1" applyFill="1" applyProtection="1"/>
    <xf numFmtId="0" fontId="3" fillId="0" borderId="12" xfId="42" applyFont="1" applyFill="1" applyBorder="1" applyProtection="1"/>
    <xf numFmtId="0" fontId="17" fillId="0" borderId="0" xfId="35" applyFont="1" applyFill="1" applyBorder="1" applyProtection="1"/>
    <xf numFmtId="0" fontId="3" fillId="0" borderId="0" xfId="42" applyFill="1"/>
    <xf numFmtId="43" fontId="3" fillId="15" borderId="0" xfId="35" applyNumberFormat="1" applyFont="1" applyFill="1" applyProtection="1"/>
    <xf numFmtId="39" fontId="40" fillId="8" borderId="0" xfId="35" applyNumberFormat="1" applyFont="1" applyFill="1" applyProtection="1"/>
    <xf numFmtId="39" fontId="3" fillId="0" borderId="12" xfId="35" applyNumberFormat="1" applyFont="1" applyFill="1" applyBorder="1" applyProtection="1">
      <protection locked="0"/>
    </xf>
    <xf numFmtId="39" fontId="3" fillId="0" borderId="0" xfId="35" applyNumberFormat="1" applyFont="1" applyFill="1" applyBorder="1" applyProtection="1">
      <protection locked="0"/>
    </xf>
    <xf numFmtId="39" fontId="3" fillId="0" borderId="31" xfId="35" applyNumberFormat="1" applyFont="1" applyFill="1" applyBorder="1" applyProtection="1"/>
    <xf numFmtId="39" fontId="3" fillId="18" borderId="31" xfId="35" applyNumberFormat="1" applyFont="1" applyFill="1" applyBorder="1" applyProtection="1"/>
    <xf numFmtId="39" fontId="3" fillId="18" borderId="31" xfId="42" applyNumberFormat="1" applyFont="1" applyFill="1" applyBorder="1" applyProtection="1"/>
    <xf numFmtId="39" fontId="3" fillId="0" borderId="31" xfId="35" applyNumberFormat="1" applyFont="1" applyFill="1" applyBorder="1" applyProtection="1">
      <protection locked="0"/>
    </xf>
    <xf numFmtId="0" fontId="3" fillId="0" borderId="0" xfId="42"/>
    <xf numFmtId="39" fontId="3" fillId="0" borderId="8" xfId="35" applyNumberFormat="1" applyFont="1" applyFill="1" applyBorder="1" applyProtection="1"/>
    <xf numFmtId="39" fontId="3" fillId="0" borderId="8" xfId="42" applyNumberFormat="1" applyFont="1" applyFill="1" applyBorder="1" applyProtection="1"/>
    <xf numFmtId="39" fontId="3" fillId="15" borderId="8" xfId="35" applyNumberFormat="1" applyFont="1" applyFill="1" applyBorder="1" applyProtection="1"/>
    <xf numFmtId="39" fontId="3" fillId="0" borderId="8" xfId="35" applyNumberFormat="1" applyFont="1" applyFill="1" applyBorder="1" applyProtection="1">
      <protection locked="0"/>
    </xf>
    <xf numFmtId="39" fontId="3" fillId="23" borderId="0" xfId="35" applyNumberFormat="1" applyFont="1" applyFill="1" applyProtection="1"/>
    <xf numFmtId="43" fontId="40" fillId="8" borderId="0" xfId="35" applyNumberFormat="1" applyFont="1" applyFill="1" applyProtection="1"/>
    <xf numFmtId="43" fontId="3" fillId="25" borderId="0" xfId="1" applyFont="1" applyFill="1" applyProtection="1"/>
    <xf numFmtId="0" fontId="41" fillId="0" borderId="0" xfId="35" applyFont="1" applyFill="1" applyAlignment="1" applyProtection="1">
      <alignment horizontal="right"/>
    </xf>
    <xf numFmtId="39" fontId="3" fillId="8" borderId="0" xfId="35" applyNumberFormat="1" applyFont="1" applyFill="1" applyProtection="1"/>
    <xf numFmtId="0" fontId="3" fillId="0" borderId="0" xfId="42" applyFont="1" applyFill="1" applyProtection="1"/>
    <xf numFmtId="0" fontId="17" fillId="0" borderId="0" xfId="35" applyFont="1" applyFill="1" applyAlignment="1" applyProtection="1">
      <alignment horizontal="right"/>
    </xf>
    <xf numFmtId="0" fontId="3" fillId="0" borderId="8" xfId="35" applyFont="1" applyFill="1" applyBorder="1" applyProtection="1"/>
    <xf numFmtId="43" fontId="3" fillId="0" borderId="12" xfId="1" applyFont="1" applyFill="1" applyBorder="1" applyProtection="1"/>
    <xf numFmtId="39" fontId="3" fillId="18" borderId="8" xfId="35" applyNumberFormat="1" applyFont="1" applyFill="1" applyBorder="1" applyProtection="1"/>
    <xf numFmtId="15" fontId="3" fillId="0" borderId="0" xfId="35" applyNumberFormat="1" applyFont="1" applyFill="1" applyProtection="1"/>
    <xf numFmtId="39" fontId="3" fillId="18" borderId="12" xfId="35" applyNumberFormat="1" applyFont="1" applyFill="1" applyBorder="1" applyProtection="1"/>
    <xf numFmtId="39" fontId="3" fillId="18" borderId="12" xfId="42" applyNumberFormat="1" applyFont="1" applyFill="1" applyBorder="1" applyProtection="1"/>
    <xf numFmtId="0" fontId="42" fillId="26" borderId="0" xfId="35" applyFont="1" applyFill="1" applyAlignment="1" applyProtection="1">
      <alignment horizontal="right"/>
    </xf>
    <xf numFmtId="39" fontId="42" fillId="26" borderId="0" xfId="35" applyNumberFormat="1" applyFont="1" applyFill="1" applyProtection="1"/>
    <xf numFmtId="0" fontId="42" fillId="26" borderId="0" xfId="35" applyFont="1" applyFill="1" applyAlignment="1" applyProtection="1">
      <alignment horizontal="center"/>
    </xf>
    <xf numFmtId="37" fontId="3" fillId="0" borderId="0" xfId="35" applyNumberFormat="1" applyFont="1" applyFill="1" applyProtection="1"/>
    <xf numFmtId="37" fontId="3" fillId="0" borderId="6" xfId="35" applyNumberFormat="1" applyFont="1" applyFill="1" applyBorder="1" applyProtection="1"/>
    <xf numFmtId="9" fontId="3" fillId="0" borderId="0" xfId="3" applyFont="1" applyFill="1" applyProtection="1"/>
    <xf numFmtId="0" fontId="3" fillId="0" borderId="0" xfId="8" applyFont="1"/>
    <xf numFmtId="39" fontId="3" fillId="0" borderId="0" xfId="8" applyNumberFormat="1" applyFont="1"/>
    <xf numFmtId="43" fontId="3" fillId="0" borderId="0" xfId="8" applyNumberFormat="1" applyFont="1"/>
    <xf numFmtId="14" fontId="3" fillId="0" borderId="0" xfId="8" applyNumberFormat="1" applyFont="1"/>
    <xf numFmtId="3" fontId="3" fillId="0" borderId="0" xfId="8" applyNumberFormat="1" applyFont="1"/>
    <xf numFmtId="10" fontId="3" fillId="0" borderId="0" xfId="8" applyNumberFormat="1" applyFont="1"/>
    <xf numFmtId="0" fontId="3" fillId="0" borderId="0" xfId="8" applyFont="1" applyAlignment="1">
      <alignment horizontal="center"/>
    </xf>
    <xf numFmtId="0" fontId="43" fillId="0" borderId="0" xfId="4" applyFont="1" applyAlignment="1">
      <alignment vertical="top"/>
    </xf>
    <xf numFmtId="0" fontId="3" fillId="0" borderId="0" xfId="21" applyFont="1"/>
    <xf numFmtId="43" fontId="3" fillId="19" borderId="8" xfId="8" applyNumberFormat="1" applyFont="1" applyFill="1" applyBorder="1"/>
    <xf numFmtId="43" fontId="3" fillId="8" borderId="0" xfId="8" applyNumberFormat="1" applyFont="1" applyFill="1"/>
    <xf numFmtId="167" fontId="3" fillId="0" borderId="0" xfId="8" applyNumberFormat="1" applyFont="1" applyFill="1"/>
    <xf numFmtId="43" fontId="3" fillId="9" borderId="0" xfId="8" applyNumberFormat="1" applyFont="1" applyFill="1"/>
    <xf numFmtId="167" fontId="3" fillId="0" borderId="0" xfId="8" applyNumberFormat="1" applyFont="1"/>
    <xf numFmtId="165" fontId="3" fillId="9" borderId="0" xfId="8" applyNumberFormat="1" applyFont="1" applyFill="1"/>
    <xf numFmtId="43" fontId="3" fillId="19" borderId="31" xfId="8" applyNumberFormat="1" applyFont="1" applyFill="1" applyBorder="1"/>
    <xf numFmtId="43" fontId="3" fillId="0" borderId="12" xfId="8" applyNumberFormat="1" applyFont="1" applyBorder="1"/>
    <xf numFmtId="0" fontId="3" fillId="19" borderId="33" xfId="8" applyFont="1" applyFill="1" applyBorder="1"/>
    <xf numFmtId="43" fontId="3" fillId="19" borderId="34" xfId="8" applyNumberFormat="1" applyFont="1" applyFill="1" applyBorder="1"/>
    <xf numFmtId="0" fontId="3" fillId="19" borderId="34" xfId="8" applyFont="1" applyFill="1" applyBorder="1"/>
    <xf numFmtId="0" fontId="3" fillId="19" borderId="35" xfId="8" applyFont="1" applyFill="1" applyBorder="1"/>
    <xf numFmtId="43" fontId="3" fillId="19" borderId="0" xfId="8" applyNumberFormat="1" applyFont="1" applyFill="1" applyBorder="1"/>
    <xf numFmtId="0" fontId="3" fillId="19" borderId="0" xfId="8" applyFont="1" applyFill="1" applyBorder="1"/>
    <xf numFmtId="0" fontId="3" fillId="19" borderId="37" xfId="8" applyFont="1" applyFill="1" applyBorder="1"/>
    <xf numFmtId="0" fontId="3" fillId="19" borderId="36" xfId="8" applyFont="1" applyFill="1" applyBorder="1"/>
    <xf numFmtId="167" fontId="3" fillId="0" borderId="0" xfId="12" applyNumberFormat="1" applyFont="1"/>
    <xf numFmtId="0" fontId="3" fillId="19" borderId="38" xfId="8" applyFont="1" applyFill="1" applyBorder="1"/>
    <xf numFmtId="43" fontId="3" fillId="19" borderId="39" xfId="8" applyNumberFormat="1" applyFont="1" applyFill="1" applyBorder="1"/>
    <xf numFmtId="43" fontId="3" fillId="8" borderId="39" xfId="8" applyNumberFormat="1" applyFont="1" applyFill="1" applyBorder="1"/>
    <xf numFmtId="0" fontId="3" fillId="19" borderId="39" xfId="8" applyFont="1" applyFill="1" applyBorder="1"/>
    <xf numFmtId="0" fontId="3" fillId="19" borderId="40" xfId="8" applyFont="1" applyFill="1" applyBorder="1"/>
    <xf numFmtId="167" fontId="3" fillId="0" borderId="0" xfId="12" applyNumberFormat="1" applyFont="1" applyFill="1"/>
    <xf numFmtId="0" fontId="3" fillId="0" borderId="0" xfId="8" applyFont="1" applyFill="1"/>
    <xf numFmtId="43" fontId="3" fillId="0" borderId="0" xfId="11" applyFont="1"/>
    <xf numFmtId="0" fontId="31" fillId="0" borderId="0" xfId="4" applyFont="1"/>
    <xf numFmtId="0" fontId="31" fillId="0" borderId="0" xfId="4" applyFont="1" applyAlignment="1">
      <alignment vertical="top"/>
    </xf>
    <xf numFmtId="37" fontId="33" fillId="9" borderId="0" xfId="36" applyNumberFormat="1" applyFont="1" applyFill="1"/>
    <xf numFmtId="0" fontId="18" fillId="0" borderId="0" xfId="43" applyFont="1"/>
    <xf numFmtId="0" fontId="17" fillId="0" borderId="0" xfId="43"/>
    <xf numFmtId="0" fontId="45" fillId="0" borderId="0" xfId="43" applyNumberFormat="1" applyFont="1" applyAlignment="1">
      <alignment horizontal="center"/>
    </xf>
    <xf numFmtId="0" fontId="46" fillId="0" borderId="0" xfId="43" applyFont="1" applyAlignment="1">
      <alignment horizontal="right"/>
    </xf>
    <xf numFmtId="0" fontId="1" fillId="0" borderId="0" xfId="44"/>
    <xf numFmtId="40" fontId="17" fillId="0" borderId="0" xfId="43" applyNumberFormat="1" applyAlignment="1">
      <alignment horizontal="center"/>
    </xf>
    <xf numFmtId="40" fontId="17" fillId="0" borderId="0" xfId="43" applyNumberFormat="1"/>
    <xf numFmtId="170" fontId="17" fillId="0" borderId="0" xfId="43" applyNumberFormat="1"/>
    <xf numFmtId="0" fontId="17" fillId="0" borderId="0" xfId="43" applyFont="1"/>
    <xf numFmtId="40" fontId="17" fillId="0" borderId="0" xfId="43" applyNumberFormat="1" applyAlignment="1">
      <alignment horizontal="right"/>
    </xf>
    <xf numFmtId="40" fontId="47" fillId="0" borderId="0" xfId="43" applyNumberFormat="1" applyFont="1" applyAlignment="1">
      <alignment horizontal="center"/>
    </xf>
    <xf numFmtId="0" fontId="17" fillId="0" borderId="0" xfId="43" applyAlignment="1">
      <alignment horizontal="center"/>
    </xf>
    <xf numFmtId="0" fontId="18" fillId="0" borderId="0" xfId="43" applyFont="1" applyAlignment="1">
      <alignment horizontal="center"/>
    </xf>
    <xf numFmtId="40" fontId="18" fillId="0" borderId="0" xfId="43" applyNumberFormat="1" applyFont="1" applyAlignment="1">
      <alignment horizontal="center"/>
    </xf>
    <xf numFmtId="0" fontId="17" fillId="0" borderId="0" xfId="43" applyBorder="1" applyAlignment="1">
      <alignment horizontal="center"/>
    </xf>
    <xf numFmtId="0" fontId="48" fillId="0" borderId="39" xfId="43" quotePrefix="1" applyFont="1" applyBorder="1" applyAlignment="1">
      <alignment horizontal="center"/>
    </xf>
    <xf numFmtId="0" fontId="17" fillId="0" borderId="39" xfId="43" applyBorder="1" applyAlignment="1">
      <alignment horizontal="center"/>
    </xf>
    <xf numFmtId="0" fontId="18" fillId="0" borderId="39" xfId="43" applyFont="1" applyBorder="1" applyAlignment="1">
      <alignment horizontal="center"/>
    </xf>
    <xf numFmtId="0" fontId="18" fillId="8" borderId="39" xfId="43" applyNumberFormat="1" applyFont="1" applyFill="1" applyBorder="1" applyAlignment="1">
      <alignment horizontal="center"/>
    </xf>
    <xf numFmtId="0" fontId="17" fillId="8" borderId="39" xfId="43" applyNumberFormat="1" applyFill="1" applyBorder="1" applyAlignment="1">
      <alignment horizontal="center"/>
    </xf>
    <xf numFmtId="40" fontId="18" fillId="0" borderId="39" xfId="43" applyNumberFormat="1" applyFont="1" applyBorder="1" applyAlignment="1">
      <alignment horizontal="center"/>
    </xf>
    <xf numFmtId="40" fontId="17" fillId="0" borderId="39" xfId="43" applyNumberFormat="1" applyBorder="1" applyAlignment="1">
      <alignment horizontal="center"/>
    </xf>
    <xf numFmtId="0" fontId="17" fillId="0" borderId="39" xfId="43" applyFill="1" applyBorder="1" applyAlignment="1">
      <alignment horizontal="center"/>
    </xf>
    <xf numFmtId="0" fontId="48" fillId="0" borderId="0" xfId="43" quotePrefix="1" applyFont="1" applyAlignment="1">
      <alignment horizontal="left"/>
    </xf>
    <xf numFmtId="0" fontId="17" fillId="0" borderId="0" xfId="43" applyFont="1" applyAlignment="1">
      <alignment horizontal="left"/>
    </xf>
    <xf numFmtId="40" fontId="17" fillId="0" borderId="0" xfId="43" applyNumberFormat="1" applyFont="1"/>
    <xf numFmtId="40" fontId="17" fillId="0" borderId="0" xfId="43" applyNumberFormat="1" applyFont="1" applyAlignment="1">
      <alignment horizontal="right"/>
    </xf>
    <xf numFmtId="40" fontId="17" fillId="0" borderId="0" xfId="43" applyNumberFormat="1" applyFont="1" applyFill="1" applyAlignment="1">
      <alignment horizontal="right"/>
    </xf>
    <xf numFmtId="40" fontId="18" fillId="0" borderId="0" xfId="43" applyNumberFormat="1" applyFont="1" applyFill="1" applyAlignment="1">
      <alignment horizontal="right"/>
    </xf>
    <xf numFmtId="40" fontId="18" fillId="0" borderId="0" xfId="43" applyNumberFormat="1" applyFont="1" applyAlignment="1">
      <alignment horizontal="right"/>
    </xf>
    <xf numFmtId="40" fontId="17" fillId="0" borderId="0" xfId="43" applyNumberFormat="1" applyFont="1" applyBorder="1"/>
    <xf numFmtId="40" fontId="17" fillId="0" borderId="0" xfId="43" applyNumberFormat="1" applyFont="1" applyBorder="1" applyAlignment="1">
      <alignment horizontal="right"/>
    </xf>
    <xf numFmtId="40" fontId="1" fillId="0" borderId="0" xfId="44" applyNumberFormat="1" applyFont="1"/>
    <xf numFmtId="40" fontId="17" fillId="0" borderId="0" xfId="43" applyNumberFormat="1" applyFont="1" applyFill="1" applyBorder="1" applyAlignment="1">
      <alignment horizontal="right"/>
    </xf>
    <xf numFmtId="40" fontId="1" fillId="0" borderId="0" xfId="44" applyNumberFormat="1"/>
    <xf numFmtId="40" fontId="18" fillId="8" borderId="0" xfId="43" applyNumberFormat="1" applyFont="1" applyFill="1" applyAlignment="1">
      <alignment horizontal="right"/>
    </xf>
    <xf numFmtId="39" fontId="17" fillId="0" borderId="12" xfId="43" applyNumberFormat="1" applyFont="1" applyBorder="1"/>
    <xf numFmtId="39" fontId="17" fillId="0" borderId="12" xfId="43" applyNumberFormat="1" applyFont="1" applyBorder="1" applyAlignment="1">
      <alignment horizontal="right"/>
    </xf>
    <xf numFmtId="40" fontId="17" fillId="0" borderId="12" xfId="43" applyNumberFormat="1" applyFont="1" applyBorder="1" applyAlignment="1">
      <alignment horizontal="right"/>
    </xf>
    <xf numFmtId="40" fontId="17" fillId="0" borderId="0" xfId="43" applyNumberFormat="1" applyFont="1" applyAlignment="1">
      <alignment horizontal="center"/>
    </xf>
    <xf numFmtId="39" fontId="17" fillId="0" borderId="0" xfId="43" applyNumberFormat="1" applyFont="1"/>
    <xf numFmtId="39" fontId="17" fillId="0" borderId="22" xfId="43" applyNumberFormat="1" applyFont="1" applyBorder="1"/>
    <xf numFmtId="39" fontId="17" fillId="7" borderId="22" xfId="43" applyNumberFormat="1" applyFont="1" applyFill="1" applyBorder="1"/>
    <xf numFmtId="39" fontId="17" fillId="7" borderId="22" xfId="43" applyNumberFormat="1" applyFont="1" applyFill="1" applyBorder="1" applyAlignment="1">
      <alignment horizontal="right"/>
    </xf>
    <xf numFmtId="39" fontId="17" fillId="0" borderId="22" xfId="43" applyNumberFormat="1" applyFont="1" applyBorder="1" applyAlignment="1">
      <alignment horizontal="right"/>
    </xf>
    <xf numFmtId="39" fontId="17" fillId="0" borderId="0" xfId="43" applyNumberFormat="1" applyFont="1" applyBorder="1"/>
    <xf numFmtId="39" fontId="17" fillId="0" borderId="0" xfId="43" applyNumberFormat="1" applyFont="1" applyBorder="1" applyAlignment="1">
      <alignment horizontal="center"/>
    </xf>
    <xf numFmtId="40" fontId="17" fillId="0" borderId="0" xfId="43" applyNumberFormat="1" applyFont="1" applyBorder="1" applyAlignment="1">
      <alignment horizontal="center"/>
    </xf>
    <xf numFmtId="39" fontId="17" fillId="0" borderId="0" xfId="43" applyNumberFormat="1" applyFont="1" applyAlignment="1">
      <alignment horizontal="center"/>
    </xf>
    <xf numFmtId="39" fontId="17" fillId="0" borderId="0" xfId="43" applyNumberFormat="1" applyFont="1" applyAlignment="1">
      <alignment horizontal="right"/>
    </xf>
    <xf numFmtId="40" fontId="17" fillId="0" borderId="0" xfId="45" applyNumberFormat="1" applyFont="1" applyAlignment="1">
      <alignment horizontal="center"/>
    </xf>
    <xf numFmtId="39" fontId="17" fillId="0" borderId="0" xfId="45" applyNumberFormat="1" applyFont="1" applyAlignment="1">
      <alignment horizontal="center"/>
    </xf>
    <xf numFmtId="40" fontId="17" fillId="0" borderId="0" xfId="43" applyNumberFormat="1" applyFont="1" applyAlignment="1"/>
    <xf numFmtId="39" fontId="18" fillId="0" borderId="0" xfId="43" applyNumberFormat="1" applyFont="1"/>
    <xf numFmtId="39" fontId="18" fillId="0" borderId="0" xfId="43" applyNumberFormat="1" applyFont="1" applyFill="1" applyAlignment="1">
      <alignment horizontal="right"/>
    </xf>
    <xf numFmtId="40" fontId="17" fillId="0" borderId="0" xfId="43" applyNumberFormat="1" applyFont="1" applyFill="1" applyBorder="1" applyAlignment="1"/>
    <xf numFmtId="39" fontId="18" fillId="7" borderId="12" xfId="43" applyNumberFormat="1" applyFont="1" applyFill="1" applyBorder="1"/>
    <xf numFmtId="40" fontId="17" fillId="8" borderId="0" xfId="43" applyNumberFormat="1" applyFont="1" applyFill="1" applyBorder="1" applyAlignment="1"/>
    <xf numFmtId="39" fontId="17" fillId="0" borderId="0" xfId="43" applyNumberFormat="1" applyFont="1" applyFill="1" applyBorder="1"/>
    <xf numFmtId="39" fontId="17" fillId="0" borderId="0" xfId="43" applyNumberFormat="1" applyFont="1" applyFill="1" applyAlignment="1">
      <alignment horizontal="right"/>
    </xf>
    <xf numFmtId="40" fontId="17" fillId="0" borderId="12" xfId="43" applyNumberFormat="1" applyFont="1" applyFill="1" applyBorder="1" applyAlignment="1"/>
    <xf numFmtId="39" fontId="18" fillId="0" borderId="0" xfId="43" applyNumberFormat="1" applyFont="1" applyAlignment="1">
      <alignment horizontal="left"/>
    </xf>
    <xf numFmtId="40" fontId="17" fillId="15" borderId="22" xfId="43" applyNumberFormat="1" applyFont="1" applyFill="1" applyBorder="1" applyAlignment="1"/>
    <xf numFmtId="39" fontId="18" fillId="0" borderId="22" xfId="43" applyNumberFormat="1" applyFont="1" applyBorder="1"/>
    <xf numFmtId="40" fontId="18" fillId="0" borderId="0" xfId="43" applyNumberFormat="1" applyFont="1" applyBorder="1"/>
    <xf numFmtId="0" fontId="17" fillId="0" borderId="0" xfId="43" applyFont="1" applyAlignment="1">
      <alignment horizontal="center"/>
    </xf>
    <xf numFmtId="0" fontId="17" fillId="0" borderId="0" xfId="43" applyFont="1" applyAlignment="1">
      <alignment horizontal="right"/>
    </xf>
    <xf numFmtId="40" fontId="18" fillId="0" borderId="0" xfId="43" applyNumberFormat="1" applyFont="1" applyFill="1" applyAlignment="1">
      <alignment horizontal="center"/>
    </xf>
    <xf numFmtId="40" fontId="17" fillId="0" borderId="0" xfId="43" applyNumberFormat="1" applyFont="1" applyFill="1" applyAlignment="1">
      <alignment horizontal="center"/>
    </xf>
    <xf numFmtId="40" fontId="18" fillId="0" borderId="31" xfId="43" applyNumberFormat="1" applyFont="1" applyBorder="1" applyAlignment="1">
      <alignment horizontal="center"/>
    </xf>
    <xf numFmtId="40" fontId="18" fillId="8" borderId="0" xfId="43" applyNumberFormat="1" applyFont="1" applyFill="1" applyAlignment="1">
      <alignment horizontal="center"/>
    </xf>
    <xf numFmtId="165" fontId="36" fillId="0" borderId="0" xfId="45" applyNumberFormat="1" applyFont="1" applyAlignment="1"/>
    <xf numFmtId="165" fontId="37" fillId="0" borderId="0" xfId="45" applyNumberFormat="1" applyFont="1"/>
    <xf numFmtId="0" fontId="17" fillId="0" borderId="0" xfId="46"/>
    <xf numFmtId="0" fontId="49" fillId="0" borderId="0" xfId="45" applyNumberFormat="1" applyFont="1" applyAlignment="1">
      <alignment horizontal="center"/>
    </xf>
    <xf numFmtId="165" fontId="50" fillId="0" borderId="0" xfId="45" applyNumberFormat="1" applyFont="1"/>
    <xf numFmtId="0" fontId="47" fillId="0" borderId="0" xfId="46" applyFont="1"/>
    <xf numFmtId="165" fontId="50" fillId="0" borderId="0" xfId="45" applyNumberFormat="1" applyFont="1" applyAlignment="1">
      <alignment horizontal="center"/>
    </xf>
    <xf numFmtId="40" fontId="50" fillId="0" borderId="0" xfId="45" applyNumberFormat="1" applyFont="1" applyAlignment="1">
      <alignment horizontal="center"/>
    </xf>
    <xf numFmtId="40" fontId="37" fillId="0" borderId="0" xfId="45" applyNumberFormat="1" applyFont="1" applyFill="1" applyAlignment="1">
      <alignment horizontal="center"/>
    </xf>
    <xf numFmtId="165" fontId="37" fillId="0" borderId="0" xfId="45" applyNumberFormat="1" applyFont="1" applyAlignment="1">
      <alignment horizontal="center"/>
    </xf>
    <xf numFmtId="165" fontId="37" fillId="0" borderId="0" xfId="45" applyNumberFormat="1" applyFont="1" applyFill="1" applyAlignment="1">
      <alignment horizontal="center"/>
    </xf>
    <xf numFmtId="165" fontId="51" fillId="0" borderId="0" xfId="45" quotePrefix="1" applyNumberFormat="1" applyFont="1" applyBorder="1" applyAlignment="1">
      <alignment horizontal="center"/>
    </xf>
    <xf numFmtId="165" fontId="50" fillId="0" borderId="0" xfId="45" applyNumberFormat="1" applyFont="1" applyBorder="1" applyAlignment="1">
      <alignment horizontal="center"/>
    </xf>
    <xf numFmtId="165" fontId="37" fillId="0" borderId="0" xfId="45" applyNumberFormat="1" applyFont="1" applyBorder="1" applyAlignment="1">
      <alignment horizontal="center"/>
    </xf>
    <xf numFmtId="40" fontId="37" fillId="0" borderId="0" xfId="45" applyNumberFormat="1" applyFont="1" applyBorder="1" applyAlignment="1">
      <alignment horizontal="center"/>
    </xf>
    <xf numFmtId="40" fontId="37" fillId="0" borderId="0" xfId="45" applyNumberFormat="1" applyFont="1" applyFill="1" applyBorder="1" applyAlignment="1">
      <alignment horizontal="center"/>
    </xf>
    <xf numFmtId="165" fontId="37" fillId="8" borderId="0" xfId="45" applyNumberFormat="1" applyFont="1" applyFill="1" applyBorder="1" applyAlignment="1">
      <alignment horizontal="center"/>
    </xf>
    <xf numFmtId="40" fontId="37" fillId="0" borderId="0" xfId="45" applyNumberFormat="1" applyFont="1" applyAlignment="1">
      <alignment horizontal="center"/>
    </xf>
    <xf numFmtId="165" fontId="37" fillId="8" borderId="0" xfId="45" applyNumberFormat="1" applyFont="1" applyFill="1" applyAlignment="1">
      <alignment horizontal="center"/>
    </xf>
    <xf numFmtId="165" fontId="51" fillId="0" borderId="39" xfId="45" quotePrefix="1" applyNumberFormat="1" applyFont="1" applyBorder="1" applyAlignment="1"/>
    <xf numFmtId="165" fontId="51" fillId="0" borderId="39" xfId="45" quotePrefix="1" applyNumberFormat="1" applyFont="1" applyBorder="1" applyAlignment="1">
      <alignment horizontal="left"/>
    </xf>
    <xf numFmtId="165" fontId="50" fillId="0" borderId="39" xfId="45" applyNumberFormat="1" applyFont="1" applyBorder="1"/>
    <xf numFmtId="165" fontId="50" fillId="0" borderId="39" xfId="45" applyNumberFormat="1" applyFont="1" applyBorder="1" applyAlignment="1">
      <alignment horizontal="center"/>
    </xf>
    <xf numFmtId="40" fontId="50" fillId="0" borderId="39" xfId="45" applyNumberFormat="1" applyFont="1" applyBorder="1" applyAlignment="1">
      <alignment horizontal="center"/>
    </xf>
    <xf numFmtId="40" fontId="50" fillId="0" borderId="39" xfId="45" applyNumberFormat="1" applyFont="1" applyFill="1" applyBorder="1" applyAlignment="1">
      <alignment horizontal="center"/>
    </xf>
    <xf numFmtId="165" fontId="50" fillId="0" borderId="12" xfId="45" applyNumberFormat="1" applyFont="1" applyBorder="1" applyAlignment="1">
      <alignment horizontal="center"/>
    </xf>
    <xf numFmtId="165" fontId="37" fillId="8" borderId="12" xfId="45" applyNumberFormat="1" applyFont="1" applyFill="1" applyBorder="1" applyAlignment="1">
      <alignment horizontal="center"/>
    </xf>
    <xf numFmtId="0" fontId="50" fillId="0" borderId="0" xfId="45" quotePrefix="1" applyNumberFormat="1" applyFont="1" applyAlignment="1">
      <alignment horizontal="left"/>
    </xf>
    <xf numFmtId="0" fontId="51" fillId="0" borderId="0" xfId="45" quotePrefix="1" applyNumberFormat="1" applyFont="1" applyAlignment="1">
      <alignment horizontal="right"/>
    </xf>
    <xf numFmtId="165" fontId="50" fillId="0" borderId="0" xfId="45" applyNumberFormat="1" applyFont="1" applyFill="1" applyBorder="1" applyAlignment="1">
      <alignment horizontal="left"/>
    </xf>
    <xf numFmtId="40" fontId="50" fillId="0" borderId="0" xfId="45" applyNumberFormat="1" applyFont="1" applyFill="1"/>
    <xf numFmtId="40" fontId="50" fillId="0" borderId="0" xfId="45" applyNumberFormat="1" applyFont="1"/>
    <xf numFmtId="40" fontId="50" fillId="0" borderId="0" xfId="45" applyNumberFormat="1" applyFont="1" applyFill="1" applyBorder="1" applyAlignment="1"/>
    <xf numFmtId="40" fontId="50" fillId="0" borderId="34" xfId="45" applyNumberFormat="1" applyFont="1" applyFill="1" applyBorder="1" applyAlignment="1"/>
    <xf numFmtId="0" fontId="17" fillId="0" borderId="0" xfId="47"/>
    <xf numFmtId="0" fontId="50" fillId="0" borderId="0" xfId="45" applyNumberFormat="1" applyFont="1" applyAlignment="1">
      <alignment horizontal="left"/>
    </xf>
    <xf numFmtId="0" fontId="50" fillId="0" borderId="0" xfId="45" applyNumberFormat="1" applyFont="1" applyAlignment="1">
      <alignment horizontal="right"/>
    </xf>
    <xf numFmtId="40" fontId="50" fillId="0" borderId="0" xfId="45" applyNumberFormat="1" applyFont="1" applyBorder="1"/>
    <xf numFmtId="0" fontId="50" fillId="0" borderId="0" xfId="45" applyNumberFormat="1" applyFont="1" applyFill="1" applyAlignment="1">
      <alignment horizontal="left"/>
    </xf>
    <xf numFmtId="0" fontId="50" fillId="0" borderId="0" xfId="45" applyNumberFormat="1" applyFont="1" applyFill="1" applyAlignment="1">
      <alignment horizontal="right"/>
    </xf>
    <xf numFmtId="0" fontId="17" fillId="0" borderId="0" xfId="47" applyFill="1"/>
    <xf numFmtId="0" fontId="1" fillId="0" borderId="0" xfId="44" applyFill="1"/>
    <xf numFmtId="40" fontId="50" fillId="0" borderId="0" xfId="45" quotePrefix="1" applyNumberFormat="1" applyFont="1" applyFill="1" applyBorder="1" applyAlignment="1"/>
    <xf numFmtId="40" fontId="1" fillId="0" borderId="0" xfId="44" applyNumberFormat="1" applyFill="1"/>
    <xf numFmtId="0" fontId="50" fillId="0" borderId="0" xfId="45" applyNumberFormat="1" applyFont="1" applyBorder="1" applyAlignment="1">
      <alignment horizontal="left"/>
    </xf>
    <xf numFmtId="0" fontId="50" fillId="0" borderId="0" xfId="45" applyNumberFormat="1" applyFont="1" applyBorder="1" applyAlignment="1">
      <alignment horizontal="right"/>
    </xf>
    <xf numFmtId="165" fontId="50" fillId="0" borderId="0" xfId="45" quotePrefix="1" applyNumberFormat="1" applyFont="1" applyFill="1" applyBorder="1" applyAlignment="1">
      <alignment horizontal="left"/>
    </xf>
    <xf numFmtId="40" fontId="50" fillId="0" borderId="0" xfId="45" applyNumberFormat="1" applyFont="1" applyFill="1" applyBorder="1"/>
    <xf numFmtId="0" fontId="17" fillId="0" borderId="0" xfId="47" applyBorder="1"/>
    <xf numFmtId="40" fontId="50" fillId="0" borderId="12" xfId="45" applyNumberFormat="1" applyFont="1" applyFill="1" applyBorder="1"/>
    <xf numFmtId="40" fontId="50" fillId="0" borderId="12" xfId="45" applyNumberFormat="1" applyFont="1" applyFill="1" applyBorder="1" applyAlignment="1"/>
    <xf numFmtId="40" fontId="50" fillId="0" borderId="12" xfId="45" applyNumberFormat="1" applyFont="1" applyBorder="1"/>
    <xf numFmtId="0" fontId="17" fillId="0" borderId="12" xfId="47" applyBorder="1"/>
    <xf numFmtId="165" fontId="50" fillId="0" borderId="0" xfId="45" applyNumberFormat="1" applyFont="1" applyAlignment="1"/>
    <xf numFmtId="165" fontId="37" fillId="0" borderId="0" xfId="45" applyNumberFormat="1" applyFont="1" applyFill="1" applyBorder="1" applyAlignment="1">
      <alignment horizontal="left"/>
    </xf>
    <xf numFmtId="40" fontId="37" fillId="0" borderId="0" xfId="45" applyNumberFormat="1" applyFont="1"/>
    <xf numFmtId="40" fontId="37" fillId="0" borderId="0" xfId="45" applyNumberFormat="1" applyFont="1" applyFill="1"/>
    <xf numFmtId="40" fontId="50" fillId="8" borderId="0" xfId="45" applyNumberFormat="1" applyFont="1" applyFill="1" applyBorder="1" applyAlignment="1"/>
    <xf numFmtId="40" fontId="50" fillId="8" borderId="0" xfId="45" applyNumberFormat="1" applyFont="1" applyFill="1"/>
    <xf numFmtId="165" fontId="50" fillId="0" borderId="12" xfId="45" applyNumberFormat="1" applyFont="1" applyBorder="1"/>
    <xf numFmtId="0" fontId="17" fillId="0" borderId="0" xfId="46" applyFill="1"/>
    <xf numFmtId="165" fontId="37" fillId="0" borderId="39" xfId="45" applyNumberFormat="1" applyFont="1" applyFill="1" applyBorder="1" applyAlignment="1">
      <alignment horizontal="left"/>
    </xf>
    <xf numFmtId="40" fontId="50" fillId="0" borderId="39" xfId="45" applyNumberFormat="1" applyFont="1" applyFill="1" applyBorder="1" applyAlignment="1"/>
    <xf numFmtId="40" fontId="37" fillId="0" borderId="39" xfId="45" applyNumberFormat="1" applyFont="1" applyFill="1" applyBorder="1" applyAlignment="1"/>
    <xf numFmtId="39" fontId="37" fillId="0" borderId="0" xfId="45" applyNumberFormat="1" applyFont="1" applyBorder="1"/>
    <xf numFmtId="39" fontId="37" fillId="0" borderId="0" xfId="45" applyNumberFormat="1" applyFont="1" applyBorder="1" applyAlignment="1">
      <alignment horizontal="center"/>
    </xf>
    <xf numFmtId="39" fontId="50" fillId="0" borderId="0" xfId="45" applyNumberFormat="1" applyFont="1" applyFill="1"/>
    <xf numFmtId="40" fontId="37" fillId="0" borderId="0" xfId="45" applyNumberFormat="1" applyFont="1" applyBorder="1"/>
    <xf numFmtId="39" fontId="50" fillId="0" borderId="0" xfId="45" applyNumberFormat="1" applyFont="1"/>
    <xf numFmtId="0" fontId="52" fillId="0" borderId="0" xfId="44" applyFont="1" applyAlignment="1">
      <alignment horizontal="center"/>
    </xf>
    <xf numFmtId="0" fontId="1" fillId="0" borderId="0" xfId="44" applyBorder="1"/>
    <xf numFmtId="0" fontId="37" fillId="0" borderId="0" xfId="45" applyNumberFormat="1" applyFont="1" applyAlignment="1">
      <alignment horizontal="center"/>
    </xf>
    <xf numFmtId="0" fontId="44" fillId="0" borderId="0" xfId="44" applyFont="1" applyBorder="1" applyAlignment="1">
      <alignment horizontal="center"/>
    </xf>
    <xf numFmtId="165" fontId="53" fillId="0" borderId="0" xfId="45" quotePrefix="1" applyNumberFormat="1" applyFont="1" applyAlignment="1">
      <alignment horizontal="center"/>
    </xf>
    <xf numFmtId="0" fontId="53" fillId="0" borderId="0" xfId="45" quotePrefix="1" applyNumberFormat="1" applyFont="1" applyAlignment="1">
      <alignment horizontal="center"/>
    </xf>
    <xf numFmtId="165" fontId="37" fillId="0" borderId="12" xfId="45" applyNumberFormat="1" applyFont="1" applyBorder="1" applyAlignment="1">
      <alignment horizontal="center"/>
    </xf>
    <xf numFmtId="40" fontId="37" fillId="0" borderId="12" xfId="45" applyNumberFormat="1" applyFont="1" applyBorder="1" applyAlignment="1">
      <alignment horizontal="center"/>
    </xf>
    <xf numFmtId="40" fontId="37" fillId="0" borderId="12" xfId="45" applyNumberFormat="1" applyFont="1" applyFill="1" applyBorder="1" applyAlignment="1">
      <alignment horizontal="center"/>
    </xf>
    <xf numFmtId="0" fontId="44" fillId="8" borderId="12" xfId="44" applyFont="1" applyFill="1" applyBorder="1" applyAlignment="1">
      <alignment horizontal="center"/>
    </xf>
    <xf numFmtId="0" fontId="1" fillId="0" borderId="12" xfId="44" applyBorder="1"/>
    <xf numFmtId="40" fontId="37" fillId="8" borderId="12" xfId="45" applyNumberFormat="1" applyFont="1" applyFill="1" applyBorder="1" applyAlignment="1">
      <alignment horizontal="center"/>
    </xf>
    <xf numFmtId="0" fontId="17" fillId="0" borderId="0" xfId="48" applyFill="1"/>
    <xf numFmtId="165" fontId="50" fillId="0" borderId="0" xfId="45" applyNumberFormat="1" applyFont="1" applyFill="1"/>
    <xf numFmtId="165" fontId="50" fillId="0" borderId="0" xfId="45" applyNumberFormat="1" applyFont="1" applyBorder="1"/>
    <xf numFmtId="0" fontId="17" fillId="0" borderId="0" xfId="48" applyFill="1" applyBorder="1"/>
    <xf numFmtId="0" fontId="17" fillId="0" borderId="12" xfId="48" applyBorder="1"/>
    <xf numFmtId="165" fontId="50" fillId="0" borderId="0" xfId="45" quotePrefix="1" applyNumberFormat="1" applyFont="1" applyAlignment="1">
      <alignment horizontal="left"/>
    </xf>
    <xf numFmtId="165" fontId="50" fillId="0" borderId="0" xfId="45" applyNumberFormat="1" applyFont="1" applyBorder="1" applyAlignment="1">
      <alignment horizontal="left"/>
    </xf>
    <xf numFmtId="165" fontId="50" fillId="0" borderId="12" xfId="45" applyNumberFormat="1" applyFont="1" applyBorder="1" applyAlignment="1">
      <alignment horizontal="left"/>
    </xf>
    <xf numFmtId="165" fontId="50" fillId="0" borderId="8" xfId="45" quotePrefix="1" applyNumberFormat="1" applyFont="1" applyBorder="1" applyAlignment="1">
      <alignment horizontal="left"/>
    </xf>
    <xf numFmtId="40" fontId="37" fillId="0" borderId="8" xfId="45" applyNumberFormat="1" applyFont="1" applyBorder="1"/>
    <xf numFmtId="0" fontId="18" fillId="0" borderId="0" xfId="46" applyFont="1" applyAlignment="1">
      <alignment horizontal="center"/>
    </xf>
    <xf numFmtId="39" fontId="50" fillId="0" borderId="0" xfId="45" applyNumberFormat="1" applyFont="1" applyBorder="1"/>
    <xf numFmtId="40" fontId="17" fillId="0" borderId="0" xfId="46" applyNumberFormat="1"/>
    <xf numFmtId="165" fontId="50" fillId="0" borderId="0" xfId="45" applyNumberFormat="1" applyFont="1" applyAlignment="1">
      <alignment horizontal="left"/>
    </xf>
    <xf numFmtId="38" fontId="50" fillId="0" borderId="0" xfId="45" applyNumberFormat="1" applyFont="1"/>
    <xf numFmtId="165" fontId="37" fillId="0" borderId="0" xfId="45" applyNumberFormat="1" applyFont="1" applyFill="1"/>
    <xf numFmtId="38" fontId="50" fillId="0" borderId="0" xfId="45" applyNumberFormat="1" applyFont="1" applyFill="1" applyBorder="1"/>
    <xf numFmtId="0" fontId="50" fillId="0" borderId="0" xfId="45" applyNumberFormat="1" applyFont="1"/>
    <xf numFmtId="165" fontId="37" fillId="0" borderId="0" xfId="45" applyNumberFormat="1" applyFont="1" applyBorder="1"/>
    <xf numFmtId="40" fontId="54" fillId="0" borderId="0" xfId="44" applyNumberFormat="1" applyFont="1"/>
    <xf numFmtId="39" fontId="50" fillId="0" borderId="0" xfId="45" applyNumberFormat="1" applyFont="1" applyFill="1" applyBorder="1"/>
    <xf numFmtId="38" fontId="50" fillId="0" borderId="0" xfId="46" applyNumberFormat="1" applyFont="1"/>
    <xf numFmtId="39" fontId="50" fillId="0" borderId="0" xfId="45" applyNumberFormat="1" applyFont="1" applyAlignment="1">
      <alignment horizontal="left"/>
    </xf>
    <xf numFmtId="38" fontId="50" fillId="0" borderId="12" xfId="45" applyNumberFormat="1" applyFont="1" applyBorder="1"/>
    <xf numFmtId="165" fontId="50" fillId="0" borderId="0" xfId="45" quotePrefix="1" applyNumberFormat="1" applyFont="1" applyAlignment="1"/>
    <xf numFmtId="38" fontId="37" fillId="0" borderId="0" xfId="45" applyNumberFormat="1" applyFont="1"/>
    <xf numFmtId="39" fontId="37" fillId="0" borderId="0" xfId="45" applyNumberFormat="1" applyFont="1"/>
    <xf numFmtId="38" fontId="37" fillId="0" borderId="12" xfId="45" applyNumberFormat="1" applyFont="1" applyBorder="1"/>
    <xf numFmtId="40" fontId="37" fillId="8" borderId="12" xfId="45" applyNumberFormat="1" applyFont="1" applyFill="1" applyBorder="1"/>
    <xf numFmtId="165" fontId="55" fillId="0" borderId="0" xfId="45" applyNumberFormat="1" applyFont="1" applyAlignment="1"/>
    <xf numFmtId="165" fontId="37" fillId="0" borderId="0" xfId="45" applyNumberFormat="1" applyFont="1" applyAlignment="1"/>
    <xf numFmtId="39" fontId="50" fillId="0" borderId="12" xfId="45" applyNumberFormat="1" applyFont="1" applyBorder="1" applyAlignment="1">
      <alignment horizontal="center"/>
    </xf>
    <xf numFmtId="40" fontId="50" fillId="0" borderId="12" xfId="45" applyNumberFormat="1" applyFont="1" applyBorder="1" applyAlignment="1">
      <alignment horizontal="center"/>
    </xf>
    <xf numFmtId="39" fontId="37" fillId="9" borderId="8" xfId="45" applyNumberFormat="1" applyFont="1" applyFill="1" applyBorder="1" applyAlignment="1">
      <alignment horizontal="center"/>
    </xf>
    <xf numFmtId="40" fontId="50" fillId="9" borderId="8" xfId="45" applyNumberFormat="1" applyFont="1" applyFill="1" applyBorder="1" applyAlignment="1">
      <alignment horizontal="center"/>
    </xf>
    <xf numFmtId="40" fontId="37" fillId="9" borderId="8" xfId="45" applyNumberFormat="1" applyFont="1" applyFill="1" applyBorder="1"/>
    <xf numFmtId="40" fontId="37" fillId="9" borderId="8" xfId="45" applyNumberFormat="1" applyFont="1" applyFill="1" applyBorder="1" applyAlignment="1">
      <alignment horizontal="center"/>
    </xf>
    <xf numFmtId="39" fontId="50" fillId="9" borderId="0" xfId="45" applyNumberFormat="1" applyFont="1" applyFill="1"/>
    <xf numFmtId="40" fontId="50" fillId="9" borderId="0" xfId="45" applyNumberFormat="1" applyFont="1" applyFill="1" applyBorder="1"/>
    <xf numFmtId="40" fontId="50" fillId="9" borderId="0" xfId="45" applyNumberFormat="1" applyFont="1" applyFill="1"/>
    <xf numFmtId="39" fontId="50" fillId="8" borderId="12" xfId="45" applyNumberFormat="1" applyFont="1" applyFill="1" applyBorder="1"/>
    <xf numFmtId="40" fontId="50" fillId="9" borderId="12" xfId="45" applyNumberFormat="1" applyFont="1" applyFill="1" applyBorder="1"/>
    <xf numFmtId="0" fontId="1" fillId="9" borderId="0" xfId="44" applyFill="1"/>
    <xf numFmtId="39" fontId="50" fillId="0" borderId="12" xfId="45" applyNumberFormat="1" applyFont="1" applyBorder="1"/>
    <xf numFmtId="39" fontId="50" fillId="9" borderId="12" xfId="45" applyNumberFormat="1" applyFont="1" applyFill="1" applyBorder="1"/>
    <xf numFmtId="39" fontId="37" fillId="9" borderId="0" xfId="45" applyNumberFormat="1" applyFont="1" applyFill="1"/>
    <xf numFmtId="40" fontId="50" fillId="8" borderId="12" xfId="45" applyNumberFormat="1" applyFont="1" applyFill="1" applyBorder="1" applyAlignment="1"/>
    <xf numFmtId="4" fontId="28" fillId="12" borderId="0" xfId="40" applyNumberFormat="1" applyFill="1">
      <alignment vertical="top"/>
    </xf>
    <xf numFmtId="40" fontId="50" fillId="12" borderId="0" xfId="45" applyNumberFormat="1" applyFont="1" applyFill="1"/>
    <xf numFmtId="3" fontId="17" fillId="0" borderId="0" xfId="46" applyNumberFormat="1"/>
    <xf numFmtId="3" fontId="1" fillId="0" borderId="0" xfId="44" applyNumberFormat="1"/>
    <xf numFmtId="4" fontId="1" fillId="0" borderId="0" xfId="44" applyNumberFormat="1"/>
    <xf numFmtId="0" fontId="18" fillId="9" borderId="8" xfId="46" applyFont="1" applyFill="1" applyBorder="1" applyAlignment="1">
      <alignment horizontal="center"/>
    </xf>
    <xf numFmtId="3" fontId="1" fillId="9" borderId="31" xfId="44" applyNumberFormat="1" applyFill="1" applyBorder="1"/>
    <xf numFmtId="37" fontId="5" fillId="0" borderId="0" xfId="0" quotePrefix="1" applyFont="1" applyFill="1" applyAlignment="1" applyProtection="1">
      <alignment horizontal="centerContinuous"/>
    </xf>
    <xf numFmtId="37" fontId="5" fillId="0" borderId="0" xfId="0" quotePrefix="1" applyFont="1" applyFill="1" applyAlignment="1" applyProtection="1">
      <alignment horizontal="left"/>
    </xf>
    <xf numFmtId="4" fontId="28" fillId="9" borderId="0" xfId="40" applyNumberFormat="1" applyFill="1">
      <alignment vertical="top"/>
    </xf>
    <xf numFmtId="4" fontId="28" fillId="16" borderId="0" xfId="40" applyNumberFormat="1" applyFill="1">
      <alignment vertical="top"/>
    </xf>
    <xf numFmtId="4" fontId="3" fillId="8" borderId="0" xfId="0" applyNumberFormat="1" applyFont="1" applyFill="1"/>
    <xf numFmtId="37" fontId="3" fillId="17" borderId="0" xfId="0" applyFont="1" applyFill="1"/>
    <xf numFmtId="4" fontId="3" fillId="17" borderId="0" xfId="0" applyNumberFormat="1" applyFont="1" applyFill="1"/>
    <xf numFmtId="37" fontId="3" fillId="17" borderId="0" xfId="0" applyFont="1" applyFill="1" applyAlignment="1">
      <alignment horizontal="right"/>
    </xf>
    <xf numFmtId="4" fontId="3" fillId="27" borderId="0" xfId="0" applyNumberFormat="1" applyFont="1" applyFill="1"/>
    <xf numFmtId="37" fontId="3" fillId="8" borderId="0" xfId="0" applyFont="1" applyFill="1"/>
    <xf numFmtId="37" fontId="3" fillId="28" borderId="0" xfId="0" applyFont="1" applyFill="1"/>
    <xf numFmtId="4" fontId="3" fillId="28" borderId="0" xfId="0" applyNumberFormat="1" applyFont="1" applyFill="1"/>
    <xf numFmtId="171" fontId="36" fillId="0" borderId="0" xfId="49" quotePrefix="1" applyNumberFormat="1" applyFont="1" applyFill="1" applyAlignment="1" applyProtection="1">
      <alignment horizontal="left"/>
    </xf>
    <xf numFmtId="171" fontId="59" fillId="0" borderId="0" xfId="49" quotePrefix="1" applyNumberFormat="1" applyFont="1" applyFill="1" applyAlignment="1" applyProtection="1">
      <alignment horizontal="left"/>
    </xf>
    <xf numFmtId="39" fontId="3" fillId="0" borderId="0" xfId="49" applyNumberFormat="1" applyFont="1" applyFill="1" applyProtection="1"/>
    <xf numFmtId="39" fontId="3" fillId="0" borderId="0" xfId="49" applyNumberFormat="1" applyFont="1" applyFill="1" applyBorder="1" applyProtection="1"/>
    <xf numFmtId="0" fontId="3" fillId="0" borderId="0" xfId="49" applyFont="1" applyFill="1" applyProtection="1">
      <protection locked="0"/>
    </xf>
    <xf numFmtId="39" fontId="3" fillId="0" borderId="0" xfId="49" applyNumberFormat="1" applyFont="1" applyFill="1" applyProtection="1">
      <protection locked="0"/>
    </xf>
    <xf numFmtId="37" fontId="18" fillId="0" borderId="0" xfId="41" quotePrefix="1" applyNumberFormat="1" applyFont="1" applyFill="1" applyAlignment="1" applyProtection="1">
      <alignment horizontal="left"/>
    </xf>
    <xf numFmtId="171" fontId="18" fillId="0" borderId="0" xfId="49" applyNumberFormat="1" applyFont="1" applyFill="1" applyAlignment="1" applyProtection="1">
      <alignment horizontal="left"/>
    </xf>
    <xf numFmtId="171" fontId="59" fillId="0" borderId="0" xfId="49" quotePrefix="1" applyNumberFormat="1" applyFont="1" applyFill="1" applyAlignment="1" applyProtection="1">
      <alignment horizontal="center"/>
    </xf>
    <xf numFmtId="39" fontId="61" fillId="0" borderId="12" xfId="49" applyNumberFormat="1" applyFont="1" applyFill="1" applyBorder="1" applyAlignment="1" applyProtection="1">
      <alignment horizontal="center"/>
    </xf>
    <xf numFmtId="39" fontId="61" fillId="0" borderId="0" xfId="49" applyNumberFormat="1" applyFont="1" applyFill="1" applyBorder="1" applyAlignment="1" applyProtection="1">
      <alignment horizontal="center"/>
    </xf>
    <xf numFmtId="0" fontId="3" fillId="0" borderId="0" xfId="49" applyFont="1" applyFill="1" applyAlignment="1" applyProtection="1">
      <alignment horizontal="center"/>
      <protection locked="0"/>
    </xf>
    <xf numFmtId="171" fontId="59" fillId="0" borderId="0" xfId="49" applyNumberFormat="1" applyFont="1" applyFill="1" applyAlignment="1" applyProtection="1">
      <alignment horizontal="left"/>
    </xf>
    <xf numFmtId="39" fontId="25" fillId="0" borderId="8" xfId="49" applyNumberFormat="1" applyFont="1" applyFill="1" applyBorder="1" applyAlignment="1" applyProtection="1">
      <alignment horizontal="center" vertical="center" wrapText="1"/>
    </xf>
    <xf numFmtId="39" fontId="25" fillId="0" borderId="8" xfId="49" applyNumberFormat="1" applyFont="1" applyFill="1" applyBorder="1" applyAlignment="1" applyProtection="1">
      <alignment horizontal="center"/>
    </xf>
    <xf numFmtId="39" fontId="25" fillId="0" borderId="8" xfId="49" applyNumberFormat="1" applyFont="1" applyFill="1" applyBorder="1" applyAlignment="1" applyProtection="1">
      <alignment horizontal="center"/>
      <protection locked="0"/>
    </xf>
    <xf numFmtId="39" fontId="25" fillId="0" borderId="0" xfId="49" applyNumberFormat="1" applyFont="1" applyFill="1" applyAlignment="1" applyProtection="1">
      <alignment horizontal="center" vertical="center" wrapText="1"/>
      <protection locked="0"/>
    </xf>
    <xf numFmtId="171" fontId="17" fillId="0" borderId="0" xfId="49" applyNumberFormat="1" applyFont="1" applyFill="1" applyAlignment="1" applyProtection="1">
      <alignment horizontal="left"/>
    </xf>
    <xf numFmtId="1" fontId="17" fillId="0" borderId="0" xfId="49" applyNumberFormat="1" applyFont="1" applyFill="1" applyAlignment="1" applyProtection="1">
      <alignment horizontal="left"/>
    </xf>
    <xf numFmtId="39" fontId="3" fillId="8" borderId="0" xfId="49" applyNumberFormat="1" applyFont="1" applyFill="1" applyProtection="1"/>
    <xf numFmtId="39" fontId="3" fillId="0" borderId="0" xfId="50" applyNumberFormat="1" applyFont="1" applyFill="1" applyBorder="1" applyProtection="1"/>
    <xf numFmtId="39" fontId="3" fillId="0" borderId="12" xfId="49" applyNumberFormat="1" applyFont="1" applyFill="1" applyBorder="1" applyProtection="1"/>
    <xf numFmtId="39" fontId="3" fillId="8" borderId="12" xfId="49" applyNumberFormat="1" applyFont="1" applyFill="1" applyBorder="1" applyProtection="1"/>
    <xf numFmtId="39" fontId="3" fillId="0" borderId="12" xfId="50" applyNumberFormat="1" applyFont="1" applyFill="1" applyBorder="1" applyProtection="1"/>
    <xf numFmtId="39" fontId="3" fillId="0" borderId="12" xfId="49" applyNumberFormat="1" applyFont="1" applyFill="1" applyBorder="1" applyProtection="1">
      <protection locked="0"/>
    </xf>
    <xf numFmtId="39" fontId="3" fillId="0" borderId="0" xfId="49" applyNumberFormat="1" applyFont="1" applyFill="1" applyBorder="1" applyProtection="1">
      <protection locked="0"/>
    </xf>
    <xf numFmtId="167" fontId="3" fillId="0" borderId="0" xfId="3" applyNumberFormat="1" applyFont="1" applyFill="1" applyProtection="1">
      <protection locked="0"/>
    </xf>
    <xf numFmtId="171" fontId="62" fillId="0" borderId="0" xfId="49" applyNumberFormat="1" applyFont="1" applyFill="1" applyAlignment="1" applyProtection="1">
      <alignment horizontal="left"/>
    </xf>
    <xf numFmtId="1" fontId="62" fillId="0" borderId="0" xfId="49" applyNumberFormat="1" applyFont="1" applyFill="1" applyAlignment="1" applyProtection="1">
      <alignment horizontal="left"/>
    </xf>
    <xf numFmtId="0" fontId="3" fillId="0" borderId="0" xfId="50" applyFont="1" applyFill="1"/>
    <xf numFmtId="39" fontId="3" fillId="8" borderId="0" xfId="49" applyNumberFormat="1" applyFont="1" applyFill="1" applyBorder="1" applyProtection="1"/>
    <xf numFmtId="171" fontId="17" fillId="0" borderId="0" xfId="49" applyNumberFormat="1" applyFont="1" applyFill="1" applyProtection="1"/>
    <xf numFmtId="1" fontId="17" fillId="0" borderId="0" xfId="49" applyNumberFormat="1" applyFont="1" applyFill="1" applyProtection="1"/>
    <xf numFmtId="39" fontId="3" fillId="0" borderId="8" xfId="49" applyNumberFormat="1" applyFont="1" applyFill="1" applyBorder="1" applyProtection="1"/>
    <xf numFmtId="39" fontId="3" fillId="0" borderId="8" xfId="50" applyNumberFormat="1" applyFont="1" applyFill="1" applyBorder="1" applyProtection="1"/>
    <xf numFmtId="39" fontId="3" fillId="0" borderId="8" xfId="49" applyNumberFormat="1" applyFont="1" applyFill="1" applyBorder="1" applyProtection="1">
      <protection locked="0"/>
    </xf>
    <xf numFmtId="43" fontId="3" fillId="0" borderId="0" xfId="49" applyNumberFormat="1" applyFont="1" applyFill="1" applyProtection="1"/>
    <xf numFmtId="39" fontId="3" fillId="12" borderId="0" xfId="49" applyNumberFormat="1" applyFont="1" applyFill="1" applyProtection="1"/>
    <xf numFmtId="37" fontId="17" fillId="0" borderId="0" xfId="51" applyNumberFormat="1" applyFont="1" applyFill="1" applyAlignment="1" applyProtection="1">
      <alignment horizontal="left"/>
    </xf>
    <xf numFmtId="39" fontId="3" fillId="0" borderId="0" xfId="50" applyNumberFormat="1" applyFont="1" applyFill="1" applyProtection="1"/>
    <xf numFmtId="0" fontId="17" fillId="0" borderId="0" xfId="49" applyFont="1" applyFill="1" applyProtection="1"/>
    <xf numFmtId="1" fontId="17" fillId="0" borderId="0" xfId="49" quotePrefix="1" applyNumberFormat="1" applyFont="1" applyFill="1" applyAlignment="1" applyProtection="1">
      <alignment horizontal="left"/>
    </xf>
    <xf numFmtId="171" fontId="17" fillId="0" borderId="0" xfId="49" quotePrefix="1" applyNumberFormat="1" applyFont="1" applyFill="1" applyAlignment="1" applyProtection="1">
      <alignment horizontal="left"/>
    </xf>
    <xf numFmtId="37" fontId="17" fillId="0" borderId="0" xfId="41" applyNumberFormat="1" applyFont="1" applyFill="1" applyAlignment="1" applyProtection="1">
      <alignment horizontal="left"/>
    </xf>
    <xf numFmtId="39" fontId="3" fillId="18" borderId="31" xfId="49" applyNumberFormat="1" applyFont="1" applyFill="1" applyBorder="1" applyProtection="1"/>
    <xf numFmtId="39" fontId="3" fillId="8" borderId="31" xfId="49" applyNumberFormat="1" applyFont="1" applyFill="1" applyBorder="1" applyProtection="1"/>
    <xf numFmtId="39" fontId="3" fillId="0" borderId="31" xfId="49" applyNumberFormat="1" applyFont="1" applyFill="1" applyBorder="1" applyProtection="1"/>
    <xf numFmtId="39" fontId="3" fillId="18" borderId="31" xfId="50" applyNumberFormat="1" applyFont="1" applyFill="1" applyBorder="1" applyProtection="1"/>
    <xf numFmtId="39" fontId="3" fillId="18" borderId="31" xfId="49" applyNumberFormat="1" applyFont="1" applyFill="1" applyBorder="1" applyProtection="1">
      <protection locked="0"/>
    </xf>
    <xf numFmtId="39" fontId="3" fillId="0" borderId="31" xfId="49" applyNumberFormat="1" applyFont="1" applyFill="1" applyBorder="1" applyProtection="1">
      <protection locked="0"/>
    </xf>
    <xf numFmtId="0" fontId="3" fillId="0" borderId="0" xfId="49" applyFont="1" applyFill="1" applyProtection="1"/>
    <xf numFmtId="0" fontId="17" fillId="0" borderId="0" xfId="49" applyFont="1" applyFill="1" applyBorder="1" applyProtection="1"/>
    <xf numFmtId="39" fontId="3" fillId="0" borderId="0" xfId="49" applyNumberFormat="1" applyFont="1" applyFill="1" applyAlignment="1" applyProtection="1">
      <alignment horizontal="right"/>
    </xf>
    <xf numFmtId="0" fontId="41" fillId="0" borderId="0" xfId="49" applyFont="1" applyFill="1" applyBorder="1" applyProtection="1"/>
    <xf numFmtId="15" fontId="3" fillId="0" borderId="0" xfId="49" applyNumberFormat="1" applyFont="1" applyFill="1" applyProtection="1"/>
    <xf numFmtId="39" fontId="3" fillId="16" borderId="0" xfId="49" applyNumberFormat="1" applyFont="1" applyFill="1" applyProtection="1"/>
    <xf numFmtId="37" fontId="5" fillId="0" borderId="0" xfId="0" quotePrefix="1" applyFont="1" applyProtection="1"/>
    <xf numFmtId="37" fontId="64" fillId="0" borderId="0" xfId="0" applyFont="1" applyAlignment="1" applyProtection="1">
      <alignment horizontal="right"/>
    </xf>
    <xf numFmtId="37" fontId="65" fillId="29" borderId="1" xfId="0" applyFont="1" applyFill="1" applyBorder="1" applyAlignment="1" applyProtection="1"/>
    <xf numFmtId="37" fontId="5" fillId="0" borderId="5" xfId="0" applyFont="1" applyBorder="1" applyProtection="1"/>
    <xf numFmtId="37" fontId="5" fillId="0" borderId="13" xfId="0" applyFont="1" applyBorder="1" applyProtection="1"/>
    <xf numFmtId="37" fontId="15" fillId="0" borderId="13" xfId="0" applyFont="1" applyFill="1" applyBorder="1"/>
    <xf numFmtId="166" fontId="15" fillId="0" borderId="13" xfId="0" applyNumberFormat="1" applyFont="1" applyFill="1" applyBorder="1" applyAlignment="1">
      <alignment horizontal="left"/>
    </xf>
    <xf numFmtId="166" fontId="15" fillId="0" borderId="13" xfId="0" applyNumberFormat="1" applyFont="1" applyBorder="1" applyAlignment="1" applyProtection="1">
      <alignment horizontal="left"/>
    </xf>
    <xf numFmtId="37" fontId="15" fillId="0" borderId="13" xfId="0" quotePrefix="1" applyFont="1" applyFill="1" applyBorder="1" applyAlignment="1">
      <alignment horizontal="left"/>
    </xf>
    <xf numFmtId="37" fontId="15" fillId="0" borderId="13" xfId="0" quotePrefix="1" applyFont="1" applyBorder="1" applyProtection="1"/>
    <xf numFmtId="37" fontId="0" fillId="0" borderId="13" xfId="0" applyBorder="1" applyProtection="1"/>
    <xf numFmtId="37" fontId="5" fillId="0" borderId="11" xfId="0" applyFont="1" applyBorder="1" applyProtection="1"/>
    <xf numFmtId="37" fontId="5" fillId="0" borderId="3" xfId="0" applyFont="1" applyBorder="1" applyProtection="1"/>
    <xf numFmtId="37" fontId="63" fillId="0" borderId="3" xfId="0" applyFont="1" applyBorder="1" applyAlignment="1" applyProtection="1">
      <alignment horizontal="right"/>
    </xf>
    <xf numFmtId="37" fontId="5" fillId="0" borderId="3" xfId="0" applyFont="1" applyFill="1" applyBorder="1" applyProtection="1"/>
    <xf numFmtId="37" fontId="5" fillId="0" borderId="15" xfId="0" applyFont="1" applyBorder="1" applyProtection="1"/>
    <xf numFmtId="37" fontId="5" fillId="0" borderId="10" xfId="0" applyFont="1" applyBorder="1" applyProtection="1"/>
    <xf numFmtId="37" fontId="65" fillId="29" borderId="1" xfId="0" applyFont="1" applyFill="1" applyBorder="1" applyAlignment="1" applyProtection="1">
      <alignment horizontal="right" wrapText="1"/>
    </xf>
    <xf numFmtId="37" fontId="5" fillId="0" borderId="13" xfId="0" quotePrefix="1" applyFont="1" applyBorder="1" applyProtection="1"/>
    <xf numFmtId="37" fontId="66" fillId="0" borderId="0" xfId="0" applyFont="1" applyAlignment="1" applyProtection="1">
      <alignment horizontal="right"/>
    </xf>
    <xf numFmtId="37" fontId="15" fillId="0" borderId="13" xfId="0" applyFont="1" applyBorder="1" applyProtection="1"/>
    <xf numFmtId="37" fontId="66" fillId="0" borderId="3" xfId="0" applyFont="1" applyBorder="1" applyAlignment="1" applyProtection="1">
      <alignment horizontal="right"/>
    </xf>
    <xf numFmtId="37" fontId="66" fillId="0" borderId="9" xfId="0" applyFont="1" applyBorder="1" applyAlignment="1" applyProtection="1">
      <alignment horizontal="right"/>
    </xf>
    <xf numFmtId="37" fontId="15" fillId="0" borderId="13" xfId="0" quotePrefix="1" applyFont="1" applyFill="1" applyBorder="1" applyProtection="1"/>
    <xf numFmtId="37" fontId="15" fillId="0" borderId="13" xfId="0" applyFont="1" applyFill="1" applyBorder="1" applyProtection="1"/>
    <xf numFmtId="37" fontId="66" fillId="0" borderId="3" xfId="0" applyFont="1" applyFill="1" applyBorder="1" applyAlignment="1" applyProtection="1">
      <alignment horizontal="right"/>
    </xf>
    <xf numFmtId="37" fontId="11" fillId="0" borderId="1" xfId="0" applyNumberFormat="1" applyFont="1" applyBorder="1" applyProtection="1">
      <protection locked="0"/>
    </xf>
    <xf numFmtId="37" fontId="11" fillId="3" borderId="0" xfId="0" applyFont="1" applyFill="1" applyAlignment="1" applyProtection="1">
      <alignment horizontal="center" vertical="center"/>
    </xf>
    <xf numFmtId="0" fontId="2" fillId="0" borderId="8" xfId="4" applyBorder="1" applyAlignment="1">
      <alignment horizontal="center" wrapText="1"/>
    </xf>
    <xf numFmtId="0" fontId="24" fillId="0" borderId="0" xfId="8" applyFont="1" applyAlignment="1">
      <alignment horizontal="center"/>
    </xf>
    <xf numFmtId="0" fontId="25" fillId="0" borderId="0" xfId="8" applyFont="1" applyAlignment="1">
      <alignment horizontal="center"/>
    </xf>
    <xf numFmtId="0" fontId="3" fillId="13" borderId="0" xfId="8" applyFont="1" applyFill="1" applyAlignment="1">
      <alignment horizontal="center" wrapText="1"/>
    </xf>
    <xf numFmtId="165" fontId="37" fillId="0" borderId="12" xfId="45" applyNumberFormat="1" applyFont="1" applyBorder="1" applyAlignment="1">
      <alignment horizontal="center"/>
    </xf>
    <xf numFmtId="165" fontId="37" fillId="9" borderId="12" xfId="45" applyNumberFormat="1" applyFont="1" applyFill="1" applyBorder="1" applyAlignment="1">
      <alignment horizontal="center"/>
    </xf>
    <xf numFmtId="169" fontId="18" fillId="0" borderId="0" xfId="41" quotePrefix="1" applyNumberFormat="1" applyFont="1" applyAlignment="1" applyProtection="1">
      <alignment horizontal="left"/>
    </xf>
    <xf numFmtId="39" fontId="60" fillId="0" borderId="0" xfId="49" applyNumberFormat="1" applyFont="1" applyFill="1" applyAlignment="1" applyProtection="1">
      <alignment horizontal="center"/>
    </xf>
    <xf numFmtId="39" fontId="61" fillId="0" borderId="12" xfId="49" applyNumberFormat="1" applyFont="1" applyFill="1" applyBorder="1" applyAlignment="1" applyProtection="1">
      <alignment horizontal="center"/>
    </xf>
  </cellXfs>
  <cellStyles count="52">
    <cellStyle name="Comma" xfId="1" builtinId="3"/>
    <cellStyle name="Comma 10" xfId="7" xr:uid="{00000000-0005-0000-0000-000001000000}"/>
    <cellStyle name="Comma 10 2" xfId="9" xr:uid="{00000000-0005-0000-0000-000002000000}"/>
    <cellStyle name="Comma 2" xfId="11" xr:uid="{00000000-0005-0000-0000-000003000000}"/>
    <cellStyle name="Comma 2 2" xfId="45" xr:uid="{00000000-0005-0000-0000-000004000000}"/>
    <cellStyle name="Comma 2 3 2 2" xfId="38" xr:uid="{00000000-0005-0000-0000-000005000000}"/>
    <cellStyle name="Comma 24" xfId="5" xr:uid="{00000000-0005-0000-0000-000006000000}"/>
    <cellStyle name="Comma 46" xfId="27" xr:uid="{00000000-0005-0000-0000-000007000000}"/>
    <cellStyle name="Comma 51" xfId="25" xr:uid="{00000000-0005-0000-0000-000008000000}"/>
    <cellStyle name="Currency 5" xfId="16" xr:uid="{00000000-0005-0000-0000-000009000000}"/>
    <cellStyle name="Hyperlink" xfId="2" builtinId="8"/>
    <cellStyle name="Normal" xfId="0" builtinId="0"/>
    <cellStyle name="Normal 10" xfId="47" xr:uid="{00000000-0005-0000-0000-00000C000000}"/>
    <cellStyle name="Normal 136" xfId="6" xr:uid="{00000000-0005-0000-0000-00000D000000}"/>
    <cellStyle name="Normal 138" xfId="35" xr:uid="{00000000-0005-0000-0000-00000E000000}"/>
    <cellStyle name="Normal 139" xfId="37" xr:uid="{00000000-0005-0000-0000-00000F000000}"/>
    <cellStyle name="Normal 141" xfId="39" xr:uid="{00000000-0005-0000-0000-000010000000}"/>
    <cellStyle name="Normal 16" xfId="46" xr:uid="{00000000-0005-0000-0000-000011000000}"/>
    <cellStyle name="Normal 17" xfId="43" xr:uid="{00000000-0005-0000-0000-000012000000}"/>
    <cellStyle name="Normal 2" xfId="42" xr:uid="{00000000-0005-0000-0000-000013000000}"/>
    <cellStyle name="Normal 28" xfId="26" xr:uid="{00000000-0005-0000-0000-000014000000}"/>
    <cellStyle name="Normal 3" xfId="44" xr:uid="{00000000-0005-0000-0000-000015000000}"/>
    <cellStyle name="Normal 3 2" xfId="50" xr:uid="{00000000-0005-0000-0000-000016000000}"/>
    <cellStyle name="Normal 34" xfId="34" xr:uid="{00000000-0005-0000-0000-000017000000}"/>
    <cellStyle name="Normal 4" xfId="49" xr:uid="{00000000-0005-0000-0000-000018000000}"/>
    <cellStyle name="Normal 436" xfId="21" xr:uid="{00000000-0005-0000-0000-000019000000}"/>
    <cellStyle name="Normal 48 2 2 4" xfId="33" xr:uid="{00000000-0005-0000-0000-00001A000000}"/>
    <cellStyle name="Normal 48 6" xfId="32" xr:uid="{00000000-0005-0000-0000-00001B000000}"/>
    <cellStyle name="Normal 570" xfId="4" xr:uid="{00000000-0005-0000-0000-00001C000000}"/>
    <cellStyle name="Normal 8" xfId="48" xr:uid="{00000000-0005-0000-0000-00001D000000}"/>
    <cellStyle name="Normal_Aging report - 103108" xfId="29" xr:uid="{00000000-0005-0000-0000-00001E000000}"/>
    <cellStyle name="Normal_CASUM06 - Sep 06 B" xfId="24" xr:uid="{00000000-0005-0000-0000-00001F000000}"/>
    <cellStyle name="Normal_CHCS Combining FY07" xfId="41" xr:uid="{00000000-0005-0000-0000-000020000000}"/>
    <cellStyle name="Normal_EPIC" xfId="20" xr:uid="{00000000-0005-0000-0000-000021000000}"/>
    <cellStyle name="Normal_EPIC Aging" xfId="23" xr:uid="{00000000-0005-0000-0000-000022000000}"/>
    <cellStyle name="Normal_EPIC ZBA" xfId="22" xr:uid="{00000000-0005-0000-0000-000023000000}"/>
    <cellStyle name="Normal_HB" xfId="18" xr:uid="{00000000-0005-0000-0000-000024000000}"/>
    <cellStyle name="Normal_InfoView" xfId="10" xr:uid="{00000000-0005-0000-0000-000025000000}"/>
    <cellStyle name="Normal_InfoView 2" xfId="17" xr:uid="{00000000-0005-0000-0000-000026000000}"/>
    <cellStyle name="Normal_NACHRI2009 2 2" xfId="36" xr:uid="{00000000-0005-0000-0000-000027000000}"/>
    <cellStyle name="Normal_Revenues by system - September 09" xfId="8" xr:uid="{00000000-0005-0000-0000-000028000000}"/>
    <cellStyle name="Normal_Sheet1" xfId="40" xr:uid="{00000000-0005-0000-0000-000029000000}"/>
    <cellStyle name="Normal_Sheet1 2" xfId="31" xr:uid="{00000000-0005-0000-0000-00002A000000}"/>
    <cellStyle name="Normal_Summary" xfId="19" xr:uid="{00000000-0005-0000-0000-00002B000000}"/>
    <cellStyle name="Normal_Summary 2" xfId="30" xr:uid="{00000000-0005-0000-0000-00002C000000}"/>
    <cellStyle name="Normal_Z CONS FS 1201" xfId="51" xr:uid="{00000000-0005-0000-0000-00002D000000}"/>
    <cellStyle name="Normal_ZBA Epic" xfId="13" xr:uid="{00000000-0005-0000-0000-00002E000000}"/>
    <cellStyle name="Percent" xfId="3" builtinId="5"/>
    <cellStyle name="Percent 10" xfId="15" xr:uid="{00000000-0005-0000-0000-000030000000}"/>
    <cellStyle name="Percent 10 2 2" xfId="14" xr:uid="{00000000-0005-0000-0000-000031000000}"/>
    <cellStyle name="Percent 2" xfId="28" xr:uid="{00000000-0005-0000-0000-000032000000}"/>
    <cellStyle name="Percent 50" xfId="12" xr:uid="{00000000-0005-0000-0000-00003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106</xdr:row>
      <xdr:rowOff>0</xdr:rowOff>
    </xdr:from>
    <xdr:to>
      <xdr:col>24</xdr:col>
      <xdr:colOff>281143</xdr:colOff>
      <xdr:row>160</xdr:row>
      <xdr:rowOff>144971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36ECB5-BF6B-4576-BF68-E12900846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25100" y="16713200"/>
          <a:ext cx="11457143" cy="8628571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162</xdr:row>
      <xdr:rowOff>0</xdr:rowOff>
    </xdr:from>
    <xdr:to>
      <xdr:col>24</xdr:col>
      <xdr:colOff>309714</xdr:colOff>
      <xdr:row>221</xdr:row>
      <xdr:rowOff>84609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0DB087B-7FF9-4567-B763-7368AFB7E8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025100" y="25628600"/>
          <a:ext cx="11485714" cy="8923809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224</xdr:row>
      <xdr:rowOff>0</xdr:rowOff>
    </xdr:from>
    <xdr:to>
      <xdr:col>24</xdr:col>
      <xdr:colOff>319238</xdr:colOff>
      <xdr:row>280</xdr:row>
      <xdr:rowOff>119557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2DFA44F-8B8A-467D-87F5-0F6F85F4F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025100" y="34925000"/>
          <a:ext cx="11495238" cy="87428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152401</xdr:rowOff>
    </xdr:from>
    <xdr:to>
      <xdr:col>11</xdr:col>
      <xdr:colOff>495816</xdr:colOff>
      <xdr:row>24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62176"/>
          <a:ext cx="10097016" cy="26765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438150</xdr:colOff>
      <xdr:row>38</xdr:row>
      <xdr:rowOff>28575</xdr:rowOff>
    </xdr:from>
    <xdr:to>
      <xdr:col>15</xdr:col>
      <xdr:colOff>561975</xdr:colOff>
      <xdr:row>38</xdr:row>
      <xdr:rowOff>142875</xdr:rowOff>
    </xdr:to>
    <xdr:sp macro="" textlink="">
      <xdr:nvSpPr>
        <xdr:cNvPr id="2" name="WordArt 26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382250" y="6581775"/>
          <a:ext cx="123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800" b="1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Arial"/>
              <a:cs typeface="Arial"/>
            </a:rPr>
            <a:t>A-1</a:t>
          </a:r>
        </a:p>
      </xdr:txBody>
    </xdr:sp>
    <xdr:clientData/>
  </xdr:twoCellAnchor>
  <xdr:twoCellAnchor editAs="oneCell">
    <xdr:from>
      <xdr:col>12</xdr:col>
      <xdr:colOff>466725</xdr:colOff>
      <xdr:row>38</xdr:row>
      <xdr:rowOff>38100</xdr:rowOff>
    </xdr:from>
    <xdr:to>
      <xdr:col>12</xdr:col>
      <xdr:colOff>590550</xdr:colOff>
      <xdr:row>38</xdr:row>
      <xdr:rowOff>152400</xdr:rowOff>
    </xdr:to>
    <xdr:sp macro="" textlink="">
      <xdr:nvSpPr>
        <xdr:cNvPr id="3" name="WordArt 26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53425" y="6591300"/>
          <a:ext cx="123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800" b="1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Arial"/>
              <a:cs typeface="Arial"/>
            </a:rPr>
            <a:t>A-1</a:t>
          </a:r>
        </a:p>
      </xdr:txBody>
    </xdr:sp>
    <xdr:clientData/>
  </xdr:twoCellAnchor>
  <xdr:twoCellAnchor editAs="oneCell">
    <xdr:from>
      <xdr:col>13</xdr:col>
      <xdr:colOff>695325</xdr:colOff>
      <xdr:row>38</xdr:row>
      <xdr:rowOff>28575</xdr:rowOff>
    </xdr:from>
    <xdr:to>
      <xdr:col>13</xdr:col>
      <xdr:colOff>819150</xdr:colOff>
      <xdr:row>38</xdr:row>
      <xdr:rowOff>142875</xdr:rowOff>
    </xdr:to>
    <xdr:sp macro="" textlink="">
      <xdr:nvSpPr>
        <xdr:cNvPr id="4" name="WordArt 26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448800" y="6581775"/>
          <a:ext cx="123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800" b="1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Arial"/>
              <a:cs typeface="Arial"/>
            </a:rPr>
            <a:t>A-1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238125</xdr:colOff>
      <xdr:row>0</xdr:row>
      <xdr:rowOff>19050</xdr:rowOff>
    </xdr:from>
    <xdr:to>
      <xdr:col>12</xdr:col>
      <xdr:colOff>857250</xdr:colOff>
      <xdr:row>2</xdr:row>
      <xdr:rowOff>123825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900-000004300000}"/>
            </a:ext>
          </a:extLst>
        </xdr:cNvPr>
        <xdr:cNvSpPr txBox="1">
          <a:spLocks noChangeArrowheads="1"/>
        </xdr:cNvSpPr>
      </xdr:nvSpPr>
      <xdr:spPr bwMode="auto">
        <a:xfrm>
          <a:off x="11715750" y="19050"/>
          <a:ext cx="0" cy="466725"/>
        </a:xfrm>
        <a:prstGeom prst="rect">
          <a:avLst/>
        </a:prstGeom>
        <a:solidFill>
          <a:srgbClr val="FFFFFF">
            <a:alpha val="87000"/>
          </a:srgb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en-US" sz="16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ceGL\Financial%20Reporting\Financial%20Statements\FY%202018\September%202018\12%20IS%20092018%20-%20Board_Post%20CAJEs%20Research%20reclas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fin01\enuffadv\budadv\REPORTS\BUDGET\Budget%20Board%20Income%20Statement%20-%2012%20month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450\shared\PAT\CHCA%20Financial%20Performance%20Survey\FY2005\2003%20CHCA%20Financial%20Surve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(000)"/>
      <sheetName val="IS detail"/>
      <sheetName val="SCRH IS"/>
      <sheetName val="SCRI IS"/>
      <sheetName val="Elimin"/>
      <sheetName val="JE"/>
      <sheetName val="All Consolidated IS"/>
      <sheetName val="Consolidating IS-Board"/>
      <sheetName val="Consolidating IS-Board (2)"/>
      <sheetName val="Consolidating IS-Bond"/>
      <sheetName val="Consolidated Audit"/>
      <sheetName val="Bond -SCH"/>
      <sheetName val="IS SCH"/>
      <sheetName val="Original Budget"/>
      <sheetName val="Budget IS"/>
      <sheetName val="Budget FY2018"/>
      <sheetName val="IS Budget Tie In"/>
      <sheetName val="06"/>
      <sheetName val="Reclass 06"/>
      <sheetName val="06DL"/>
      <sheetName val="0101"/>
      <sheetName val="Reclass 01"/>
      <sheetName val="0101DL"/>
      <sheetName val="0102"/>
      <sheetName val="Reclass 02"/>
      <sheetName val="0102DL"/>
      <sheetName val="0105"/>
      <sheetName val="0105DL"/>
      <sheetName val="0103"/>
      <sheetName val="0103DL"/>
      <sheetName val="0104"/>
      <sheetName val="Reclass 04"/>
      <sheetName val="0104 DL"/>
      <sheetName val="07"/>
      <sheetName val="07DL"/>
      <sheetName val="08"/>
      <sheetName val="08 DL"/>
      <sheetName val="09"/>
      <sheetName val="09DL"/>
      <sheetName val="99"/>
      <sheetName val="99DL"/>
      <sheetName val="12 IS 092018 - Board_Post CAJEs"/>
    </sheetNames>
    <sheetDataSet>
      <sheetData sheetId="0">
        <row r="6">
          <cell r="A6" t="str">
            <v>For the Twelve Months Ended September 2018</v>
          </cell>
        </row>
      </sheetData>
      <sheetData sheetId="1">
        <row r="8">
          <cell r="R8" t="str">
            <v>SCRH</v>
          </cell>
        </row>
      </sheetData>
      <sheetData sheetId="2">
        <row r="38">
          <cell r="Q38">
            <v>37357168.82</v>
          </cell>
        </row>
      </sheetData>
      <sheetData sheetId="3"/>
      <sheetData sheetId="4"/>
      <sheetData sheetId="5"/>
      <sheetData sheetId="6"/>
      <sheetData sheetId="7">
        <row r="11">
          <cell r="F11">
            <v>2747121</v>
          </cell>
        </row>
      </sheetData>
      <sheetData sheetId="8">
        <row r="41">
          <cell r="Z41">
            <v>0</v>
          </cell>
        </row>
      </sheetData>
      <sheetData sheetId="9"/>
      <sheetData sheetId="10"/>
      <sheetData sheetId="11">
        <row r="13">
          <cell r="F13">
            <v>23939</v>
          </cell>
        </row>
      </sheetData>
      <sheetData sheetId="12"/>
      <sheetData sheetId="13"/>
      <sheetData sheetId="14"/>
      <sheetData sheetId="15">
        <row r="38">
          <cell r="T38">
            <v>0</v>
          </cell>
        </row>
      </sheetData>
      <sheetData sheetId="16"/>
      <sheetData sheetId="17"/>
      <sheetData sheetId="18">
        <row r="1">
          <cell r="A1" t="str">
            <v xml:space="preserve">Seattle Children's Healthcare System </v>
          </cell>
        </row>
      </sheetData>
      <sheetData sheetId="19"/>
      <sheetData sheetId="20"/>
      <sheetData sheetId="21">
        <row r="1">
          <cell r="A1" t="str">
            <v xml:space="preserve">Seattle Children's Healthcare System </v>
          </cell>
        </row>
      </sheetData>
      <sheetData sheetId="22"/>
      <sheetData sheetId="23"/>
      <sheetData sheetId="24">
        <row r="1">
          <cell r="A1" t="str">
            <v xml:space="preserve">Seattle Children's Healthcare System </v>
          </cell>
        </row>
      </sheetData>
      <sheetData sheetId="25"/>
      <sheetData sheetId="26"/>
      <sheetData sheetId="27"/>
      <sheetData sheetId="28"/>
      <sheetData sheetId="29">
        <row r="1">
          <cell r="A1" t="str">
            <v xml:space="preserve">Seattle Children's Healthcare System </v>
          </cell>
        </row>
      </sheetData>
      <sheetData sheetId="30"/>
      <sheetData sheetId="31"/>
      <sheetData sheetId="32"/>
      <sheetData sheetId="33"/>
      <sheetData sheetId="34">
        <row r="1">
          <cell r="A1" t="str">
            <v xml:space="preserve">Seattle Children's Healthcare System </v>
          </cell>
        </row>
        <row r="2">
          <cell r="A2" t="str">
            <v>Foundation</v>
          </cell>
        </row>
        <row r="3">
          <cell r="A3" t="str">
            <v xml:space="preserve">Income Statement Account </v>
          </cell>
        </row>
        <row r="4">
          <cell r="A4" t="str">
            <v>For the Twelve Months Ended September 2018</v>
          </cell>
        </row>
        <row r="7">
          <cell r="G7" t="str">
            <v>Year To Date</v>
          </cell>
        </row>
        <row r="8">
          <cell r="A8" t="str">
            <v>Account Nbr</v>
          </cell>
          <cell r="G8" t="str">
            <v>Budget</v>
          </cell>
        </row>
        <row r="10">
          <cell r="A10" t="str">
            <v>4300-0000</v>
          </cell>
          <cell r="G10">
            <v>57273000</v>
          </cell>
        </row>
        <row r="11">
          <cell r="A11" t="str">
            <v>4305-0000</v>
          </cell>
          <cell r="G11">
            <v>6479500</v>
          </cell>
        </row>
        <row r="12">
          <cell r="A12" t="str">
            <v>4310-0000</v>
          </cell>
          <cell r="G12">
            <v>16314500</v>
          </cell>
        </row>
        <row r="13">
          <cell r="A13" t="str">
            <v>4410-0000</v>
          </cell>
          <cell r="G13">
            <v>0</v>
          </cell>
        </row>
        <row r="14">
          <cell r="A14" t="str">
            <v>4600-0000</v>
          </cell>
          <cell r="G14">
            <v>0</v>
          </cell>
        </row>
        <row r="15">
          <cell r="A15" t="str">
            <v>4800-0000</v>
          </cell>
          <cell r="G15">
            <v>0</v>
          </cell>
        </row>
        <row r="16">
          <cell r="A16" t="str">
            <v>7000-0000</v>
          </cell>
          <cell r="G16">
            <v>7284222</v>
          </cell>
        </row>
        <row r="17">
          <cell r="A17" t="str">
            <v>7010-0000</v>
          </cell>
          <cell r="G17">
            <v>0</v>
          </cell>
        </row>
        <row r="18">
          <cell r="A18" t="str">
            <v>7020-0000</v>
          </cell>
          <cell r="G18">
            <v>0</v>
          </cell>
        </row>
        <row r="19">
          <cell r="A19" t="str">
            <v>7030-0000</v>
          </cell>
          <cell r="G19">
            <v>0</v>
          </cell>
        </row>
        <row r="20">
          <cell r="A20" t="str">
            <v>7080-0000</v>
          </cell>
          <cell r="G20">
            <v>0</v>
          </cell>
        </row>
        <row r="21">
          <cell r="A21" t="str">
            <v>7099-0000</v>
          </cell>
          <cell r="G21">
            <v>0</v>
          </cell>
        </row>
        <row r="22">
          <cell r="A22" t="str">
            <v>7100-0000</v>
          </cell>
          <cell r="G22">
            <v>2075220</v>
          </cell>
        </row>
        <row r="23">
          <cell r="A23" t="str">
            <v>7390-0000</v>
          </cell>
          <cell r="G23">
            <v>0</v>
          </cell>
        </row>
        <row r="24">
          <cell r="A24" t="str">
            <v>7410-0000</v>
          </cell>
          <cell r="G24">
            <v>479250.08</v>
          </cell>
        </row>
        <row r="25">
          <cell r="A25" t="str">
            <v>7419-0000</v>
          </cell>
          <cell r="G25">
            <v>0</v>
          </cell>
        </row>
        <row r="26">
          <cell r="A26" t="str">
            <v>7454-0000</v>
          </cell>
          <cell r="G26">
            <v>20917</v>
          </cell>
        </row>
        <row r="27">
          <cell r="A27" t="str">
            <v>7483-0000</v>
          </cell>
          <cell r="G27">
            <v>3700</v>
          </cell>
        </row>
        <row r="28">
          <cell r="A28" t="str">
            <v>7490-0000</v>
          </cell>
          <cell r="G28">
            <v>73099.960000000006</v>
          </cell>
        </row>
        <row r="29">
          <cell r="A29" t="str">
            <v>7493-0000</v>
          </cell>
          <cell r="G29">
            <v>110125.24</v>
          </cell>
        </row>
        <row r="30">
          <cell r="A30" t="str">
            <v>7494-0000</v>
          </cell>
          <cell r="G30">
            <v>2150</v>
          </cell>
        </row>
        <row r="31">
          <cell r="A31" t="str">
            <v>7499-0000</v>
          </cell>
          <cell r="G31">
            <v>5025.04</v>
          </cell>
        </row>
        <row r="32">
          <cell r="A32" t="str">
            <v>7570-0000</v>
          </cell>
          <cell r="G32">
            <v>13300</v>
          </cell>
        </row>
        <row r="33">
          <cell r="A33" t="str">
            <v>7600-0000</v>
          </cell>
          <cell r="G33">
            <v>73300</v>
          </cell>
        </row>
        <row r="34">
          <cell r="A34" t="str">
            <v>7620-0000</v>
          </cell>
          <cell r="G34">
            <v>28500</v>
          </cell>
        </row>
        <row r="35">
          <cell r="A35" t="str">
            <v>7625-0000</v>
          </cell>
          <cell r="G35">
            <v>0</v>
          </cell>
        </row>
        <row r="36">
          <cell r="A36" t="str">
            <v>7627-0000</v>
          </cell>
          <cell r="G36">
            <v>23900</v>
          </cell>
        </row>
        <row r="37">
          <cell r="A37" t="str">
            <v>7650-0000</v>
          </cell>
          <cell r="G37">
            <v>294300.03999999998</v>
          </cell>
        </row>
        <row r="38">
          <cell r="A38" t="str">
            <v>7680-0000</v>
          </cell>
          <cell r="G38">
            <v>1207250</v>
          </cell>
        </row>
        <row r="39">
          <cell r="A39" t="str">
            <v>7690-0000</v>
          </cell>
          <cell r="G39">
            <v>1297275.04</v>
          </cell>
        </row>
        <row r="40">
          <cell r="A40" t="str">
            <v>7695-0000</v>
          </cell>
          <cell r="G40">
            <v>700</v>
          </cell>
        </row>
        <row r="41">
          <cell r="A41" t="str">
            <v>7760-0000</v>
          </cell>
          <cell r="G41">
            <v>15399.96</v>
          </cell>
        </row>
        <row r="42">
          <cell r="A42" t="str">
            <v>7810-0000</v>
          </cell>
          <cell r="G42">
            <v>7500</v>
          </cell>
        </row>
        <row r="43">
          <cell r="A43" t="str">
            <v>7820-0000</v>
          </cell>
          <cell r="G43">
            <v>0</v>
          </cell>
        </row>
        <row r="44">
          <cell r="A44" t="str">
            <v>7900-0000</v>
          </cell>
          <cell r="G44">
            <v>0</v>
          </cell>
        </row>
        <row r="45">
          <cell r="A45" t="str">
            <v>7910-0000</v>
          </cell>
          <cell r="G45">
            <v>0</v>
          </cell>
        </row>
        <row r="46">
          <cell r="A46" t="str">
            <v>7920-0000</v>
          </cell>
          <cell r="G46">
            <v>200</v>
          </cell>
        </row>
        <row r="47">
          <cell r="A47" t="str">
            <v>7930-0000</v>
          </cell>
          <cell r="G47">
            <v>19800</v>
          </cell>
        </row>
        <row r="48">
          <cell r="A48" t="str">
            <v>7965-0000</v>
          </cell>
          <cell r="G48">
            <v>80500</v>
          </cell>
        </row>
        <row r="49">
          <cell r="A49" t="str">
            <v>7980-0000</v>
          </cell>
          <cell r="G49">
            <v>217975</v>
          </cell>
        </row>
        <row r="50">
          <cell r="A50" t="str">
            <v>7983-0000</v>
          </cell>
          <cell r="G50">
            <v>16350</v>
          </cell>
        </row>
        <row r="51">
          <cell r="A51" t="str">
            <v>7984-0000</v>
          </cell>
          <cell r="G51">
            <v>14420</v>
          </cell>
        </row>
        <row r="52">
          <cell r="A52" t="str">
            <v>7985-0000</v>
          </cell>
          <cell r="G52">
            <v>166640.04</v>
          </cell>
        </row>
        <row r="53">
          <cell r="A53" t="str">
            <v>7985-0200</v>
          </cell>
          <cell r="G53">
            <v>0</v>
          </cell>
        </row>
        <row r="54">
          <cell r="A54" t="str">
            <v>7985-0400</v>
          </cell>
          <cell r="G54">
            <v>0</v>
          </cell>
        </row>
        <row r="55">
          <cell r="A55" t="str">
            <v>7985-0600</v>
          </cell>
          <cell r="G55">
            <v>0</v>
          </cell>
        </row>
        <row r="56">
          <cell r="A56" t="str">
            <v>7985-0800</v>
          </cell>
          <cell r="G56">
            <v>0</v>
          </cell>
        </row>
        <row r="57">
          <cell r="A57" t="str">
            <v>7985-0900</v>
          </cell>
          <cell r="G57">
            <v>0</v>
          </cell>
        </row>
        <row r="58">
          <cell r="A58" t="str">
            <v>7985-1200</v>
          </cell>
          <cell r="G58">
            <v>0</v>
          </cell>
        </row>
        <row r="59">
          <cell r="A59" t="str">
            <v>7985-1400</v>
          </cell>
          <cell r="G59">
            <v>0</v>
          </cell>
        </row>
        <row r="60">
          <cell r="A60" t="str">
            <v>7985-1600</v>
          </cell>
          <cell r="G60">
            <v>0</v>
          </cell>
        </row>
        <row r="61">
          <cell r="A61" t="str">
            <v>7985-1800</v>
          </cell>
          <cell r="G61">
            <v>0</v>
          </cell>
        </row>
        <row r="62">
          <cell r="A62" t="str">
            <v>7988-0000</v>
          </cell>
          <cell r="G62">
            <v>93200</v>
          </cell>
        </row>
        <row r="63">
          <cell r="A63" t="str">
            <v>7990-0000</v>
          </cell>
          <cell r="G63">
            <v>943800</v>
          </cell>
        </row>
        <row r="64">
          <cell r="A64" t="str">
            <v>7999-0000</v>
          </cell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69">
          <cell r="G69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6">
          <cell r="G76">
            <v>0</v>
          </cell>
        </row>
        <row r="77">
          <cell r="G77">
            <v>0</v>
          </cell>
        </row>
        <row r="78">
          <cell r="G78">
            <v>0</v>
          </cell>
        </row>
        <row r="79">
          <cell r="G79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0</v>
          </cell>
        </row>
        <row r="85">
          <cell r="G85">
            <v>0</v>
          </cell>
        </row>
        <row r="86">
          <cell r="G86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</sheetData>
      <sheetData sheetId="35"/>
      <sheetData sheetId="36">
        <row r="1">
          <cell r="A1" t="str">
            <v xml:space="preserve">Seattle Children's Healthcare System </v>
          </cell>
        </row>
        <row r="2">
          <cell r="A2" t="str">
            <v xml:space="preserve">Guild Association </v>
          </cell>
        </row>
        <row r="3">
          <cell r="A3" t="str">
            <v xml:space="preserve">Income Statement Account </v>
          </cell>
        </row>
        <row r="4">
          <cell r="A4" t="str">
            <v>For the Twelve Months Ended September 2018</v>
          </cell>
        </row>
        <row r="7">
          <cell r="G7" t="str">
            <v>Year To Date</v>
          </cell>
        </row>
        <row r="8">
          <cell r="A8" t="str">
            <v>Account Nbr</v>
          </cell>
          <cell r="G8" t="str">
            <v>Budget</v>
          </cell>
        </row>
        <row r="10">
          <cell r="A10" t="str">
            <v>4300-0000</v>
          </cell>
          <cell r="G10">
            <v>6626000</v>
          </cell>
        </row>
        <row r="11">
          <cell r="A11" t="str">
            <v>4305-0000</v>
          </cell>
          <cell r="G11">
            <v>7981000</v>
          </cell>
        </row>
        <row r="12">
          <cell r="A12" t="str">
            <v>4310-0000</v>
          </cell>
          <cell r="G12">
            <v>57000</v>
          </cell>
        </row>
        <row r="13">
          <cell r="A13" t="str">
            <v>4600-0000</v>
          </cell>
          <cell r="G13">
            <v>0</v>
          </cell>
        </row>
        <row r="14">
          <cell r="A14" t="str">
            <v>5846-0000</v>
          </cell>
          <cell r="G14">
            <v>0</v>
          </cell>
        </row>
        <row r="15">
          <cell r="A15" t="str">
            <v>6210-0000</v>
          </cell>
          <cell r="G15">
            <v>0</v>
          </cell>
        </row>
        <row r="16">
          <cell r="A16" t="str">
            <v>7000-0000</v>
          </cell>
          <cell r="G16">
            <v>823409</v>
          </cell>
        </row>
        <row r="17">
          <cell r="A17" t="str">
            <v>7010-0000</v>
          </cell>
          <cell r="G17">
            <v>0</v>
          </cell>
        </row>
        <row r="18">
          <cell r="A18" t="str">
            <v>7020-0000</v>
          </cell>
          <cell r="G18">
            <v>0</v>
          </cell>
        </row>
        <row r="19">
          <cell r="A19" t="str">
            <v>7030-0000</v>
          </cell>
          <cell r="G19">
            <v>0</v>
          </cell>
        </row>
        <row r="20">
          <cell r="A20" t="str">
            <v>7080-0000</v>
          </cell>
          <cell r="G20">
            <v>0</v>
          </cell>
        </row>
        <row r="21">
          <cell r="A21" t="str">
            <v>7100-0000</v>
          </cell>
          <cell r="G21">
            <v>238789</v>
          </cell>
        </row>
        <row r="22">
          <cell r="A22" t="str">
            <v>7410-0000</v>
          </cell>
          <cell r="G22">
            <v>13300</v>
          </cell>
        </row>
        <row r="23">
          <cell r="A23" t="str">
            <v>7419-0000</v>
          </cell>
          <cell r="G23">
            <v>0</v>
          </cell>
        </row>
        <row r="24">
          <cell r="A24" t="str">
            <v>7454-0000</v>
          </cell>
          <cell r="G24">
            <v>0</v>
          </cell>
        </row>
        <row r="25">
          <cell r="A25" t="str">
            <v>7483-0000</v>
          </cell>
          <cell r="G25">
            <v>0</v>
          </cell>
        </row>
        <row r="26">
          <cell r="A26" t="str">
            <v>7490-0000</v>
          </cell>
          <cell r="G26">
            <v>11250</v>
          </cell>
        </row>
        <row r="27">
          <cell r="A27" t="str">
            <v>7493-0000</v>
          </cell>
          <cell r="G27">
            <v>11100</v>
          </cell>
        </row>
        <row r="28">
          <cell r="A28" t="str">
            <v>7494-0000</v>
          </cell>
          <cell r="G28">
            <v>250</v>
          </cell>
        </row>
        <row r="29">
          <cell r="A29" t="str">
            <v>7499-0000</v>
          </cell>
          <cell r="G29">
            <v>500</v>
          </cell>
        </row>
        <row r="30">
          <cell r="A30" t="str">
            <v>7570-0000</v>
          </cell>
          <cell r="G30">
            <v>10</v>
          </cell>
        </row>
        <row r="31">
          <cell r="A31" t="str">
            <v>7625-0000</v>
          </cell>
          <cell r="G31">
            <v>0</v>
          </cell>
        </row>
        <row r="32">
          <cell r="A32" t="str">
            <v>7627-0000</v>
          </cell>
          <cell r="G32">
            <v>56800</v>
          </cell>
        </row>
        <row r="33">
          <cell r="A33" t="str">
            <v>7650-0000</v>
          </cell>
          <cell r="G33">
            <v>40000</v>
          </cell>
        </row>
        <row r="34">
          <cell r="A34" t="str">
            <v>7680-0000</v>
          </cell>
          <cell r="G34">
            <v>40000</v>
          </cell>
        </row>
        <row r="35">
          <cell r="A35" t="str">
            <v>7690-0000</v>
          </cell>
          <cell r="G35">
            <v>77500</v>
          </cell>
        </row>
        <row r="36">
          <cell r="A36" t="str">
            <v>7695-0000</v>
          </cell>
          <cell r="G36">
            <v>0</v>
          </cell>
        </row>
        <row r="37">
          <cell r="A37" t="str">
            <v>7760-0000</v>
          </cell>
          <cell r="G37">
            <v>0</v>
          </cell>
        </row>
        <row r="38">
          <cell r="A38" t="str">
            <v>7810-0000</v>
          </cell>
          <cell r="G38">
            <v>8000</v>
          </cell>
        </row>
        <row r="39">
          <cell r="A39" t="str">
            <v>7900-0000</v>
          </cell>
          <cell r="G39">
            <v>0</v>
          </cell>
        </row>
        <row r="40">
          <cell r="A40" t="str">
            <v>7910-0000</v>
          </cell>
          <cell r="G40">
            <v>0</v>
          </cell>
        </row>
        <row r="41">
          <cell r="A41" t="str">
            <v>7920-0000</v>
          </cell>
          <cell r="G41">
            <v>3900</v>
          </cell>
        </row>
        <row r="42">
          <cell r="A42" t="str">
            <v>7930-0000</v>
          </cell>
          <cell r="G42">
            <v>3900</v>
          </cell>
        </row>
        <row r="43">
          <cell r="A43" t="str">
            <v>7965-0000</v>
          </cell>
          <cell r="G43">
            <v>19000</v>
          </cell>
        </row>
        <row r="44">
          <cell r="A44" t="str">
            <v>7980-0000</v>
          </cell>
          <cell r="G44">
            <v>28600</v>
          </cell>
        </row>
        <row r="45">
          <cell r="A45" t="str">
            <v>7984-0000</v>
          </cell>
          <cell r="G45">
            <v>0</v>
          </cell>
        </row>
        <row r="46">
          <cell r="A46" t="str">
            <v>7985-0000</v>
          </cell>
          <cell r="G46">
            <v>10499.96</v>
          </cell>
        </row>
        <row r="47">
          <cell r="A47" t="str">
            <v>7985-0200</v>
          </cell>
          <cell r="G47">
            <v>0</v>
          </cell>
        </row>
        <row r="48">
          <cell r="A48" t="str">
            <v>7985-0400</v>
          </cell>
          <cell r="G48">
            <v>0</v>
          </cell>
        </row>
        <row r="49">
          <cell r="A49" t="str">
            <v>7985-0600</v>
          </cell>
          <cell r="G49">
            <v>0</v>
          </cell>
        </row>
        <row r="50">
          <cell r="A50" t="str">
            <v>7985-0800</v>
          </cell>
          <cell r="G50">
            <v>0</v>
          </cell>
        </row>
        <row r="51">
          <cell r="A51" t="str">
            <v>7990-0000</v>
          </cell>
          <cell r="G51">
            <v>144700</v>
          </cell>
        </row>
        <row r="52">
          <cell r="A52" t="str">
            <v>7999-0000</v>
          </cell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</sheetData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tClose"/>
      <sheetName val="Instructions"/>
      <sheetName val="Report"/>
      <sheetName val="User"/>
      <sheetName val="Settings"/>
      <sheetName val="Orientation"/>
      <sheetName val="Delivery"/>
      <sheetName val="Hidden"/>
    </sheetNames>
    <sheetDataSet>
      <sheetData sheetId="0" refreshError="1"/>
      <sheetData sheetId="1"/>
      <sheetData sheetId="2"/>
      <sheetData sheetId="3" refreshError="1"/>
      <sheetData sheetId="4" refreshError="1">
        <row r="5">
          <cell r="D5">
            <v>10.71</v>
          </cell>
        </row>
        <row r="6">
          <cell r="I6" t="str">
            <v>Dept</v>
          </cell>
          <cell r="J6" t="str">
            <v>Entity</v>
          </cell>
        </row>
        <row r="14">
          <cell r="C14" t="str">
            <v>DEPT</v>
          </cell>
          <cell r="D14" t="str">
            <v>Entity</v>
          </cell>
          <cell r="E14" t="str">
            <v>=</v>
          </cell>
          <cell r="F14">
            <v>1</v>
          </cell>
          <cell r="H14" t="str">
            <v>OR</v>
          </cell>
        </row>
        <row r="15">
          <cell r="C15" t="str">
            <v>DEPT</v>
          </cell>
          <cell r="D15" t="str">
            <v>Entity</v>
          </cell>
          <cell r="E15" t="str">
            <v>=</v>
          </cell>
          <cell r="F15">
            <v>2</v>
          </cell>
          <cell r="H15" t="str">
            <v>OR</v>
          </cell>
        </row>
        <row r="16">
          <cell r="C16" t="str">
            <v>DEPT</v>
          </cell>
          <cell r="D16" t="str">
            <v>Entity</v>
          </cell>
          <cell r="E16" t="str">
            <v>=</v>
          </cell>
          <cell r="F16">
            <v>5</v>
          </cell>
        </row>
      </sheetData>
      <sheetData sheetId="5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CHRMC_FSDetail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Fixed</v>
          </cell>
        </row>
      </sheetData>
      <sheetData sheetId="6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7" refreshError="1">
        <row r="10">
          <cell r="D10" t="str">
            <v>DEPT</v>
          </cell>
          <cell r="E10" t="str">
            <v>CYA_YTD</v>
          </cell>
          <cell r="F10" t="str">
            <v>CYB_YTD</v>
          </cell>
          <cell r="G10" t="str">
            <v>LYA_YTD</v>
          </cell>
          <cell r="H10" t="str">
            <v>NYB1</v>
          </cell>
        </row>
        <row r="11">
          <cell r="D11">
            <v>11010</v>
          </cell>
          <cell r="E11">
            <v>7098197.7000000011</v>
          </cell>
          <cell r="F11">
            <v>6879332</v>
          </cell>
          <cell r="G11">
            <v>5842561.9900000002</v>
          </cell>
          <cell r="H11">
            <v>715692.2415940084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Balance Sheet"/>
      <sheetName val="Income Statement"/>
      <sheetName val="Statistical Data"/>
      <sheetName val="Ratios"/>
    </sheetNames>
    <sheetDataSet>
      <sheetData sheetId="0">
        <row r="2">
          <cell r="A2" t="str">
            <v>Children's Hospital &amp; Regional Medical Center, Seattle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4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7" width="11.75" style="180"/>
    <col min="8" max="8" width="32.08203125" style="180" customWidth="1"/>
    <col min="9" max="9" width="16.75" style="180" customWidth="1"/>
    <col min="10" max="10" width="63.58203125" style="180" customWidth="1"/>
    <col min="11" max="16384" width="11.75" style="180"/>
  </cols>
  <sheetData>
    <row r="1" spans="1:6" ht="12.75" customHeight="1" x14ac:dyDescent="0.25">
      <c r="A1" s="226" t="s">
        <v>969</v>
      </c>
      <c r="B1" s="227"/>
      <c r="C1" s="227"/>
      <c r="D1" s="227"/>
      <c r="E1" s="227"/>
      <c r="F1" s="227"/>
    </row>
    <row r="2" spans="1:6" ht="12.75" customHeight="1" x14ac:dyDescent="0.25">
      <c r="A2" s="227" t="s">
        <v>970</v>
      </c>
      <c r="B2" s="227"/>
      <c r="C2" s="228"/>
      <c r="D2" s="227"/>
      <c r="E2" s="227"/>
      <c r="F2" s="227"/>
    </row>
    <row r="3" spans="1:6" ht="12.75" customHeight="1" x14ac:dyDescent="0.25">
      <c r="A3" s="199"/>
      <c r="C3" s="229"/>
    </row>
    <row r="4" spans="1:6" ht="12.75" customHeight="1" x14ac:dyDescent="0.25">
      <c r="C4" s="229"/>
    </row>
    <row r="5" spans="1:6" ht="12.75" customHeight="1" x14ac:dyDescent="0.25">
      <c r="A5" s="199" t="s">
        <v>994</v>
      </c>
      <c r="C5" s="229"/>
    </row>
    <row r="6" spans="1:6" ht="12.75" customHeight="1" x14ac:dyDescent="0.25">
      <c r="A6" s="199" t="s">
        <v>0</v>
      </c>
      <c r="C6" s="229"/>
    </row>
    <row r="7" spans="1:6" ht="12.75" customHeight="1" x14ac:dyDescent="0.25">
      <c r="A7" s="199" t="s">
        <v>1</v>
      </c>
      <c r="C7" s="229"/>
    </row>
    <row r="8" spans="1:6" ht="12.75" customHeight="1" x14ac:dyDescent="0.25">
      <c r="C8" s="229"/>
    </row>
    <row r="9" spans="1:6" ht="12.75" customHeight="1" x14ac:dyDescent="0.25">
      <c r="C9" s="229"/>
    </row>
    <row r="10" spans="1:6" ht="12.75" customHeight="1" x14ac:dyDescent="0.25">
      <c r="A10" s="198" t="s">
        <v>965</v>
      </c>
      <c r="C10" s="229"/>
    </row>
    <row r="11" spans="1:6" ht="12.75" customHeight="1" x14ac:dyDescent="0.25">
      <c r="A11" s="198" t="s">
        <v>968</v>
      </c>
      <c r="C11" s="229"/>
    </row>
    <row r="12" spans="1:6" ht="12.75" customHeight="1" x14ac:dyDescent="0.25">
      <c r="C12" s="229"/>
    </row>
    <row r="13" spans="1:6" ht="12.75" customHeight="1" x14ac:dyDescent="0.25">
      <c r="C13" s="229"/>
    </row>
    <row r="14" spans="1:6" ht="12.75" customHeight="1" x14ac:dyDescent="0.25">
      <c r="A14" s="199" t="s">
        <v>2</v>
      </c>
      <c r="C14" s="229"/>
    </row>
    <row r="15" spans="1:6" ht="12.75" customHeight="1" x14ac:dyDescent="0.25">
      <c r="A15" s="199"/>
      <c r="C15" s="229"/>
    </row>
    <row r="16" spans="1:6" ht="12.75" customHeight="1" x14ac:dyDescent="0.25">
      <c r="A16" s="180" t="s">
        <v>996</v>
      </c>
      <c r="C16" s="229"/>
      <c r="F16" s="268" t="s">
        <v>995</v>
      </c>
    </row>
    <row r="17" spans="1:6" ht="12.75" customHeight="1" x14ac:dyDescent="0.25">
      <c r="A17" s="180" t="s">
        <v>967</v>
      </c>
      <c r="C17" s="268" t="s">
        <v>995</v>
      </c>
    </row>
    <row r="18" spans="1:6" ht="12.75" customHeight="1" x14ac:dyDescent="0.25">
      <c r="A18" s="223"/>
      <c r="C18" s="229"/>
    </row>
    <row r="19" spans="1:6" ht="12.75" customHeight="1" x14ac:dyDescent="0.25">
      <c r="C19" s="229"/>
    </row>
    <row r="20" spans="1:6" ht="12.75" customHeight="1" x14ac:dyDescent="0.25">
      <c r="A20" s="264" t="s">
        <v>971</v>
      </c>
      <c r="B20" s="264"/>
      <c r="C20" s="269"/>
      <c r="D20" s="264"/>
      <c r="E20" s="264"/>
      <c r="F20" s="264"/>
    </row>
    <row r="21" spans="1:6" ht="22.5" customHeight="1" x14ac:dyDescent="0.25">
      <c r="A21" s="199"/>
      <c r="C21" s="229"/>
    </row>
    <row r="22" spans="1:6" ht="12.6" customHeight="1" x14ac:dyDescent="0.25">
      <c r="A22" s="230" t="s">
        <v>991</v>
      </c>
      <c r="B22" s="231"/>
      <c r="C22" s="232"/>
      <c r="D22" s="230"/>
      <c r="E22" s="230"/>
    </row>
    <row r="23" spans="1:6" ht="12.6" customHeight="1" x14ac:dyDescent="0.25">
      <c r="B23" s="199"/>
      <c r="C23" s="229"/>
    </row>
    <row r="24" spans="1:6" ht="12.6" customHeight="1" x14ac:dyDescent="0.25">
      <c r="A24" s="233" t="s">
        <v>3</v>
      </c>
      <c r="C24" s="229"/>
    </row>
    <row r="25" spans="1:6" ht="12.6" customHeight="1" x14ac:dyDescent="0.25">
      <c r="A25" s="198" t="s">
        <v>972</v>
      </c>
      <c r="C25" s="229"/>
    </row>
    <row r="26" spans="1:6" ht="12.6" customHeight="1" x14ac:dyDescent="0.25">
      <c r="A26" s="199" t="s">
        <v>4</v>
      </c>
      <c r="C26" s="229"/>
    </row>
    <row r="27" spans="1:6" ht="12.6" customHeight="1" x14ac:dyDescent="0.25">
      <c r="A27" s="198" t="s">
        <v>973</v>
      </c>
      <c r="C27" s="229"/>
    </row>
    <row r="28" spans="1:6" ht="12.6" customHeight="1" x14ac:dyDescent="0.25">
      <c r="A28" s="199" t="s">
        <v>5</v>
      </c>
      <c r="C28" s="229"/>
    </row>
    <row r="29" spans="1:6" ht="12.6" customHeight="1" x14ac:dyDescent="0.25">
      <c r="A29" s="198"/>
      <c r="C29" s="229"/>
    </row>
    <row r="30" spans="1:6" ht="12.6" customHeight="1" x14ac:dyDescent="0.25">
      <c r="A30" s="180" t="s">
        <v>6</v>
      </c>
      <c r="C30" s="229"/>
    </row>
    <row r="31" spans="1:6" ht="12.6" customHeight="1" x14ac:dyDescent="0.25">
      <c r="A31" s="199" t="s">
        <v>7</v>
      </c>
      <c r="C31" s="229"/>
    </row>
    <row r="32" spans="1:6" ht="12.6" customHeight="1" x14ac:dyDescent="0.25">
      <c r="A32" s="199" t="s">
        <v>8</v>
      </c>
      <c r="C32" s="229"/>
    </row>
    <row r="33" spans="1:83" ht="12.6" customHeight="1" x14ac:dyDescent="0.25">
      <c r="A33" s="198" t="s">
        <v>974</v>
      </c>
      <c r="C33" s="229"/>
    </row>
    <row r="34" spans="1:83" ht="12.6" customHeight="1" x14ac:dyDescent="0.25">
      <c r="A34" s="199" t="s">
        <v>9</v>
      </c>
      <c r="C34" s="229"/>
    </row>
    <row r="35" spans="1:83" ht="12.6" customHeight="1" x14ac:dyDescent="0.25">
      <c r="A35" s="199"/>
      <c r="C35" s="229"/>
    </row>
    <row r="36" spans="1:83" ht="12.6" customHeight="1" x14ac:dyDescent="0.25">
      <c r="A36" s="198" t="s">
        <v>975</v>
      </c>
      <c r="C36" s="229"/>
    </row>
    <row r="37" spans="1:83" ht="12.6" customHeight="1" x14ac:dyDescent="0.25">
      <c r="A37" s="199" t="s">
        <v>966</v>
      </c>
      <c r="C37" s="229"/>
    </row>
    <row r="38" spans="1:83" ht="12" customHeight="1" x14ac:dyDescent="0.25">
      <c r="A38" s="198"/>
      <c r="C38" s="229"/>
    </row>
    <row r="39" spans="1:83" ht="12.6" customHeight="1" x14ac:dyDescent="0.25">
      <c r="A39" s="199"/>
      <c r="C39" s="229"/>
    </row>
    <row r="40" spans="1:83" ht="12" customHeight="1" x14ac:dyDescent="0.25">
      <c r="A40" s="199"/>
      <c r="C40" s="229"/>
    </row>
    <row r="41" spans="1:83" ht="12" customHeight="1" x14ac:dyDescent="0.25">
      <c r="A41" s="199"/>
      <c r="C41" s="234"/>
      <c r="D41" s="235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R41" s="234"/>
      <c r="S41" s="234"/>
      <c r="T41" s="234"/>
      <c r="U41" s="234"/>
      <c r="V41" s="234"/>
      <c r="W41" s="234"/>
      <c r="X41" s="234"/>
      <c r="Y41" s="234"/>
      <c r="Z41" s="234"/>
      <c r="AA41" s="234"/>
      <c r="AB41" s="234"/>
      <c r="AC41" s="234"/>
      <c r="AD41" s="234"/>
      <c r="AE41" s="234"/>
      <c r="AF41" s="234"/>
      <c r="AG41" s="234"/>
      <c r="AH41" s="234"/>
      <c r="AI41" s="234"/>
      <c r="AJ41" s="234"/>
      <c r="AK41" s="234"/>
      <c r="AL41" s="234"/>
      <c r="AM41" s="234"/>
      <c r="AN41" s="234"/>
      <c r="AO41" s="234"/>
      <c r="AP41" s="234"/>
      <c r="AQ41" s="234"/>
      <c r="AR41" s="234"/>
      <c r="AS41" s="234"/>
      <c r="AT41" s="234"/>
      <c r="AU41" s="234"/>
      <c r="AV41" s="234"/>
      <c r="AW41" s="234"/>
      <c r="AX41" s="234"/>
      <c r="AY41" s="234"/>
      <c r="AZ41" s="234"/>
      <c r="BA41" s="234"/>
      <c r="BB41" s="234"/>
      <c r="BC41" s="234"/>
      <c r="BD41" s="234"/>
      <c r="BE41" s="234"/>
      <c r="BF41" s="234"/>
      <c r="BG41" s="234"/>
      <c r="BH41" s="234"/>
      <c r="BI41" s="234"/>
      <c r="BJ41" s="234"/>
      <c r="BK41" s="234"/>
      <c r="BL41" s="234"/>
      <c r="BM41" s="234"/>
      <c r="BN41" s="234"/>
      <c r="BO41" s="234"/>
      <c r="BP41" s="234"/>
      <c r="BQ41" s="234"/>
      <c r="BR41" s="234"/>
      <c r="BS41" s="234"/>
      <c r="BT41" s="234"/>
      <c r="BU41" s="234"/>
      <c r="BV41" s="234"/>
      <c r="BW41" s="234"/>
      <c r="BX41" s="234"/>
      <c r="BY41" s="234"/>
      <c r="BZ41" s="234"/>
      <c r="CA41" s="234"/>
      <c r="CB41" s="234"/>
      <c r="CC41" s="234"/>
    </row>
    <row r="42" spans="1:83" ht="12" customHeight="1" x14ac:dyDescent="0.25">
      <c r="A42" s="199"/>
      <c r="C42" s="234"/>
      <c r="D42" s="235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34"/>
      <c r="Y42" s="234"/>
      <c r="Z42" s="234"/>
      <c r="AA42" s="234"/>
      <c r="AB42" s="234"/>
      <c r="AC42" s="234"/>
      <c r="AD42" s="234"/>
      <c r="AE42" s="234"/>
      <c r="AF42" s="234"/>
      <c r="AG42" s="234"/>
      <c r="AH42" s="234"/>
      <c r="AI42" s="234"/>
      <c r="AJ42" s="234"/>
      <c r="AK42" s="234"/>
      <c r="AL42" s="234"/>
      <c r="AM42" s="234"/>
      <c r="AN42" s="234"/>
      <c r="AO42" s="234"/>
      <c r="AP42" s="234"/>
      <c r="AQ42" s="234"/>
      <c r="AR42" s="234"/>
      <c r="AS42" s="234"/>
      <c r="AT42" s="234"/>
      <c r="AU42" s="234"/>
      <c r="AV42" s="234"/>
      <c r="AW42" s="234"/>
      <c r="AX42" s="234"/>
      <c r="AY42" s="234"/>
      <c r="AZ42" s="234"/>
      <c r="BA42" s="234"/>
      <c r="BB42" s="234"/>
      <c r="BC42" s="234"/>
      <c r="BD42" s="234"/>
      <c r="BE42" s="234"/>
      <c r="BF42" s="234"/>
      <c r="BG42" s="234"/>
      <c r="BH42" s="234"/>
      <c r="BI42" s="234"/>
      <c r="BJ42" s="234"/>
      <c r="BK42" s="234"/>
      <c r="BL42" s="234"/>
      <c r="BM42" s="234"/>
      <c r="BN42" s="234"/>
      <c r="BO42" s="234"/>
      <c r="BP42" s="234"/>
      <c r="BQ42" s="234"/>
      <c r="BR42" s="234"/>
      <c r="BS42" s="234"/>
      <c r="BT42" s="234"/>
      <c r="BU42" s="234"/>
      <c r="BV42" s="234"/>
      <c r="BW42" s="234"/>
      <c r="BX42" s="234"/>
      <c r="BY42" s="234"/>
      <c r="BZ42" s="234"/>
      <c r="CA42" s="234"/>
      <c r="CB42" s="234"/>
      <c r="CC42" s="234"/>
      <c r="CD42" s="236"/>
    </row>
    <row r="43" spans="1:83" ht="12" customHeight="1" x14ac:dyDescent="0.25">
      <c r="A43" s="199"/>
      <c r="C43" s="229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37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931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9">
        <v>171364395.94999999</v>
      </c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/>
      <c r="C48" s="238">
        <f>ROUND(((B48/CE61)*C61),0)</f>
        <v>0</v>
      </c>
      <c r="D48" s="238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171364395.94999999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9">
        <v>95954790.120000005</v>
      </c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95954790.120000005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39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931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37" t="s">
        <v>220</v>
      </c>
      <c r="S58" s="240" t="s">
        <v>221</v>
      </c>
      <c r="T58" s="240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0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949</v>
      </c>
      <c r="AU58" s="170" t="s">
        <v>228</v>
      </c>
      <c r="AV58" s="240" t="s">
        <v>221</v>
      </c>
      <c r="AW58" s="240" t="s">
        <v>221</v>
      </c>
      <c r="AX58" s="240" t="s">
        <v>221</v>
      </c>
      <c r="AY58" s="170" t="s">
        <v>231</v>
      </c>
      <c r="AZ58" s="170" t="s">
        <v>231</v>
      </c>
      <c r="BA58" s="240" t="s">
        <v>221</v>
      </c>
      <c r="BB58" s="240" t="s">
        <v>221</v>
      </c>
      <c r="BC58" s="240" t="s">
        <v>221</v>
      </c>
      <c r="BD58" s="240" t="s">
        <v>221</v>
      </c>
      <c r="BE58" s="170" t="s">
        <v>232</v>
      </c>
      <c r="BF58" s="240" t="s">
        <v>221</v>
      </c>
      <c r="BG58" s="240" t="s">
        <v>221</v>
      </c>
      <c r="BH58" s="240" t="s">
        <v>221</v>
      </c>
      <c r="BI58" s="240" t="s">
        <v>221</v>
      </c>
      <c r="BJ58" s="240" t="s">
        <v>221</v>
      </c>
      <c r="BK58" s="240" t="s">
        <v>221</v>
      </c>
      <c r="BL58" s="240" t="s">
        <v>221</v>
      </c>
      <c r="BM58" s="240" t="s">
        <v>221</v>
      </c>
      <c r="BN58" s="240" t="s">
        <v>221</v>
      </c>
      <c r="BO58" s="240" t="s">
        <v>221</v>
      </c>
      <c r="BP58" s="240" t="s">
        <v>221</v>
      </c>
      <c r="BQ58" s="240" t="s">
        <v>221</v>
      </c>
      <c r="BR58" s="240" t="s">
        <v>221</v>
      </c>
      <c r="BS58" s="240" t="s">
        <v>221</v>
      </c>
      <c r="BT58" s="240" t="s">
        <v>221</v>
      </c>
      <c r="BU58" s="240" t="s">
        <v>221</v>
      </c>
      <c r="BV58" s="240" t="s">
        <v>221</v>
      </c>
      <c r="BW58" s="240" t="s">
        <v>221</v>
      </c>
      <c r="BX58" s="240" t="s">
        <v>221</v>
      </c>
      <c r="BY58" s="240" t="s">
        <v>221</v>
      </c>
      <c r="BZ58" s="240" t="s">
        <v>221</v>
      </c>
      <c r="CA58" s="240" t="s">
        <v>221</v>
      </c>
      <c r="CB58" s="240" t="s">
        <v>221</v>
      </c>
      <c r="CC58" s="240" t="s">
        <v>221</v>
      </c>
      <c r="CD58" s="240" t="s">
        <v>221</v>
      </c>
      <c r="CE58" s="240" t="s">
        <v>221</v>
      </c>
    </row>
    <row r="59" spans="1:84" ht="12.6" customHeight="1" x14ac:dyDescent="0.25">
      <c r="A59" s="171" t="s">
        <v>233</v>
      </c>
      <c r="B59" s="175"/>
      <c r="C59" s="184">
        <v>26349</v>
      </c>
      <c r="D59" s="184"/>
      <c r="E59" s="184">
        <v>64221</v>
      </c>
      <c r="F59" s="184"/>
      <c r="G59" s="184">
        <v>3304</v>
      </c>
      <c r="H59" s="184">
        <v>12292</v>
      </c>
      <c r="I59" s="184"/>
      <c r="J59" s="184"/>
      <c r="K59" s="184"/>
      <c r="L59" s="184"/>
      <c r="M59" s="184"/>
      <c r="N59" s="184"/>
      <c r="O59" s="184"/>
      <c r="P59" s="185">
        <v>1629865</v>
      </c>
      <c r="Q59" s="185">
        <v>1304740</v>
      </c>
      <c r="R59" s="185">
        <v>2289260</v>
      </c>
      <c r="S59" s="241"/>
      <c r="T59" s="241"/>
      <c r="U59" s="220">
        <v>1348167</v>
      </c>
      <c r="V59" s="185">
        <v>38896</v>
      </c>
      <c r="W59" s="185">
        <v>177339</v>
      </c>
      <c r="X59" s="185">
        <v>70089</v>
      </c>
      <c r="Y59" s="185">
        <v>169839</v>
      </c>
      <c r="Z59" s="185">
        <v>0</v>
      </c>
      <c r="AA59" s="185">
        <v>6140</v>
      </c>
      <c r="AB59" s="241"/>
      <c r="AC59" s="185">
        <v>211798</v>
      </c>
      <c r="AD59" s="185">
        <v>12851</v>
      </c>
      <c r="AE59" s="185">
        <v>168042</v>
      </c>
      <c r="AF59" s="185">
        <v>46771</v>
      </c>
      <c r="AG59" s="185">
        <v>50644</v>
      </c>
      <c r="AH59" s="185">
        <v>568</v>
      </c>
      <c r="AI59" s="185"/>
      <c r="AJ59" s="185">
        <v>326826</v>
      </c>
      <c r="AK59" s="185">
        <v>67850</v>
      </c>
      <c r="AL59" s="185">
        <v>50189</v>
      </c>
      <c r="AM59" s="185">
        <v>0</v>
      </c>
      <c r="AN59" s="185"/>
      <c r="AO59" s="185"/>
      <c r="AP59" s="185"/>
      <c r="AQ59" s="185"/>
      <c r="AR59" s="185">
        <v>55812</v>
      </c>
      <c r="AS59" s="185"/>
      <c r="AT59" s="185">
        <v>62</v>
      </c>
      <c r="AU59" s="185"/>
      <c r="AV59" s="241"/>
      <c r="AW59" s="241"/>
      <c r="AX59" s="241"/>
      <c r="AY59" s="185">
        <v>1092264</v>
      </c>
      <c r="AZ59" s="185">
        <v>1092264</v>
      </c>
      <c r="BA59" s="241"/>
      <c r="BB59" s="241"/>
      <c r="BC59" s="241"/>
      <c r="BD59" s="241"/>
      <c r="BE59" s="185">
        <v>1380937.6146800872</v>
      </c>
      <c r="BF59" s="241"/>
      <c r="BG59" s="241"/>
      <c r="BH59" s="241"/>
      <c r="BI59" s="241"/>
      <c r="BJ59" s="241"/>
      <c r="BK59" s="241"/>
      <c r="BL59" s="241"/>
      <c r="BM59" s="241"/>
      <c r="BN59" s="241"/>
      <c r="BO59" s="241"/>
      <c r="BP59" s="241"/>
      <c r="BQ59" s="241"/>
      <c r="BR59" s="241"/>
      <c r="BS59" s="241"/>
      <c r="BT59" s="241"/>
      <c r="BU59" s="241"/>
      <c r="BV59" s="241"/>
      <c r="BW59" s="241"/>
      <c r="BX59" s="241"/>
      <c r="BY59" s="241"/>
      <c r="BZ59" s="241"/>
      <c r="CA59" s="241"/>
      <c r="CB59" s="241"/>
      <c r="CC59" s="241"/>
      <c r="CD59" s="242"/>
      <c r="CE59" s="195"/>
    </row>
    <row r="60" spans="1:84" ht="12.6" customHeight="1" x14ac:dyDescent="0.25">
      <c r="A60" s="243" t="s">
        <v>234</v>
      </c>
      <c r="B60" s="175"/>
      <c r="C60" s="186">
        <v>440.87528900076921</v>
      </c>
      <c r="D60" s="186">
        <v>0</v>
      </c>
      <c r="E60" s="186">
        <v>563.02075844120191</v>
      </c>
      <c r="F60" s="186">
        <v>0</v>
      </c>
      <c r="G60" s="186">
        <v>34.969684074567304</v>
      </c>
      <c r="H60" s="186">
        <v>135.85299381812499</v>
      </c>
      <c r="I60" s="186">
        <v>0</v>
      </c>
      <c r="J60" s="186">
        <v>0</v>
      </c>
      <c r="K60" s="186">
        <v>0</v>
      </c>
      <c r="L60" s="186">
        <v>0</v>
      </c>
      <c r="M60" s="186">
        <v>0</v>
      </c>
      <c r="N60" s="186">
        <v>0</v>
      </c>
      <c r="O60" s="186">
        <v>0</v>
      </c>
      <c r="P60" s="186">
        <v>197.73794511677886</v>
      </c>
      <c r="Q60" s="186">
        <v>69.81113457990385</v>
      </c>
      <c r="R60" s="186">
        <v>22.477237208413463</v>
      </c>
      <c r="S60" s="186">
        <v>93.327837122692316</v>
      </c>
      <c r="T60" s="186">
        <v>14.692797816442306</v>
      </c>
      <c r="U60" s="186">
        <v>215.45422856879807</v>
      </c>
      <c r="V60" s="186">
        <v>56.790742401210828</v>
      </c>
      <c r="W60" s="186">
        <v>9.3642263955288438</v>
      </c>
      <c r="X60" s="186">
        <v>10.321781016442308</v>
      </c>
      <c r="Y60" s="186">
        <v>103.90500204512098</v>
      </c>
      <c r="Z60" s="186">
        <v>4.4984276538461543E-2</v>
      </c>
      <c r="AA60" s="186">
        <v>4.0959493603365384</v>
      </c>
      <c r="AB60" s="186">
        <v>188.93410824529323</v>
      </c>
      <c r="AC60" s="186">
        <v>128.21707271913462</v>
      </c>
      <c r="AD60" s="186">
        <v>34.306853882932685</v>
      </c>
      <c r="AE60" s="186">
        <v>68.117153632980759</v>
      </c>
      <c r="AF60" s="186">
        <v>111.91438237606368</v>
      </c>
      <c r="AG60" s="186">
        <v>124.06569752389422</v>
      </c>
      <c r="AH60" s="186">
        <v>26.128417485096151</v>
      </c>
      <c r="AI60" s="186">
        <v>0</v>
      </c>
      <c r="AJ60" s="186">
        <v>884.97917136038473</v>
      </c>
      <c r="AK60" s="186">
        <v>23.291976545721155</v>
      </c>
      <c r="AL60" s="186">
        <v>19.225307530288465</v>
      </c>
      <c r="AM60" s="186">
        <v>28.932992713365383</v>
      </c>
      <c r="AN60" s="186">
        <v>0</v>
      </c>
      <c r="AO60" s="186">
        <v>0</v>
      </c>
      <c r="AP60" s="186">
        <v>0</v>
      </c>
      <c r="AQ60" s="186">
        <v>7.0407269951923077E-2</v>
      </c>
      <c r="AR60" s="186">
        <v>65.711088843086543</v>
      </c>
      <c r="AS60" s="186">
        <v>0</v>
      </c>
      <c r="AT60" s="186">
        <v>4.3117860256730776</v>
      </c>
      <c r="AU60" s="186">
        <v>0</v>
      </c>
      <c r="AV60" s="186">
        <v>53.505362160432689</v>
      </c>
      <c r="AW60" s="186">
        <v>1045.7790074429133</v>
      </c>
      <c r="AX60" s="186">
        <v>0</v>
      </c>
      <c r="AY60" s="186">
        <v>192.43877219187499</v>
      </c>
      <c r="AZ60" s="186">
        <v>2.490883668173077</v>
      </c>
      <c r="BA60" s="186">
        <v>3.1612808900480767</v>
      </c>
      <c r="BB60" s="186">
        <v>120.91489942322114</v>
      </c>
      <c r="BC60" s="186">
        <v>6.5225020025961538</v>
      </c>
      <c r="BD60" s="186">
        <v>26.787820072884614</v>
      </c>
      <c r="BE60" s="186">
        <v>200.88570786229326</v>
      </c>
      <c r="BF60" s="186">
        <v>155.7756358491346</v>
      </c>
      <c r="BG60" s="186">
        <v>24.517057141120016</v>
      </c>
      <c r="BH60" s="186">
        <v>221.21941527750212</v>
      </c>
      <c r="BI60" s="186">
        <v>45.190519733028843</v>
      </c>
      <c r="BJ60" s="186">
        <v>55.436784737548066</v>
      </c>
      <c r="BK60" s="186">
        <v>191.7233157489423</v>
      </c>
      <c r="BL60" s="186">
        <v>105.61902525682693</v>
      </c>
      <c r="BM60" s="186">
        <v>0</v>
      </c>
      <c r="BN60" s="186">
        <v>91.911283734230778</v>
      </c>
      <c r="BO60" s="186">
        <v>13.162403874855766</v>
      </c>
      <c r="BP60" s="186">
        <v>34.573640761009614</v>
      </c>
      <c r="BQ60" s="186">
        <v>42.959501805384626</v>
      </c>
      <c r="BR60" s="186">
        <v>73.433898573846164</v>
      </c>
      <c r="BS60" s="186">
        <v>5.7102259592307689</v>
      </c>
      <c r="BT60" s="186">
        <v>7.4657756552884615</v>
      </c>
      <c r="BU60" s="186">
        <v>2.8431745793269232</v>
      </c>
      <c r="BV60" s="186">
        <v>54.784807692692304</v>
      </c>
      <c r="BW60" s="186">
        <v>25.204429075673076</v>
      </c>
      <c r="BX60" s="186">
        <v>102.37927850938932</v>
      </c>
      <c r="BY60" s="186">
        <v>62.192664729903846</v>
      </c>
      <c r="BZ60" s="186">
        <v>81.312402773317288</v>
      </c>
      <c r="CA60" s="186">
        <v>0</v>
      </c>
      <c r="CB60" s="186">
        <v>0</v>
      </c>
      <c r="CC60" s="186">
        <v>252.54076322846151</v>
      </c>
      <c r="CD60" s="242" t="s">
        <v>221</v>
      </c>
      <c r="CE60" s="244">
        <f t="shared" ref="CE60:CE70" si="0">SUM(C60:CD60)</f>
        <v>6983.3912478078864</v>
      </c>
    </row>
    <row r="61" spans="1:84" ht="12.6" customHeight="1" x14ac:dyDescent="0.25">
      <c r="A61" s="171" t="s">
        <v>235</v>
      </c>
      <c r="B61" s="175"/>
      <c r="C61" s="184">
        <v>39127082.140000001</v>
      </c>
      <c r="D61" s="184">
        <v>0</v>
      </c>
      <c r="E61" s="184">
        <v>49197781.850000009</v>
      </c>
      <c r="F61" s="184">
        <v>0</v>
      </c>
      <c r="G61" s="184">
        <v>3221821.9800000004</v>
      </c>
      <c r="H61" s="184">
        <v>9180913.8499999996</v>
      </c>
      <c r="I61" s="184">
        <v>0</v>
      </c>
      <c r="J61" s="184">
        <v>0</v>
      </c>
      <c r="K61" s="184">
        <v>0</v>
      </c>
      <c r="L61" s="184">
        <v>0</v>
      </c>
      <c r="M61" s="184">
        <v>0</v>
      </c>
      <c r="N61" s="184">
        <v>0</v>
      </c>
      <c r="O61" s="184">
        <v>0</v>
      </c>
      <c r="P61" s="184">
        <v>18329304.16</v>
      </c>
      <c r="Q61" s="184">
        <v>7726690.7299999995</v>
      </c>
      <c r="R61" s="184">
        <v>1485090.4000000001</v>
      </c>
      <c r="S61" s="184">
        <v>5672865.3700000001</v>
      </c>
      <c r="T61" s="184">
        <v>771265.80000000016</v>
      </c>
      <c r="U61" s="184">
        <v>20087970.109999999</v>
      </c>
      <c r="V61" s="184">
        <v>5230495.05</v>
      </c>
      <c r="W61" s="184">
        <v>1173984.8500000001</v>
      </c>
      <c r="X61" s="184">
        <v>1164817.6300000001</v>
      </c>
      <c r="Y61" s="184">
        <v>9929428.9900000021</v>
      </c>
      <c r="Z61" s="184">
        <v>5555.04</v>
      </c>
      <c r="AA61" s="184">
        <v>480631.19999999995</v>
      </c>
      <c r="AB61" s="184">
        <v>19511439.059999999</v>
      </c>
      <c r="AC61" s="184">
        <v>11022059.310000001</v>
      </c>
      <c r="AD61" s="184">
        <v>3573164.6999999997</v>
      </c>
      <c r="AE61" s="184">
        <v>5702915.8900000006</v>
      </c>
      <c r="AF61" s="184">
        <v>9744031.5099999998</v>
      </c>
      <c r="AG61" s="184">
        <v>11965544.700000001</v>
      </c>
      <c r="AH61" s="184">
        <v>3158199.9000000004</v>
      </c>
      <c r="AI61" s="184">
        <v>0</v>
      </c>
      <c r="AJ61" s="184">
        <v>84487649.929999977</v>
      </c>
      <c r="AK61" s="184">
        <v>2162176.75</v>
      </c>
      <c r="AL61" s="184">
        <v>1794375.29</v>
      </c>
      <c r="AM61" s="184">
        <v>2008540.5400000003</v>
      </c>
      <c r="AN61" s="184">
        <v>0</v>
      </c>
      <c r="AO61" s="184">
        <v>0</v>
      </c>
      <c r="AP61" s="184">
        <v>0</v>
      </c>
      <c r="AQ61" s="184">
        <v>9874.43</v>
      </c>
      <c r="AR61" s="184">
        <v>5444828.5</v>
      </c>
      <c r="AS61" s="184">
        <v>0</v>
      </c>
      <c r="AT61" s="184">
        <v>499878.43</v>
      </c>
      <c r="AU61" s="184">
        <v>0</v>
      </c>
      <c r="AV61" s="184">
        <v>4097793.64</v>
      </c>
      <c r="AW61" s="184">
        <v>77036410.25</v>
      </c>
      <c r="AX61" s="184">
        <v>0</v>
      </c>
      <c r="AY61" s="184">
        <v>11395014.579999998</v>
      </c>
      <c r="AZ61" s="184">
        <v>111519.44</v>
      </c>
      <c r="BA61" s="184">
        <v>154122.40000000002</v>
      </c>
      <c r="BB61" s="184">
        <v>9346809.9100000001</v>
      </c>
      <c r="BC61" s="184">
        <v>280047.98</v>
      </c>
      <c r="BD61" s="184">
        <v>2015480.95</v>
      </c>
      <c r="BE61" s="184">
        <v>14852413.139999999</v>
      </c>
      <c r="BF61" s="184">
        <v>7451036.1899999985</v>
      </c>
      <c r="BG61" s="184">
        <v>1623163.1500000001</v>
      </c>
      <c r="BH61" s="184">
        <v>26485596.149999999</v>
      </c>
      <c r="BI61" s="184">
        <v>5826750.1000000015</v>
      </c>
      <c r="BJ61" s="184">
        <v>5709411.129999999</v>
      </c>
      <c r="BK61" s="184">
        <v>13633351.970000001</v>
      </c>
      <c r="BL61" s="184">
        <v>5756849.1500000004</v>
      </c>
      <c r="BM61" s="184">
        <v>0</v>
      </c>
      <c r="BN61" s="184">
        <v>17698307.950000003</v>
      </c>
      <c r="BO61" s="184">
        <v>1268755.9899999998</v>
      </c>
      <c r="BP61" s="184">
        <v>2960894.4299999997</v>
      </c>
      <c r="BQ61" s="184">
        <v>4520814.1500000004</v>
      </c>
      <c r="BR61" s="184">
        <v>8104179.1100000003</v>
      </c>
      <c r="BS61" s="184">
        <v>386380.5</v>
      </c>
      <c r="BT61" s="184">
        <v>703453.20000000007</v>
      </c>
      <c r="BU61" s="184">
        <v>252991.29000000004</v>
      </c>
      <c r="BV61" s="184">
        <v>3713435.6799999997</v>
      </c>
      <c r="BW61" s="184">
        <v>2210344.15</v>
      </c>
      <c r="BX61" s="184">
        <v>10831540.929999996</v>
      </c>
      <c r="BY61" s="184">
        <v>6338649.1299999999</v>
      </c>
      <c r="BZ61" s="184">
        <v>5718191.8899999997</v>
      </c>
      <c r="CA61" s="184">
        <v>0</v>
      </c>
      <c r="CB61" s="184">
        <v>0</v>
      </c>
      <c r="CC61" s="184">
        <v>51973994.07</v>
      </c>
      <c r="CD61" s="242" t="s">
        <v>221</v>
      </c>
      <c r="CE61" s="195">
        <f t="shared" si="0"/>
        <v>636328080.68999982</v>
      </c>
      <c r="CF61" s="245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0</v>
      </c>
      <c r="AC62" s="195">
        <f t="shared" si="1"/>
        <v>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0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0</v>
      </c>
      <c r="BE62" s="195">
        <f t="shared" si="1"/>
        <v>0</v>
      </c>
      <c r="BF62" s="195">
        <f t="shared" si="1"/>
        <v>0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0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0</v>
      </c>
      <c r="BY62" s="195">
        <f t="shared" si="2"/>
        <v>0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2" t="s">
        <v>221</v>
      </c>
      <c r="CE62" s="195">
        <f t="shared" si="0"/>
        <v>0</v>
      </c>
      <c r="CF62" s="245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2" t="s">
        <v>221</v>
      </c>
      <c r="CE63" s="195">
        <f t="shared" si="0"/>
        <v>0</v>
      </c>
      <c r="CF63" s="245"/>
    </row>
    <row r="64" spans="1:84" ht="12.6" customHeight="1" x14ac:dyDescent="0.25">
      <c r="A64" s="171" t="s">
        <v>237</v>
      </c>
      <c r="B64" s="175"/>
      <c r="C64" s="184">
        <v>3957814.2900000005</v>
      </c>
      <c r="D64" s="184">
        <v>0</v>
      </c>
      <c r="E64" s="184">
        <v>4227556.0900000008</v>
      </c>
      <c r="F64" s="184">
        <v>0</v>
      </c>
      <c r="G64" s="184">
        <v>173346.37</v>
      </c>
      <c r="H64" s="184">
        <v>282253.45</v>
      </c>
      <c r="I64" s="184">
        <v>0</v>
      </c>
      <c r="J64" s="184">
        <v>0</v>
      </c>
      <c r="K64" s="184">
        <v>0</v>
      </c>
      <c r="L64" s="184">
        <v>0</v>
      </c>
      <c r="M64" s="184">
        <v>0</v>
      </c>
      <c r="N64" s="184">
        <v>0</v>
      </c>
      <c r="O64" s="184">
        <v>0</v>
      </c>
      <c r="P64" s="184">
        <v>23621251.949999992</v>
      </c>
      <c r="Q64" s="184">
        <v>354006.89</v>
      </c>
      <c r="R64" s="184">
        <v>1708087.24</v>
      </c>
      <c r="S64" s="184">
        <v>960974.4299999997</v>
      </c>
      <c r="T64" s="184">
        <v>159181.23000000001</v>
      </c>
      <c r="U64" s="184">
        <v>9216110.4999999981</v>
      </c>
      <c r="V64" s="184">
        <v>262587.96000000002</v>
      </c>
      <c r="W64" s="184">
        <v>80887.23</v>
      </c>
      <c r="X64" s="184">
        <v>65931.450000000012</v>
      </c>
      <c r="Y64" s="184">
        <v>5097982.46</v>
      </c>
      <c r="Z64" s="184">
        <v>2329.1200000000003</v>
      </c>
      <c r="AA64" s="184">
        <v>683527.18</v>
      </c>
      <c r="AB64" s="184">
        <v>85609220.48999998</v>
      </c>
      <c r="AC64" s="184">
        <v>3811463.62</v>
      </c>
      <c r="AD64" s="184">
        <v>1221187.6700000002</v>
      </c>
      <c r="AE64" s="184">
        <v>171385.97</v>
      </c>
      <c r="AF64" s="184">
        <v>258108.97</v>
      </c>
      <c r="AG64" s="184">
        <v>1662153.8599999999</v>
      </c>
      <c r="AH64" s="184">
        <v>74998.5</v>
      </c>
      <c r="AI64" s="184">
        <v>0</v>
      </c>
      <c r="AJ64" s="184">
        <v>3972254.3100000005</v>
      </c>
      <c r="AK64" s="184">
        <v>129081.07</v>
      </c>
      <c r="AL64" s="184">
        <v>34033.819999999992</v>
      </c>
      <c r="AM64" s="184">
        <v>9544.26</v>
      </c>
      <c r="AN64" s="184">
        <v>0</v>
      </c>
      <c r="AO64" s="184">
        <v>0</v>
      </c>
      <c r="AP64" s="184">
        <v>0</v>
      </c>
      <c r="AQ64" s="184">
        <v>9495.65</v>
      </c>
      <c r="AR64" s="184">
        <v>6586611.3599999994</v>
      </c>
      <c r="AS64" s="184">
        <v>0</v>
      </c>
      <c r="AT64" s="184">
        <v>13550.800000000001</v>
      </c>
      <c r="AU64" s="184">
        <v>0</v>
      </c>
      <c r="AV64" s="184">
        <v>821840.03999999992</v>
      </c>
      <c r="AW64" s="184">
        <v>20355360.539999995</v>
      </c>
      <c r="AX64" s="184">
        <v>802121.61999999988</v>
      </c>
      <c r="AY64" s="184">
        <v>3675916.29</v>
      </c>
      <c r="AZ64" s="184">
        <v>87181.840000000011</v>
      </c>
      <c r="BA64" s="184">
        <v>79210.100000000006</v>
      </c>
      <c r="BB64" s="184">
        <v>239986.43</v>
      </c>
      <c r="BC64" s="184">
        <v>0</v>
      </c>
      <c r="BD64" s="184">
        <v>337636.65</v>
      </c>
      <c r="BE64" s="184">
        <v>1125212.49</v>
      </c>
      <c r="BF64" s="184">
        <v>1061184.99</v>
      </c>
      <c r="BG64" s="184">
        <v>59644.450000000012</v>
      </c>
      <c r="BH64" s="184">
        <v>1145221.7800000003</v>
      </c>
      <c r="BI64" s="184">
        <v>50659.580000000009</v>
      </c>
      <c r="BJ64" s="184">
        <v>75276.989999999991</v>
      </c>
      <c r="BK64" s="184">
        <v>231144.75</v>
      </c>
      <c r="BL64" s="184">
        <v>59278.299999999996</v>
      </c>
      <c r="BM64" s="184">
        <v>0</v>
      </c>
      <c r="BN64" s="184">
        <v>249890.59</v>
      </c>
      <c r="BO64" s="184">
        <v>720190.64000000013</v>
      </c>
      <c r="BP64" s="184">
        <v>128379.36999999998</v>
      </c>
      <c r="BQ64" s="184">
        <v>177043.29</v>
      </c>
      <c r="BR64" s="184">
        <v>208119.72000000006</v>
      </c>
      <c r="BS64" s="184">
        <v>4702.630000000001</v>
      </c>
      <c r="BT64" s="184">
        <v>21774.34</v>
      </c>
      <c r="BU64" s="184">
        <v>1573.19</v>
      </c>
      <c r="BV64" s="184">
        <v>23077.46</v>
      </c>
      <c r="BW64" s="184">
        <v>690827.98</v>
      </c>
      <c r="BX64" s="184">
        <v>271278.90999999997</v>
      </c>
      <c r="BY64" s="184">
        <v>66926.829999999987</v>
      </c>
      <c r="BZ64" s="184">
        <v>6290.9299999999994</v>
      </c>
      <c r="CA64" s="184">
        <v>0</v>
      </c>
      <c r="CB64" s="184">
        <v>0</v>
      </c>
      <c r="CC64" s="184">
        <v>498353.58999999921</v>
      </c>
      <c r="CD64" s="242" t="s">
        <v>221</v>
      </c>
      <c r="CE64" s="195">
        <f t="shared" si="0"/>
        <v>187692224.50000003</v>
      </c>
      <c r="CF64" s="245"/>
    </row>
    <row r="65" spans="1:84" ht="12.6" customHeight="1" x14ac:dyDescent="0.25">
      <c r="A65" s="171" t="s">
        <v>238</v>
      </c>
      <c r="B65" s="175"/>
      <c r="C65" s="184">
        <v>1131.1200000000001</v>
      </c>
      <c r="D65" s="184">
        <v>0</v>
      </c>
      <c r="E65" s="184">
        <v>0</v>
      </c>
      <c r="F65" s="184">
        <v>0</v>
      </c>
      <c r="G65" s="184">
        <v>1396.05</v>
      </c>
      <c r="H65" s="184">
        <v>0</v>
      </c>
      <c r="I65" s="184">
        <v>0</v>
      </c>
      <c r="J65" s="184">
        <v>0</v>
      </c>
      <c r="K65" s="184">
        <v>0</v>
      </c>
      <c r="L65" s="184">
        <v>0</v>
      </c>
      <c r="M65" s="184">
        <v>0</v>
      </c>
      <c r="N65" s="184">
        <v>0</v>
      </c>
      <c r="O65" s="184">
        <v>0</v>
      </c>
      <c r="P65" s="184">
        <v>922.29</v>
      </c>
      <c r="Q65" s="184">
        <v>2935.48</v>
      </c>
      <c r="R65" s="184">
        <v>0</v>
      </c>
      <c r="S65" s="184">
        <v>0</v>
      </c>
      <c r="T65" s="184">
        <v>0</v>
      </c>
      <c r="U65" s="184">
        <v>0</v>
      </c>
      <c r="V65" s="184">
        <v>1948.1200000000001</v>
      </c>
      <c r="W65" s="184">
        <v>0</v>
      </c>
      <c r="X65" s="184">
        <v>0</v>
      </c>
      <c r="Y65" s="184">
        <v>689.75</v>
      </c>
      <c r="Z65" s="184">
        <v>0</v>
      </c>
      <c r="AA65" s="184">
        <v>0</v>
      </c>
      <c r="AB65" s="184">
        <v>473.51</v>
      </c>
      <c r="AC65" s="184">
        <v>440.78</v>
      </c>
      <c r="AD65" s="184">
        <v>0</v>
      </c>
      <c r="AE65" s="184">
        <v>0</v>
      </c>
      <c r="AF65" s="184">
        <v>14813.67</v>
      </c>
      <c r="AG65" s="184">
        <v>0</v>
      </c>
      <c r="AH65" s="184">
        <v>3384.1800000000003</v>
      </c>
      <c r="AI65" s="184">
        <v>0</v>
      </c>
      <c r="AJ65" s="184">
        <v>132316.1</v>
      </c>
      <c r="AK65" s="184">
        <v>0</v>
      </c>
      <c r="AL65" s="184">
        <v>0</v>
      </c>
      <c r="AM65" s="184">
        <v>0</v>
      </c>
      <c r="AN65" s="184">
        <v>0</v>
      </c>
      <c r="AO65" s="184">
        <v>0</v>
      </c>
      <c r="AP65" s="184">
        <v>0</v>
      </c>
      <c r="AQ65" s="184">
        <v>0</v>
      </c>
      <c r="AR65" s="184">
        <v>45665.94</v>
      </c>
      <c r="AS65" s="184">
        <v>0</v>
      </c>
      <c r="AT65" s="184">
        <v>59.95</v>
      </c>
      <c r="AU65" s="184">
        <v>0</v>
      </c>
      <c r="AV65" s="184">
        <v>3298.36</v>
      </c>
      <c r="AW65" s="184">
        <v>2065280.38</v>
      </c>
      <c r="AX65" s="184">
        <v>0</v>
      </c>
      <c r="AY65" s="184">
        <v>216.24</v>
      </c>
      <c r="AZ65" s="184">
        <v>0</v>
      </c>
      <c r="BA65" s="184">
        <v>0</v>
      </c>
      <c r="BB65" s="184">
        <v>6692.18</v>
      </c>
      <c r="BC65" s="184">
        <v>0</v>
      </c>
      <c r="BD65" s="184">
        <v>216.24</v>
      </c>
      <c r="BE65" s="184">
        <v>6690157.2299999995</v>
      </c>
      <c r="BF65" s="184">
        <v>1409701.8800000001</v>
      </c>
      <c r="BG65" s="184">
        <v>1132375.4100000001</v>
      </c>
      <c r="BH65" s="184">
        <v>2799664.0599999996</v>
      </c>
      <c r="BI65" s="184">
        <v>209510.2</v>
      </c>
      <c r="BJ65" s="184">
        <v>20380.260000000006</v>
      </c>
      <c r="BK65" s="184">
        <v>0</v>
      </c>
      <c r="BL65" s="184">
        <v>0</v>
      </c>
      <c r="BM65" s="184">
        <v>0</v>
      </c>
      <c r="BN65" s="184">
        <v>8348.2800000000007</v>
      </c>
      <c r="BO65" s="184">
        <v>0</v>
      </c>
      <c r="BP65" s="184">
        <v>1199.3800000000001</v>
      </c>
      <c r="BQ65" s="184">
        <v>1000.26</v>
      </c>
      <c r="BR65" s="184">
        <v>5094.18</v>
      </c>
      <c r="BS65" s="184">
        <v>0</v>
      </c>
      <c r="BT65" s="184">
        <v>0</v>
      </c>
      <c r="BU65" s="184">
        <v>0</v>
      </c>
      <c r="BV65" s="184">
        <v>1794</v>
      </c>
      <c r="BW65" s="184">
        <v>2745.13</v>
      </c>
      <c r="BX65" s="184">
        <v>523.5</v>
      </c>
      <c r="BY65" s="184">
        <v>1027.6600000000001</v>
      </c>
      <c r="BZ65" s="184">
        <v>0</v>
      </c>
      <c r="CA65" s="184">
        <v>0</v>
      </c>
      <c r="CB65" s="184">
        <v>0</v>
      </c>
      <c r="CC65" s="184">
        <v>114649.41000000002</v>
      </c>
      <c r="CD65" s="242" t="s">
        <v>221</v>
      </c>
      <c r="CE65" s="195">
        <f t="shared" si="0"/>
        <v>14680051.180000002</v>
      </c>
      <c r="CF65" s="245"/>
    </row>
    <row r="66" spans="1:84" ht="12.6" customHeight="1" x14ac:dyDescent="0.25">
      <c r="A66" s="171" t="s">
        <v>239</v>
      </c>
      <c r="B66" s="175"/>
      <c r="C66" s="184">
        <v>13955787.210000003</v>
      </c>
      <c r="D66" s="184">
        <v>0</v>
      </c>
      <c r="E66" s="184">
        <v>4359404.97</v>
      </c>
      <c r="F66" s="184">
        <v>0</v>
      </c>
      <c r="G66" s="184">
        <v>246478.54000000004</v>
      </c>
      <c r="H66" s="184">
        <v>321437.09000000003</v>
      </c>
      <c r="I66" s="184">
        <v>0</v>
      </c>
      <c r="J66" s="184">
        <v>0</v>
      </c>
      <c r="K66" s="184">
        <v>0</v>
      </c>
      <c r="L66" s="184">
        <v>0</v>
      </c>
      <c r="M66" s="184">
        <v>0</v>
      </c>
      <c r="N66" s="184">
        <v>0</v>
      </c>
      <c r="O66" s="184">
        <v>0</v>
      </c>
      <c r="P66" s="184">
        <v>3053706.2899999996</v>
      </c>
      <c r="Q66" s="184">
        <v>608054.6399999999</v>
      </c>
      <c r="R66" s="184">
        <v>1645023.72</v>
      </c>
      <c r="S66" s="184">
        <v>3302902.4900000007</v>
      </c>
      <c r="T66" s="184">
        <v>0</v>
      </c>
      <c r="U66" s="184">
        <v>9184701.0200000014</v>
      </c>
      <c r="V66" s="184">
        <v>637376.29</v>
      </c>
      <c r="W66" s="184">
        <v>33360.51</v>
      </c>
      <c r="X66" s="184">
        <v>30440.320000000003</v>
      </c>
      <c r="Y66" s="184">
        <v>1630834.62</v>
      </c>
      <c r="Z66" s="184">
        <v>759817.27999999991</v>
      </c>
      <c r="AA66" s="184">
        <v>38025.51</v>
      </c>
      <c r="AB66" s="184">
        <v>417683.06000000006</v>
      </c>
      <c r="AC66" s="184">
        <v>1717067.7100000002</v>
      </c>
      <c r="AD66" s="184">
        <v>389268.58</v>
      </c>
      <c r="AE66" s="184">
        <v>52304.55</v>
      </c>
      <c r="AF66" s="184">
        <v>1888351.5</v>
      </c>
      <c r="AG66" s="184">
        <v>1192084.8699999999</v>
      </c>
      <c r="AH66" s="184">
        <v>344334.95999999996</v>
      </c>
      <c r="AI66" s="184">
        <v>0</v>
      </c>
      <c r="AJ66" s="184">
        <v>4445808.3899999997</v>
      </c>
      <c r="AK66" s="184">
        <v>0</v>
      </c>
      <c r="AL66" s="184">
        <v>430.42999999999995</v>
      </c>
      <c r="AM66" s="184">
        <v>901.68</v>
      </c>
      <c r="AN66" s="184">
        <v>0</v>
      </c>
      <c r="AO66" s="184">
        <v>0</v>
      </c>
      <c r="AP66" s="184">
        <v>0</v>
      </c>
      <c r="AQ66" s="184">
        <v>0</v>
      </c>
      <c r="AR66" s="184">
        <v>365215.5</v>
      </c>
      <c r="AS66" s="184">
        <v>0</v>
      </c>
      <c r="AT66" s="184">
        <v>3204828.34</v>
      </c>
      <c r="AU66" s="184">
        <v>0</v>
      </c>
      <c r="AV66" s="184">
        <v>533988.54999999993</v>
      </c>
      <c r="AW66" s="184">
        <v>152997765.66</v>
      </c>
      <c r="AX66" s="184">
        <v>756475.44</v>
      </c>
      <c r="AY66" s="184">
        <v>202274.08000000002</v>
      </c>
      <c r="AZ66" s="184">
        <v>3239.5</v>
      </c>
      <c r="BA66" s="184">
        <v>3076531.49</v>
      </c>
      <c r="BB66" s="184">
        <v>3613425.2399999993</v>
      </c>
      <c r="BC66" s="184">
        <v>0</v>
      </c>
      <c r="BD66" s="184">
        <v>466696.85</v>
      </c>
      <c r="BE66" s="184">
        <v>2782884.09</v>
      </c>
      <c r="BF66" s="184">
        <v>308080.90000000002</v>
      </c>
      <c r="BG66" s="184">
        <v>772645.27</v>
      </c>
      <c r="BH66" s="184">
        <v>35483264.209999993</v>
      </c>
      <c r="BI66" s="184">
        <v>4511955.0699999994</v>
      </c>
      <c r="BJ66" s="184">
        <v>5099433.8600000003</v>
      </c>
      <c r="BK66" s="184">
        <v>2044128.0000000002</v>
      </c>
      <c r="BL66" s="184">
        <v>15452.16</v>
      </c>
      <c r="BM66" s="184">
        <v>0</v>
      </c>
      <c r="BN66" s="184">
        <v>6885847.3799999999</v>
      </c>
      <c r="BO66" s="184">
        <v>48730.16</v>
      </c>
      <c r="BP66" s="184">
        <v>3804603.68</v>
      </c>
      <c r="BQ66" s="184">
        <v>1849730.81</v>
      </c>
      <c r="BR66" s="184">
        <v>3602829.65</v>
      </c>
      <c r="BS66" s="184">
        <v>5835</v>
      </c>
      <c r="BT66" s="184">
        <v>13283.5</v>
      </c>
      <c r="BU66" s="184">
        <v>47580.369999999995</v>
      </c>
      <c r="BV66" s="184">
        <v>1096627.9200000002</v>
      </c>
      <c r="BW66" s="184">
        <v>28921730.530000001</v>
      </c>
      <c r="BX66" s="184">
        <v>2490660.6399999997</v>
      </c>
      <c r="BY66" s="184">
        <v>204672.21000000002</v>
      </c>
      <c r="BZ66" s="184">
        <v>364754.47</v>
      </c>
      <c r="CA66" s="184">
        <v>0</v>
      </c>
      <c r="CB66" s="184">
        <v>0</v>
      </c>
      <c r="CC66" s="184">
        <f>23537293.97+28990</f>
        <v>23566283.969999999</v>
      </c>
      <c r="CD66" s="242" t="s">
        <v>221</v>
      </c>
      <c r="CE66" s="195">
        <f t="shared" si="0"/>
        <v>339397040.73000002</v>
      </c>
      <c r="CF66" s="245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0</v>
      </c>
      <c r="AC67" s="195">
        <f t="shared" si="3"/>
        <v>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0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2" t="s">
        <v>221</v>
      </c>
      <c r="CE67" s="195">
        <f t="shared" si="0"/>
        <v>0</v>
      </c>
      <c r="CF67" s="245"/>
    </row>
    <row r="68" spans="1:84" ht="12.6" customHeight="1" x14ac:dyDescent="0.25">
      <c r="A68" s="171" t="s">
        <v>240</v>
      </c>
      <c r="B68" s="175"/>
      <c r="C68" s="184">
        <v>57844.94</v>
      </c>
      <c r="D68" s="184">
        <v>0</v>
      </c>
      <c r="E68" s="184">
        <v>300035.81</v>
      </c>
      <c r="F68" s="184">
        <v>0</v>
      </c>
      <c r="G68" s="184">
        <v>54312.68</v>
      </c>
      <c r="H68" s="184">
        <v>50</v>
      </c>
      <c r="I68" s="184">
        <v>0</v>
      </c>
      <c r="J68" s="184">
        <v>0</v>
      </c>
      <c r="K68" s="184">
        <v>0</v>
      </c>
      <c r="L68" s="184">
        <v>0</v>
      </c>
      <c r="M68" s="184">
        <v>0</v>
      </c>
      <c r="N68" s="184">
        <v>0</v>
      </c>
      <c r="O68" s="184">
        <v>0</v>
      </c>
      <c r="P68" s="184">
        <v>32492.04</v>
      </c>
      <c r="Q68" s="184">
        <v>0</v>
      </c>
      <c r="R68" s="184">
        <v>0</v>
      </c>
      <c r="S68" s="184">
        <v>225631.34999999998</v>
      </c>
      <c r="T68" s="184">
        <v>0</v>
      </c>
      <c r="U68" s="184">
        <v>0</v>
      </c>
      <c r="V68" s="184">
        <v>337678.07000000007</v>
      </c>
      <c r="W68" s="184">
        <v>0</v>
      </c>
      <c r="X68" s="184">
        <v>0</v>
      </c>
      <c r="Y68" s="184">
        <v>0</v>
      </c>
      <c r="Z68" s="184">
        <v>0</v>
      </c>
      <c r="AA68" s="184">
        <v>1965.29</v>
      </c>
      <c r="AB68" s="184">
        <v>4516</v>
      </c>
      <c r="AC68" s="184">
        <v>248905.52000000002</v>
      </c>
      <c r="AD68" s="184">
        <v>0</v>
      </c>
      <c r="AE68" s="184">
        <v>50</v>
      </c>
      <c r="AF68" s="184">
        <v>1102146.75</v>
      </c>
      <c r="AG68" s="184">
        <v>0</v>
      </c>
      <c r="AH68" s="184">
        <v>0</v>
      </c>
      <c r="AI68" s="184">
        <v>0</v>
      </c>
      <c r="AJ68" s="184">
        <v>877044.00999999989</v>
      </c>
      <c r="AK68" s="184">
        <v>0</v>
      </c>
      <c r="AL68" s="184">
        <v>0</v>
      </c>
      <c r="AM68" s="184">
        <v>0</v>
      </c>
      <c r="AN68" s="184">
        <v>0</v>
      </c>
      <c r="AO68" s="184">
        <v>0</v>
      </c>
      <c r="AP68" s="184">
        <v>0</v>
      </c>
      <c r="AQ68" s="184">
        <v>0</v>
      </c>
      <c r="AR68" s="184">
        <v>454927.67000000004</v>
      </c>
      <c r="AS68" s="184">
        <v>0</v>
      </c>
      <c r="AT68" s="184">
        <v>0</v>
      </c>
      <c r="AU68" s="184">
        <v>0</v>
      </c>
      <c r="AV68" s="184">
        <v>0</v>
      </c>
      <c r="AW68" s="184">
        <v>11896433.99</v>
      </c>
      <c r="AX68" s="184">
        <v>792076.1</v>
      </c>
      <c r="AY68" s="184">
        <v>0</v>
      </c>
      <c r="AZ68" s="184">
        <v>0</v>
      </c>
      <c r="BA68" s="184">
        <v>0</v>
      </c>
      <c r="BB68" s="184">
        <v>0</v>
      </c>
      <c r="BC68" s="184">
        <v>0</v>
      </c>
      <c r="BD68" s="184">
        <v>0</v>
      </c>
      <c r="BE68" s="184">
        <v>282596.29999999993</v>
      </c>
      <c r="BF68" s="184">
        <v>179.46</v>
      </c>
      <c r="BG68" s="184">
        <v>2211.6000000000058</v>
      </c>
      <c r="BH68" s="184">
        <v>1011843.9400000002</v>
      </c>
      <c r="BI68" s="184">
        <v>698201.54</v>
      </c>
      <c r="BJ68" s="184">
        <v>0</v>
      </c>
      <c r="BK68" s="184">
        <v>0</v>
      </c>
      <c r="BL68" s="184">
        <v>0</v>
      </c>
      <c r="BM68" s="184">
        <v>0</v>
      </c>
      <c r="BN68" s="184">
        <v>0</v>
      </c>
      <c r="BO68" s="184">
        <v>0</v>
      </c>
      <c r="BP68" s="184">
        <v>0</v>
      </c>
      <c r="BQ68" s="184">
        <v>0</v>
      </c>
      <c r="BR68" s="184">
        <v>5742.69</v>
      </c>
      <c r="BS68" s="184">
        <v>0</v>
      </c>
      <c r="BT68" s="184">
        <v>0</v>
      </c>
      <c r="BU68" s="184">
        <v>0</v>
      </c>
      <c r="BV68" s="184">
        <v>0</v>
      </c>
      <c r="BW68" s="184">
        <v>0</v>
      </c>
      <c r="BX68" s="184">
        <v>0</v>
      </c>
      <c r="BY68" s="184">
        <v>0</v>
      </c>
      <c r="BZ68" s="184">
        <v>0</v>
      </c>
      <c r="CA68" s="184">
        <v>0</v>
      </c>
      <c r="CB68" s="184">
        <v>0</v>
      </c>
      <c r="CC68" s="184">
        <v>14098753.899999999</v>
      </c>
      <c r="CD68" s="242" t="s">
        <v>221</v>
      </c>
      <c r="CE68" s="195">
        <f t="shared" si="0"/>
        <v>32485639.650000002</v>
      </c>
      <c r="CF68" s="245"/>
    </row>
    <row r="69" spans="1:84" ht="12.6" customHeight="1" x14ac:dyDescent="0.25">
      <c r="A69" s="171" t="s">
        <v>241</v>
      </c>
      <c r="B69" s="175"/>
      <c r="C69" s="184">
        <v>168569.55</v>
      </c>
      <c r="D69" s="184">
        <v>0</v>
      </c>
      <c r="E69" s="184">
        <v>183185.24</v>
      </c>
      <c r="F69" s="184">
        <v>0</v>
      </c>
      <c r="G69" s="184">
        <v>8601.35</v>
      </c>
      <c r="H69" s="184">
        <v>41142.810000000005</v>
      </c>
      <c r="I69" s="184">
        <v>0</v>
      </c>
      <c r="J69" s="184">
        <v>0</v>
      </c>
      <c r="K69" s="184">
        <v>0</v>
      </c>
      <c r="L69" s="184">
        <v>0</v>
      </c>
      <c r="M69" s="184">
        <v>0</v>
      </c>
      <c r="N69" s="184">
        <v>0</v>
      </c>
      <c r="O69" s="184">
        <v>0</v>
      </c>
      <c r="P69" s="184">
        <v>1591998.33</v>
      </c>
      <c r="Q69" s="184">
        <v>44163.380000000005</v>
      </c>
      <c r="R69" s="184">
        <v>79820.450000000012</v>
      </c>
      <c r="S69" s="184">
        <v>162526.9</v>
      </c>
      <c r="T69" s="184">
        <v>-100493.45</v>
      </c>
      <c r="U69" s="184">
        <v>1389693.7199999997</v>
      </c>
      <c r="V69" s="184">
        <v>233644.30000000002</v>
      </c>
      <c r="W69" s="184">
        <v>630784.25</v>
      </c>
      <c r="X69" s="184">
        <v>620673.29</v>
      </c>
      <c r="Y69" s="184">
        <v>1209940.93</v>
      </c>
      <c r="Z69" s="184">
        <v>0</v>
      </c>
      <c r="AA69" s="184">
        <v>224606.64999999997</v>
      </c>
      <c r="AB69" s="184">
        <v>320702.43</v>
      </c>
      <c r="AC69" s="184">
        <v>185086.29999999996</v>
      </c>
      <c r="AD69" s="184">
        <v>104653.18999999999</v>
      </c>
      <c r="AE69" s="184">
        <v>58872.51</v>
      </c>
      <c r="AF69" s="184">
        <v>450343.62</v>
      </c>
      <c r="AG69" s="184">
        <v>34594.25</v>
      </c>
      <c r="AH69" s="184">
        <v>18209.05</v>
      </c>
      <c r="AI69" s="184">
        <v>0</v>
      </c>
      <c r="AJ69" s="184">
        <v>2118628.3699999996</v>
      </c>
      <c r="AK69" s="184">
        <v>11381.5</v>
      </c>
      <c r="AL69" s="184">
        <v>9666.02</v>
      </c>
      <c r="AM69" s="184">
        <v>7507.15</v>
      </c>
      <c r="AN69" s="184">
        <v>0</v>
      </c>
      <c r="AO69" s="184">
        <v>0</v>
      </c>
      <c r="AP69" s="184">
        <v>0</v>
      </c>
      <c r="AQ69" s="184">
        <v>0</v>
      </c>
      <c r="AR69" s="184">
        <v>316158.39</v>
      </c>
      <c r="AS69" s="184">
        <v>0</v>
      </c>
      <c r="AT69" s="184">
        <v>72185.84</v>
      </c>
      <c r="AU69" s="184">
        <v>0</v>
      </c>
      <c r="AV69" s="184">
        <v>261862.23000000004</v>
      </c>
      <c r="AW69" s="184">
        <v>16788505.489999987</v>
      </c>
      <c r="AX69" s="184">
        <v>1487496.75</v>
      </c>
      <c r="AY69" s="184">
        <v>220217.03000000006</v>
      </c>
      <c r="AZ69" s="184">
        <v>6497.7400000000007</v>
      </c>
      <c r="BA69" s="184">
        <v>0</v>
      </c>
      <c r="BB69" s="184">
        <v>434338.51999999996</v>
      </c>
      <c r="BC69" s="184">
        <v>0</v>
      </c>
      <c r="BD69" s="184">
        <v>11165.120000000003</v>
      </c>
      <c r="BE69" s="184">
        <v>8002261.2999999998</v>
      </c>
      <c r="BF69" s="184">
        <v>104255.48000000001</v>
      </c>
      <c r="BG69" s="184">
        <v>150225.35000000003</v>
      </c>
      <c r="BH69" s="184">
        <v>4335445.3200000012</v>
      </c>
      <c r="BI69" s="184">
        <v>344845.7</v>
      </c>
      <c r="BJ69" s="184">
        <v>-403803.37000000005</v>
      </c>
      <c r="BK69" s="184">
        <v>137555.29</v>
      </c>
      <c r="BL69" s="184">
        <v>896.48</v>
      </c>
      <c r="BM69" s="184">
        <v>0</v>
      </c>
      <c r="BN69" s="184">
        <v>1545670.1</v>
      </c>
      <c r="BO69" s="184">
        <v>21922.400000000001</v>
      </c>
      <c r="BP69" s="184">
        <v>157746.65000000002</v>
      </c>
      <c r="BQ69" s="184">
        <v>170735.97000000003</v>
      </c>
      <c r="BR69" s="184">
        <v>769059.96</v>
      </c>
      <c r="BS69" s="184">
        <v>6592.2</v>
      </c>
      <c r="BT69" s="184">
        <v>8191.0500000000011</v>
      </c>
      <c r="BU69" s="184">
        <v>833247.15999999992</v>
      </c>
      <c r="BV69" s="184">
        <v>19545.289999999997</v>
      </c>
      <c r="BW69" s="184">
        <v>595134.31999999995</v>
      </c>
      <c r="BX69" s="184">
        <v>359493.32000000007</v>
      </c>
      <c r="BY69" s="184">
        <v>236934.13</v>
      </c>
      <c r="BZ69" s="184">
        <v>3271.73</v>
      </c>
      <c r="CA69" s="184">
        <v>0</v>
      </c>
      <c r="CB69" s="184">
        <v>0</v>
      </c>
      <c r="CC69" s="184">
        <f>60547120.87-6553571-15254982-43293769+11245846</f>
        <v>6690644.8699999973</v>
      </c>
      <c r="CD69" s="184">
        <f>6553571+15254982+43293769-11245846+8092528</f>
        <v>61949004</v>
      </c>
      <c r="CE69" s="195">
        <f t="shared" si="0"/>
        <v>115445803.89999998</v>
      </c>
      <c r="CF69" s="245"/>
    </row>
    <row r="70" spans="1:84" ht="12.6" customHeight="1" x14ac:dyDescent="0.25">
      <c r="A70" s="171" t="s">
        <v>242</v>
      </c>
      <c r="B70" s="175"/>
      <c r="C70" s="184">
        <v>0</v>
      </c>
      <c r="D70" s="184">
        <v>0</v>
      </c>
      <c r="E70" s="184">
        <v>1250</v>
      </c>
      <c r="F70" s="184">
        <v>0</v>
      </c>
      <c r="G70" s="184">
        <v>0</v>
      </c>
      <c r="H70" s="184">
        <v>13078.07</v>
      </c>
      <c r="I70" s="184">
        <v>0</v>
      </c>
      <c r="J70" s="184">
        <v>0</v>
      </c>
      <c r="K70" s="184">
        <v>0</v>
      </c>
      <c r="L70" s="184">
        <v>0</v>
      </c>
      <c r="M70" s="184">
        <v>0</v>
      </c>
      <c r="N70" s="184">
        <v>0</v>
      </c>
      <c r="O70" s="184">
        <v>0</v>
      </c>
      <c r="P70" s="184">
        <v>2750</v>
      </c>
      <c r="Q70" s="184">
        <v>0</v>
      </c>
      <c r="R70" s="184">
        <v>0</v>
      </c>
      <c r="S70" s="184">
        <v>0</v>
      </c>
      <c r="T70" s="184">
        <v>0</v>
      </c>
      <c r="U70" s="184">
        <v>2947420.6899999995</v>
      </c>
      <c r="V70" s="184">
        <v>0</v>
      </c>
      <c r="W70" s="184">
        <v>0</v>
      </c>
      <c r="X70" s="184">
        <v>0</v>
      </c>
      <c r="Y70" s="184">
        <v>26867.280000000002</v>
      </c>
      <c r="Z70" s="184">
        <v>18471.36</v>
      </c>
      <c r="AA70" s="184">
        <v>0</v>
      </c>
      <c r="AB70" s="184">
        <v>0</v>
      </c>
      <c r="AC70" s="184">
        <v>50</v>
      </c>
      <c r="AD70" s="184">
        <v>0</v>
      </c>
      <c r="AE70" s="184">
        <v>116062.43999999999</v>
      </c>
      <c r="AF70" s="184">
        <v>1368714.07</v>
      </c>
      <c r="AG70" s="184">
        <v>191383.47</v>
      </c>
      <c r="AH70" s="184">
        <v>619133.48999999976</v>
      </c>
      <c r="AI70" s="184">
        <v>0</v>
      </c>
      <c r="AJ70" s="184">
        <v>1953348.6199999999</v>
      </c>
      <c r="AK70" s="184">
        <v>4150</v>
      </c>
      <c r="AL70" s="184">
        <v>0</v>
      </c>
      <c r="AM70" s="184">
        <v>0</v>
      </c>
      <c r="AN70" s="184">
        <v>0</v>
      </c>
      <c r="AO70" s="184">
        <v>0</v>
      </c>
      <c r="AP70" s="184">
        <v>0</v>
      </c>
      <c r="AQ70" s="184">
        <v>0</v>
      </c>
      <c r="AR70" s="184">
        <v>0</v>
      </c>
      <c r="AS70" s="184">
        <v>0</v>
      </c>
      <c r="AT70" s="184">
        <v>50</v>
      </c>
      <c r="AU70" s="184">
        <v>0</v>
      </c>
      <c r="AV70" s="184">
        <v>1864216.9000000001</v>
      </c>
      <c r="AW70" s="184">
        <v>216279343.34999996</v>
      </c>
      <c r="AX70" s="184">
        <v>0</v>
      </c>
      <c r="AY70" s="184">
        <v>4711171.7700000005</v>
      </c>
      <c r="AZ70" s="184">
        <v>161167.00999999998</v>
      </c>
      <c r="BA70" s="184">
        <v>0</v>
      </c>
      <c r="BB70" s="184">
        <v>-50319</v>
      </c>
      <c r="BC70" s="184">
        <v>0</v>
      </c>
      <c r="BD70" s="184">
        <v>0</v>
      </c>
      <c r="BE70" s="184">
        <v>277.39999999999964</v>
      </c>
      <c r="BF70" s="184">
        <v>0</v>
      </c>
      <c r="BG70" s="184">
        <v>0</v>
      </c>
      <c r="BH70" s="184">
        <v>326073.87</v>
      </c>
      <c r="BI70" s="184">
        <v>4256317.7799999993</v>
      </c>
      <c r="BJ70" s="184">
        <v>0</v>
      </c>
      <c r="BK70" s="184">
        <v>6403273.7300000004</v>
      </c>
      <c r="BL70" s="184">
        <v>0</v>
      </c>
      <c r="BM70" s="184">
        <v>0</v>
      </c>
      <c r="BN70" s="184">
        <v>366015.25</v>
      </c>
      <c r="BO70" s="184">
        <v>0</v>
      </c>
      <c r="BP70" s="184">
        <v>405.26</v>
      </c>
      <c r="BQ70" s="184">
        <v>34610.57</v>
      </c>
      <c r="BR70" s="184">
        <v>359.40000000000009</v>
      </c>
      <c r="BS70" s="184">
        <v>0</v>
      </c>
      <c r="BT70" s="184">
        <v>20000</v>
      </c>
      <c r="BU70" s="184">
        <v>0</v>
      </c>
      <c r="BV70" s="184">
        <v>13415.840000000002</v>
      </c>
      <c r="BW70" s="184">
        <v>58660.959999999999</v>
      </c>
      <c r="BX70" s="184">
        <v>0</v>
      </c>
      <c r="BY70" s="184">
        <v>-8410.3799999999974</v>
      </c>
      <c r="BZ70" s="184">
        <v>0</v>
      </c>
      <c r="CA70" s="184">
        <v>0</v>
      </c>
      <c r="CB70" s="184">
        <v>0</v>
      </c>
      <c r="CC70" s="184">
        <f>45929576.24+3650640</f>
        <v>49580216.240000002</v>
      </c>
      <c r="CD70" s="184">
        <v>0</v>
      </c>
      <c r="CE70" s="195">
        <f t="shared" si="0"/>
        <v>291279525.43999994</v>
      </c>
      <c r="CF70" s="245"/>
    </row>
    <row r="71" spans="1:84" ht="12.6" customHeight="1" x14ac:dyDescent="0.25">
      <c r="A71" s="171" t="s">
        <v>243</v>
      </c>
      <c r="B71" s="175"/>
      <c r="C71" s="195">
        <f>SUM(C61:C68)+C69-C70</f>
        <v>57268229.249999993</v>
      </c>
      <c r="D71" s="195">
        <f t="shared" ref="D71:AI71" si="5">SUM(D61:D69)-D70</f>
        <v>0</v>
      </c>
      <c r="E71" s="195">
        <f t="shared" si="5"/>
        <v>58266713.960000016</v>
      </c>
      <c r="F71" s="195">
        <f t="shared" si="5"/>
        <v>0</v>
      </c>
      <c r="G71" s="195">
        <f t="shared" si="5"/>
        <v>3705956.9700000007</v>
      </c>
      <c r="H71" s="195">
        <f t="shared" si="5"/>
        <v>9812719.129999999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46626925.059999987</v>
      </c>
      <c r="Q71" s="195">
        <f t="shared" si="5"/>
        <v>8735851.120000001</v>
      </c>
      <c r="R71" s="195">
        <f t="shared" si="5"/>
        <v>4918021.8100000005</v>
      </c>
      <c r="S71" s="195">
        <f t="shared" si="5"/>
        <v>10324900.540000001</v>
      </c>
      <c r="T71" s="195">
        <f t="shared" si="5"/>
        <v>829953.58000000019</v>
      </c>
      <c r="U71" s="195">
        <f t="shared" si="5"/>
        <v>36931054.660000004</v>
      </c>
      <c r="V71" s="195">
        <f t="shared" si="5"/>
        <v>6703729.79</v>
      </c>
      <c r="W71" s="195">
        <f t="shared" si="5"/>
        <v>1919016.84</v>
      </c>
      <c r="X71" s="195">
        <f t="shared" si="5"/>
        <v>1881862.6900000002</v>
      </c>
      <c r="Y71" s="195">
        <f t="shared" si="5"/>
        <v>17842009.470000003</v>
      </c>
      <c r="Z71" s="195">
        <f t="shared" si="5"/>
        <v>749230.07999999996</v>
      </c>
      <c r="AA71" s="195">
        <f t="shared" si="5"/>
        <v>1428755.8299999998</v>
      </c>
      <c r="AB71" s="195">
        <f t="shared" si="5"/>
        <v>105864034.55</v>
      </c>
      <c r="AC71" s="195">
        <f t="shared" si="5"/>
        <v>16984973.240000002</v>
      </c>
      <c r="AD71" s="195">
        <f t="shared" si="5"/>
        <v>5288274.1400000006</v>
      </c>
      <c r="AE71" s="195">
        <f t="shared" si="5"/>
        <v>5869466.4799999995</v>
      </c>
      <c r="AF71" s="195">
        <f t="shared" si="5"/>
        <v>12089081.949999999</v>
      </c>
      <c r="AG71" s="195">
        <f t="shared" si="5"/>
        <v>14662994.209999999</v>
      </c>
      <c r="AH71" s="195">
        <f t="shared" si="5"/>
        <v>2979993.1000000006</v>
      </c>
      <c r="AI71" s="195">
        <f t="shared" si="5"/>
        <v>0</v>
      </c>
      <c r="AJ71" s="195">
        <f t="shared" ref="AJ71:BO71" si="6">SUM(AJ61:AJ69)-AJ70</f>
        <v>94080352.48999998</v>
      </c>
      <c r="AK71" s="195">
        <f t="shared" si="6"/>
        <v>2298489.3199999998</v>
      </c>
      <c r="AL71" s="195">
        <f t="shared" si="6"/>
        <v>1838505.56</v>
      </c>
      <c r="AM71" s="195">
        <f t="shared" si="6"/>
        <v>2026493.6300000001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19370.080000000002</v>
      </c>
      <c r="AR71" s="195">
        <f t="shared" si="6"/>
        <v>13213407.359999999</v>
      </c>
      <c r="AS71" s="195">
        <f t="shared" si="6"/>
        <v>0</v>
      </c>
      <c r="AT71" s="195">
        <f t="shared" si="6"/>
        <v>3790453.36</v>
      </c>
      <c r="AU71" s="195">
        <f t="shared" si="6"/>
        <v>0</v>
      </c>
      <c r="AV71" s="195">
        <f t="shared" si="6"/>
        <v>3854565.92</v>
      </c>
      <c r="AW71" s="195">
        <f t="shared" si="6"/>
        <v>64860412.960000038</v>
      </c>
      <c r="AX71" s="195">
        <f t="shared" si="6"/>
        <v>3838169.9099999997</v>
      </c>
      <c r="AY71" s="195">
        <f t="shared" si="6"/>
        <v>10782466.449999996</v>
      </c>
      <c r="AZ71" s="195">
        <f t="shared" si="6"/>
        <v>47271.510000000038</v>
      </c>
      <c r="BA71" s="195">
        <f t="shared" si="6"/>
        <v>3309863.99</v>
      </c>
      <c r="BB71" s="195">
        <f t="shared" si="6"/>
        <v>13691571.279999997</v>
      </c>
      <c r="BC71" s="195">
        <f t="shared" si="6"/>
        <v>280047.98</v>
      </c>
      <c r="BD71" s="195">
        <f t="shared" si="6"/>
        <v>2831195.8100000005</v>
      </c>
      <c r="BE71" s="195">
        <f t="shared" si="6"/>
        <v>33735247.149999999</v>
      </c>
      <c r="BF71" s="195">
        <f t="shared" si="6"/>
        <v>10334438.9</v>
      </c>
      <c r="BG71" s="195">
        <f t="shared" si="6"/>
        <v>3740265.2300000004</v>
      </c>
      <c r="BH71" s="195">
        <f t="shared" si="6"/>
        <v>70934961.589999989</v>
      </c>
      <c r="BI71" s="195">
        <f t="shared" si="6"/>
        <v>7385604.410000002</v>
      </c>
      <c r="BJ71" s="195">
        <f t="shared" si="6"/>
        <v>10500698.869999999</v>
      </c>
      <c r="BK71" s="195">
        <f t="shared" si="6"/>
        <v>9642906.2799999993</v>
      </c>
      <c r="BL71" s="195">
        <f t="shared" si="6"/>
        <v>5832476.0900000008</v>
      </c>
      <c r="BM71" s="195">
        <f t="shared" si="6"/>
        <v>0</v>
      </c>
      <c r="BN71" s="195">
        <f t="shared" si="6"/>
        <v>26022049.050000004</v>
      </c>
      <c r="BO71" s="195">
        <f t="shared" si="6"/>
        <v>2059599.1899999997</v>
      </c>
      <c r="BP71" s="195">
        <f t="shared" ref="BP71:CC71" si="7">SUM(BP61:BP69)-BP70</f>
        <v>7052418.25</v>
      </c>
      <c r="BQ71" s="195">
        <f t="shared" si="7"/>
        <v>6684713.9099999992</v>
      </c>
      <c r="BR71" s="195">
        <f t="shared" si="7"/>
        <v>12694665.909999998</v>
      </c>
      <c r="BS71" s="195">
        <f t="shared" si="7"/>
        <v>403510.33</v>
      </c>
      <c r="BT71" s="195">
        <f t="shared" si="7"/>
        <v>726702.09000000008</v>
      </c>
      <c r="BU71" s="195">
        <f t="shared" si="7"/>
        <v>1135392.01</v>
      </c>
      <c r="BV71" s="195">
        <f t="shared" si="7"/>
        <v>4841064.51</v>
      </c>
      <c r="BW71" s="195">
        <f t="shared" si="7"/>
        <v>32362121.149999999</v>
      </c>
      <c r="BX71" s="195">
        <f t="shared" si="7"/>
        <v>13953497.299999997</v>
      </c>
      <c r="BY71" s="195">
        <f t="shared" si="7"/>
        <v>6856620.3399999999</v>
      </c>
      <c r="BZ71" s="195">
        <f t="shared" si="7"/>
        <v>6092509.0199999996</v>
      </c>
      <c r="CA71" s="195">
        <f t="shared" si="7"/>
        <v>0</v>
      </c>
      <c r="CB71" s="195">
        <f t="shared" si="7"/>
        <v>0</v>
      </c>
      <c r="CC71" s="195">
        <f t="shared" si="7"/>
        <v>47362463.57</v>
      </c>
      <c r="CD71" s="238">
        <f>CD69-CD70</f>
        <v>61949004</v>
      </c>
      <c r="CE71" s="195">
        <f>SUM(CE61:CE69)-CE70</f>
        <v>1034749315.2100002</v>
      </c>
      <c r="CF71" s="245"/>
    </row>
    <row r="72" spans="1:84" ht="12.6" customHeight="1" x14ac:dyDescent="0.25">
      <c r="A72" s="171" t="s">
        <v>244</v>
      </c>
      <c r="B72" s="175"/>
      <c r="C72" s="242" t="s">
        <v>221</v>
      </c>
      <c r="D72" s="242" t="s">
        <v>221</v>
      </c>
      <c r="E72" s="242" t="s">
        <v>221</v>
      </c>
      <c r="F72" s="242" t="s">
        <v>221</v>
      </c>
      <c r="G72" s="242" t="s">
        <v>221</v>
      </c>
      <c r="H72" s="242" t="s">
        <v>221</v>
      </c>
      <c r="I72" s="242" t="s">
        <v>221</v>
      </c>
      <c r="J72" s="242" t="s">
        <v>221</v>
      </c>
      <c r="K72" s="246" t="s">
        <v>221</v>
      </c>
      <c r="L72" s="242" t="s">
        <v>221</v>
      </c>
      <c r="M72" s="242" t="s">
        <v>221</v>
      </c>
      <c r="N72" s="242" t="s">
        <v>221</v>
      </c>
      <c r="O72" s="242" t="s">
        <v>221</v>
      </c>
      <c r="P72" s="242" t="s">
        <v>221</v>
      </c>
      <c r="Q72" s="242" t="s">
        <v>221</v>
      </c>
      <c r="R72" s="242" t="s">
        <v>221</v>
      </c>
      <c r="S72" s="242" t="s">
        <v>221</v>
      </c>
      <c r="T72" s="242" t="s">
        <v>221</v>
      </c>
      <c r="U72" s="242" t="s">
        <v>221</v>
      </c>
      <c r="V72" s="242" t="s">
        <v>221</v>
      </c>
      <c r="W72" s="242" t="s">
        <v>221</v>
      </c>
      <c r="X72" s="242" t="s">
        <v>221</v>
      </c>
      <c r="Y72" s="242" t="s">
        <v>221</v>
      </c>
      <c r="Z72" s="242" t="s">
        <v>221</v>
      </c>
      <c r="AA72" s="242" t="s">
        <v>221</v>
      </c>
      <c r="AB72" s="242" t="s">
        <v>221</v>
      </c>
      <c r="AC72" s="242" t="s">
        <v>221</v>
      </c>
      <c r="AD72" s="242" t="s">
        <v>221</v>
      </c>
      <c r="AE72" s="242" t="s">
        <v>221</v>
      </c>
      <c r="AF72" s="242" t="s">
        <v>221</v>
      </c>
      <c r="AG72" s="242" t="s">
        <v>221</v>
      </c>
      <c r="AH72" s="242" t="s">
        <v>221</v>
      </c>
      <c r="AI72" s="242" t="s">
        <v>221</v>
      </c>
      <c r="AJ72" s="242" t="s">
        <v>221</v>
      </c>
      <c r="AK72" s="242" t="s">
        <v>221</v>
      </c>
      <c r="AL72" s="242" t="s">
        <v>221</v>
      </c>
      <c r="AM72" s="242" t="s">
        <v>221</v>
      </c>
      <c r="AN72" s="242" t="s">
        <v>221</v>
      </c>
      <c r="AO72" s="242" t="s">
        <v>221</v>
      </c>
      <c r="AP72" s="242" t="s">
        <v>221</v>
      </c>
      <c r="AQ72" s="242" t="s">
        <v>221</v>
      </c>
      <c r="AR72" s="242" t="s">
        <v>221</v>
      </c>
      <c r="AS72" s="242" t="s">
        <v>221</v>
      </c>
      <c r="AT72" s="242" t="s">
        <v>221</v>
      </c>
      <c r="AU72" s="242" t="s">
        <v>221</v>
      </c>
      <c r="AV72" s="242" t="s">
        <v>221</v>
      </c>
      <c r="AW72" s="242" t="s">
        <v>221</v>
      </c>
      <c r="AX72" s="242" t="s">
        <v>221</v>
      </c>
      <c r="AY72" s="242" t="s">
        <v>221</v>
      </c>
      <c r="AZ72" s="242" t="s">
        <v>221</v>
      </c>
      <c r="BA72" s="242" t="s">
        <v>221</v>
      </c>
      <c r="BB72" s="242" t="s">
        <v>221</v>
      </c>
      <c r="BC72" s="242" t="s">
        <v>221</v>
      </c>
      <c r="BD72" s="242" t="s">
        <v>221</v>
      </c>
      <c r="BE72" s="242" t="s">
        <v>221</v>
      </c>
      <c r="BF72" s="242" t="s">
        <v>221</v>
      </c>
      <c r="BG72" s="242" t="s">
        <v>221</v>
      </c>
      <c r="BH72" s="242" t="s">
        <v>221</v>
      </c>
      <c r="BI72" s="242" t="s">
        <v>221</v>
      </c>
      <c r="BJ72" s="242" t="s">
        <v>221</v>
      </c>
      <c r="BK72" s="242" t="s">
        <v>221</v>
      </c>
      <c r="BL72" s="242" t="s">
        <v>221</v>
      </c>
      <c r="BM72" s="242" t="s">
        <v>221</v>
      </c>
      <c r="BN72" s="242" t="s">
        <v>221</v>
      </c>
      <c r="BO72" s="242" t="s">
        <v>221</v>
      </c>
      <c r="BP72" s="242" t="s">
        <v>221</v>
      </c>
      <c r="BQ72" s="242" t="s">
        <v>221</v>
      </c>
      <c r="BR72" s="242" t="s">
        <v>221</v>
      </c>
      <c r="BS72" s="242" t="s">
        <v>221</v>
      </c>
      <c r="BT72" s="242" t="s">
        <v>221</v>
      </c>
      <c r="BU72" s="242" t="s">
        <v>221</v>
      </c>
      <c r="BV72" s="242" t="s">
        <v>221</v>
      </c>
      <c r="BW72" s="242" t="s">
        <v>221</v>
      </c>
      <c r="BX72" s="242" t="s">
        <v>221</v>
      </c>
      <c r="BY72" s="242" t="s">
        <v>221</v>
      </c>
      <c r="BZ72" s="242" t="s">
        <v>221</v>
      </c>
      <c r="CA72" s="242" t="s">
        <v>221</v>
      </c>
      <c r="CB72" s="242" t="s">
        <v>221</v>
      </c>
      <c r="CC72" s="242" t="s">
        <v>221</v>
      </c>
      <c r="CD72" s="242" t="s">
        <v>221</v>
      </c>
      <c r="CE72" s="188"/>
      <c r="CF72" s="245"/>
    </row>
    <row r="73" spans="1:84" ht="12.6" customHeight="1" x14ac:dyDescent="0.25">
      <c r="A73" s="171" t="s">
        <v>245</v>
      </c>
      <c r="B73" s="175"/>
      <c r="C73" s="184">
        <v>442420526.60000002</v>
      </c>
      <c r="D73" s="184">
        <v>0</v>
      </c>
      <c r="E73" s="185">
        <v>369829768.30000001</v>
      </c>
      <c r="F73" s="185">
        <v>0</v>
      </c>
      <c r="G73" s="184">
        <v>20539573.999999996</v>
      </c>
      <c r="H73" s="184">
        <v>89400560.699999988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164020990.89000002</v>
      </c>
      <c r="Q73" s="185">
        <v>10199223.4</v>
      </c>
      <c r="R73" s="185">
        <v>43734639.200000003</v>
      </c>
      <c r="S73" s="185">
        <v>9584717.5300000012</v>
      </c>
      <c r="T73" s="185">
        <v>0</v>
      </c>
      <c r="U73" s="185">
        <v>102015215.99999999</v>
      </c>
      <c r="V73" s="185">
        <v>22539481.199999999</v>
      </c>
      <c r="W73" s="185">
        <v>8826993.3600000013</v>
      </c>
      <c r="X73" s="185">
        <v>9728743.3499999978</v>
      </c>
      <c r="Y73" s="185">
        <v>45807140.280000001</v>
      </c>
      <c r="Z73" s="185">
        <v>1676408.9</v>
      </c>
      <c r="AA73" s="185">
        <v>1123748.1000000001</v>
      </c>
      <c r="AB73" s="185">
        <v>234439052.41</v>
      </c>
      <c r="AC73" s="185">
        <v>102155555.30000001</v>
      </c>
      <c r="AD73" s="185">
        <v>11367186.399999999</v>
      </c>
      <c r="AE73" s="185">
        <v>5902459.9000000004</v>
      </c>
      <c r="AF73" s="185">
        <v>888014.43</v>
      </c>
      <c r="AG73" s="185">
        <v>29763594.400000002</v>
      </c>
      <c r="AH73" s="185">
        <v>782502.00000000012</v>
      </c>
      <c r="AI73" s="185">
        <v>0</v>
      </c>
      <c r="AJ73" s="185">
        <v>3041549.0700000003</v>
      </c>
      <c r="AK73" s="185">
        <v>5161211.8</v>
      </c>
      <c r="AL73" s="185">
        <v>2567109.7999999998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6387250</v>
      </c>
      <c r="AU73" s="185">
        <v>0</v>
      </c>
      <c r="AV73" s="185">
        <v>10689264</v>
      </c>
      <c r="AW73" s="242" t="s">
        <v>221</v>
      </c>
      <c r="AX73" s="242" t="s">
        <v>221</v>
      </c>
      <c r="AY73" s="242" t="s">
        <v>221</v>
      </c>
      <c r="AZ73" s="242" t="s">
        <v>221</v>
      </c>
      <c r="BA73" s="242" t="s">
        <v>221</v>
      </c>
      <c r="BB73" s="242" t="s">
        <v>221</v>
      </c>
      <c r="BC73" s="242" t="s">
        <v>221</v>
      </c>
      <c r="BD73" s="242" t="s">
        <v>221</v>
      </c>
      <c r="BE73" s="242" t="s">
        <v>221</v>
      </c>
      <c r="BF73" s="242" t="s">
        <v>221</v>
      </c>
      <c r="BG73" s="242" t="s">
        <v>221</v>
      </c>
      <c r="BH73" s="242" t="s">
        <v>221</v>
      </c>
      <c r="BI73" s="242" t="s">
        <v>221</v>
      </c>
      <c r="BJ73" s="242" t="s">
        <v>221</v>
      </c>
      <c r="BK73" s="242" t="s">
        <v>221</v>
      </c>
      <c r="BL73" s="242" t="s">
        <v>221</v>
      </c>
      <c r="BM73" s="242" t="s">
        <v>221</v>
      </c>
      <c r="BN73" s="242" t="s">
        <v>221</v>
      </c>
      <c r="BO73" s="242" t="s">
        <v>221</v>
      </c>
      <c r="BP73" s="242" t="s">
        <v>221</v>
      </c>
      <c r="BQ73" s="242" t="s">
        <v>221</v>
      </c>
      <c r="BR73" s="242" t="s">
        <v>221</v>
      </c>
      <c r="BS73" s="242" t="s">
        <v>221</v>
      </c>
      <c r="BT73" s="242" t="s">
        <v>221</v>
      </c>
      <c r="BU73" s="242" t="s">
        <v>221</v>
      </c>
      <c r="BV73" s="242" t="s">
        <v>221</v>
      </c>
      <c r="BW73" s="242" t="s">
        <v>221</v>
      </c>
      <c r="BX73" s="242" t="s">
        <v>221</v>
      </c>
      <c r="BY73" s="242" t="s">
        <v>221</v>
      </c>
      <c r="BZ73" s="242" t="s">
        <v>221</v>
      </c>
      <c r="CA73" s="242" t="s">
        <v>221</v>
      </c>
      <c r="CB73" s="242" t="s">
        <v>221</v>
      </c>
      <c r="CC73" s="242" t="s">
        <v>221</v>
      </c>
      <c r="CD73" s="242" t="s">
        <v>221</v>
      </c>
      <c r="CE73" s="195">
        <f t="shared" ref="CE73:CE80" si="8">SUM(C73:CD73)</f>
        <v>1754592481.3200004</v>
      </c>
      <c r="CF73" s="245"/>
    </row>
    <row r="74" spans="1:84" ht="12.6" customHeight="1" x14ac:dyDescent="0.25">
      <c r="A74" s="171" t="s">
        <v>246</v>
      </c>
      <c r="B74" s="175"/>
      <c r="C74" s="184">
        <v>432029.8</v>
      </c>
      <c r="D74" s="184">
        <v>0</v>
      </c>
      <c r="E74" s="185">
        <v>26613982.000000004</v>
      </c>
      <c r="F74" s="185">
        <v>0</v>
      </c>
      <c r="G74" s="184">
        <v>1172555.6000000001</v>
      </c>
      <c r="H74" s="184">
        <v>31241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136823370.34</v>
      </c>
      <c r="Q74" s="185">
        <v>23442911.599999998</v>
      </c>
      <c r="R74" s="185">
        <v>42734985.100000001</v>
      </c>
      <c r="S74" s="185">
        <v>9246522.0500000026</v>
      </c>
      <c r="T74" s="185">
        <v>0</v>
      </c>
      <c r="U74" s="185">
        <v>77682651.159999996</v>
      </c>
      <c r="V74" s="185">
        <v>43627981.199999996</v>
      </c>
      <c r="W74" s="185">
        <v>31354632.960000001</v>
      </c>
      <c r="X74" s="185">
        <v>14842354.949999999</v>
      </c>
      <c r="Y74" s="185">
        <v>80018741.089999989</v>
      </c>
      <c r="Z74" s="185">
        <v>37668.9</v>
      </c>
      <c r="AA74" s="185">
        <v>3770267.0000000005</v>
      </c>
      <c r="AB74" s="185">
        <v>185927315.67000002</v>
      </c>
      <c r="AC74" s="185">
        <v>2399902.2999999998</v>
      </c>
      <c r="AD74" s="185">
        <v>24702800.100000001</v>
      </c>
      <c r="AE74" s="185">
        <v>17065461.469999999</v>
      </c>
      <c r="AF74" s="185">
        <v>11863142.860000001</v>
      </c>
      <c r="AG74" s="185">
        <v>75594614.399999991</v>
      </c>
      <c r="AH74" s="185">
        <v>46872</v>
      </c>
      <c r="AI74" s="185">
        <v>0</v>
      </c>
      <c r="AJ74" s="185">
        <v>125095968.86</v>
      </c>
      <c r="AK74" s="185">
        <v>3271265.34</v>
      </c>
      <c r="AL74" s="185">
        <v>4964185.0999999996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66090910.5</v>
      </c>
      <c r="AS74" s="185">
        <v>0</v>
      </c>
      <c r="AT74" s="185">
        <v>60701.4</v>
      </c>
      <c r="AU74" s="185">
        <v>0</v>
      </c>
      <c r="AV74" s="185">
        <v>32392</v>
      </c>
      <c r="AW74" s="242" t="s">
        <v>221</v>
      </c>
      <c r="AX74" s="242" t="s">
        <v>221</v>
      </c>
      <c r="AY74" s="242" t="s">
        <v>221</v>
      </c>
      <c r="AZ74" s="242" t="s">
        <v>221</v>
      </c>
      <c r="BA74" s="242" t="s">
        <v>221</v>
      </c>
      <c r="BB74" s="242" t="s">
        <v>221</v>
      </c>
      <c r="BC74" s="242" t="s">
        <v>221</v>
      </c>
      <c r="BD74" s="242" t="s">
        <v>221</v>
      </c>
      <c r="BE74" s="242" t="s">
        <v>221</v>
      </c>
      <c r="BF74" s="242" t="s">
        <v>221</v>
      </c>
      <c r="BG74" s="242" t="s">
        <v>221</v>
      </c>
      <c r="BH74" s="242" t="s">
        <v>221</v>
      </c>
      <c r="BI74" s="242" t="s">
        <v>221</v>
      </c>
      <c r="BJ74" s="242" t="s">
        <v>221</v>
      </c>
      <c r="BK74" s="242" t="s">
        <v>221</v>
      </c>
      <c r="BL74" s="242" t="s">
        <v>221</v>
      </c>
      <c r="BM74" s="242" t="s">
        <v>221</v>
      </c>
      <c r="BN74" s="242" t="s">
        <v>221</v>
      </c>
      <c r="BO74" s="242" t="s">
        <v>221</v>
      </c>
      <c r="BP74" s="242" t="s">
        <v>221</v>
      </c>
      <c r="BQ74" s="242" t="s">
        <v>221</v>
      </c>
      <c r="BR74" s="242" t="s">
        <v>221</v>
      </c>
      <c r="BS74" s="242" t="s">
        <v>221</v>
      </c>
      <c r="BT74" s="242" t="s">
        <v>221</v>
      </c>
      <c r="BU74" s="242" t="s">
        <v>221</v>
      </c>
      <c r="BV74" s="242" t="s">
        <v>221</v>
      </c>
      <c r="BW74" s="242" t="s">
        <v>221</v>
      </c>
      <c r="BX74" s="242" t="s">
        <v>221</v>
      </c>
      <c r="BY74" s="242" t="s">
        <v>221</v>
      </c>
      <c r="BZ74" s="242" t="s">
        <v>221</v>
      </c>
      <c r="CA74" s="242" t="s">
        <v>221</v>
      </c>
      <c r="CB74" s="242" t="s">
        <v>221</v>
      </c>
      <c r="CC74" s="242" t="s">
        <v>221</v>
      </c>
      <c r="CD74" s="242" t="s">
        <v>221</v>
      </c>
      <c r="CE74" s="195">
        <f t="shared" si="8"/>
        <v>1008947426.7499999</v>
      </c>
      <c r="CF74" s="245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442852556.40000004</v>
      </c>
      <c r="D75" s="195">
        <f t="shared" si="9"/>
        <v>0</v>
      </c>
      <c r="E75" s="195">
        <f t="shared" si="9"/>
        <v>396443750.30000001</v>
      </c>
      <c r="F75" s="195">
        <f t="shared" si="9"/>
        <v>0</v>
      </c>
      <c r="G75" s="195">
        <f t="shared" si="9"/>
        <v>21712129.599999998</v>
      </c>
      <c r="H75" s="195">
        <f t="shared" si="9"/>
        <v>89431801.699999988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300844361.23000002</v>
      </c>
      <c r="Q75" s="195">
        <f t="shared" si="9"/>
        <v>33642135</v>
      </c>
      <c r="R75" s="195">
        <f t="shared" si="9"/>
        <v>86469624.300000012</v>
      </c>
      <c r="S75" s="195">
        <f t="shared" si="9"/>
        <v>18831239.580000006</v>
      </c>
      <c r="T75" s="195">
        <f t="shared" si="9"/>
        <v>0</v>
      </c>
      <c r="U75" s="195">
        <f t="shared" si="9"/>
        <v>179697867.15999997</v>
      </c>
      <c r="V75" s="195">
        <f t="shared" si="9"/>
        <v>66167462.399999991</v>
      </c>
      <c r="W75" s="195">
        <f t="shared" si="9"/>
        <v>40181626.32</v>
      </c>
      <c r="X75" s="195">
        <f t="shared" si="9"/>
        <v>24571098.299999997</v>
      </c>
      <c r="Y75" s="195">
        <f t="shared" si="9"/>
        <v>125825881.36999999</v>
      </c>
      <c r="Z75" s="195">
        <f t="shared" si="9"/>
        <v>1714077.7999999998</v>
      </c>
      <c r="AA75" s="195">
        <f t="shared" si="9"/>
        <v>4894015.1000000006</v>
      </c>
      <c r="AB75" s="195">
        <f t="shared" si="9"/>
        <v>420366368.08000004</v>
      </c>
      <c r="AC75" s="195">
        <f t="shared" si="9"/>
        <v>104555457.60000001</v>
      </c>
      <c r="AD75" s="195">
        <f t="shared" si="9"/>
        <v>36069986.5</v>
      </c>
      <c r="AE75" s="195">
        <f t="shared" si="9"/>
        <v>22967921.369999997</v>
      </c>
      <c r="AF75" s="195">
        <f t="shared" si="9"/>
        <v>12751157.290000001</v>
      </c>
      <c r="AG75" s="195">
        <f t="shared" si="9"/>
        <v>105358208.8</v>
      </c>
      <c r="AH75" s="195">
        <f t="shared" si="9"/>
        <v>829374.00000000012</v>
      </c>
      <c r="AI75" s="195">
        <f t="shared" si="9"/>
        <v>0</v>
      </c>
      <c r="AJ75" s="195">
        <f t="shared" si="9"/>
        <v>128137517.93000001</v>
      </c>
      <c r="AK75" s="195">
        <f t="shared" si="9"/>
        <v>8432477.1400000006</v>
      </c>
      <c r="AL75" s="195">
        <f t="shared" si="9"/>
        <v>7531294.8999999994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66090910.5</v>
      </c>
      <c r="AS75" s="195">
        <f t="shared" si="9"/>
        <v>0</v>
      </c>
      <c r="AT75" s="195">
        <f t="shared" si="9"/>
        <v>6447951.4000000004</v>
      </c>
      <c r="AU75" s="195">
        <f t="shared" si="9"/>
        <v>0</v>
      </c>
      <c r="AV75" s="195">
        <f t="shared" si="9"/>
        <v>10721656</v>
      </c>
      <c r="AW75" s="242" t="s">
        <v>221</v>
      </c>
      <c r="AX75" s="242" t="s">
        <v>221</v>
      </c>
      <c r="AY75" s="242" t="s">
        <v>221</v>
      </c>
      <c r="AZ75" s="242" t="s">
        <v>221</v>
      </c>
      <c r="BA75" s="242" t="s">
        <v>221</v>
      </c>
      <c r="BB75" s="242" t="s">
        <v>221</v>
      </c>
      <c r="BC75" s="242" t="s">
        <v>221</v>
      </c>
      <c r="BD75" s="242" t="s">
        <v>221</v>
      </c>
      <c r="BE75" s="242" t="s">
        <v>221</v>
      </c>
      <c r="BF75" s="242" t="s">
        <v>221</v>
      </c>
      <c r="BG75" s="242" t="s">
        <v>221</v>
      </c>
      <c r="BH75" s="242" t="s">
        <v>221</v>
      </c>
      <c r="BI75" s="242" t="s">
        <v>221</v>
      </c>
      <c r="BJ75" s="242" t="s">
        <v>221</v>
      </c>
      <c r="BK75" s="242" t="s">
        <v>221</v>
      </c>
      <c r="BL75" s="242" t="s">
        <v>221</v>
      </c>
      <c r="BM75" s="242" t="s">
        <v>221</v>
      </c>
      <c r="BN75" s="242" t="s">
        <v>221</v>
      </c>
      <c r="BO75" s="242" t="s">
        <v>221</v>
      </c>
      <c r="BP75" s="242" t="s">
        <v>221</v>
      </c>
      <c r="BQ75" s="242" t="s">
        <v>221</v>
      </c>
      <c r="BR75" s="242" t="s">
        <v>221</v>
      </c>
      <c r="BS75" s="242" t="s">
        <v>221</v>
      </c>
      <c r="BT75" s="242" t="s">
        <v>221</v>
      </c>
      <c r="BU75" s="242" t="s">
        <v>221</v>
      </c>
      <c r="BV75" s="242" t="s">
        <v>221</v>
      </c>
      <c r="BW75" s="242" t="s">
        <v>221</v>
      </c>
      <c r="BX75" s="242" t="s">
        <v>221</v>
      </c>
      <c r="BY75" s="242" t="s">
        <v>221</v>
      </c>
      <c r="BZ75" s="242" t="s">
        <v>221</v>
      </c>
      <c r="CA75" s="242" t="s">
        <v>221</v>
      </c>
      <c r="CB75" s="242" t="s">
        <v>221</v>
      </c>
      <c r="CC75" s="242" t="s">
        <v>221</v>
      </c>
      <c r="CD75" s="242" t="s">
        <v>221</v>
      </c>
      <c r="CE75" s="195">
        <f t="shared" si="8"/>
        <v>2763539908.0699997</v>
      </c>
      <c r="CF75" s="245"/>
    </row>
    <row r="76" spans="1:84" ht="12.6" customHeight="1" x14ac:dyDescent="0.25">
      <c r="A76" s="171" t="s">
        <v>248</v>
      </c>
      <c r="B76" s="175"/>
      <c r="C76" s="184">
        <v>74287.567999999999</v>
      </c>
      <c r="D76" s="184">
        <v>0</v>
      </c>
      <c r="E76" s="184">
        <v>221362.16399999999</v>
      </c>
      <c r="F76" s="184">
        <v>0</v>
      </c>
      <c r="G76" s="184">
        <v>11962.39</v>
      </c>
      <c r="H76" s="184">
        <v>61556.491999999998</v>
      </c>
      <c r="I76" s="184">
        <v>0</v>
      </c>
      <c r="J76" s="184">
        <v>0</v>
      </c>
      <c r="K76" s="184">
        <v>0</v>
      </c>
      <c r="L76" s="184">
        <v>0</v>
      </c>
      <c r="M76" s="184">
        <v>0</v>
      </c>
      <c r="N76" s="184">
        <v>0</v>
      </c>
      <c r="O76" s="184">
        <v>0</v>
      </c>
      <c r="P76" s="184">
        <v>99722.272694497195</v>
      </c>
      <c r="Q76" s="184">
        <v>9803.7900000000009</v>
      </c>
      <c r="R76" s="184">
        <v>7599.174</v>
      </c>
      <c r="S76" s="184">
        <v>33673.906923076924</v>
      </c>
      <c r="T76" s="184">
        <v>477.67</v>
      </c>
      <c r="U76" s="184">
        <v>44203.38</v>
      </c>
      <c r="V76" s="184">
        <v>5472.7139999999999</v>
      </c>
      <c r="W76" s="184">
        <v>0</v>
      </c>
      <c r="X76" s="184">
        <v>4161.9791323313448</v>
      </c>
      <c r="Y76" s="184">
        <v>52193.572901298903</v>
      </c>
      <c r="Z76" s="184">
        <v>388.48906929758834</v>
      </c>
      <c r="AA76" s="184">
        <v>2220.0539544764915</v>
      </c>
      <c r="AB76" s="184">
        <v>16736</v>
      </c>
      <c r="AC76" s="184">
        <v>5081.18</v>
      </c>
      <c r="AD76" s="184">
        <v>4836.8999999999996</v>
      </c>
      <c r="AE76" s="184">
        <v>11296.93</v>
      </c>
      <c r="AF76" s="184">
        <v>10764.396000000001</v>
      </c>
      <c r="AG76" s="184">
        <v>33302.934000000001</v>
      </c>
      <c r="AH76" s="184">
        <v>212.64</v>
      </c>
      <c r="AI76" s="184">
        <v>0</v>
      </c>
      <c r="AJ76" s="184">
        <v>189519.525005109</v>
      </c>
      <c r="AK76" s="184">
        <v>3745.2</v>
      </c>
      <c r="AL76" s="184">
        <v>2801.58</v>
      </c>
      <c r="AM76" s="184">
        <v>6698.07</v>
      </c>
      <c r="AN76" s="184">
        <v>0</v>
      </c>
      <c r="AO76" s="184">
        <v>0</v>
      </c>
      <c r="AP76" s="184">
        <v>0</v>
      </c>
      <c r="AQ76" s="184">
        <v>0</v>
      </c>
      <c r="AR76" s="184">
        <v>0</v>
      </c>
      <c r="AS76" s="184">
        <v>0</v>
      </c>
      <c r="AT76" s="184">
        <v>99.05</v>
      </c>
      <c r="AU76" s="184">
        <v>0</v>
      </c>
      <c r="AV76" s="184">
        <v>671.43</v>
      </c>
      <c r="AW76" s="184">
        <v>5529.58</v>
      </c>
      <c r="AX76" s="184">
        <v>0</v>
      </c>
      <c r="AY76" s="184">
        <v>34829</v>
      </c>
      <c r="AZ76" s="184">
        <v>7974</v>
      </c>
      <c r="BA76" s="184">
        <v>0</v>
      </c>
      <c r="BB76" s="184">
        <v>13182.046</v>
      </c>
      <c r="BC76" s="184">
        <v>0</v>
      </c>
      <c r="BD76" s="184">
        <v>6035.4440000000004</v>
      </c>
      <c r="BE76" s="184">
        <v>151600.48699999999</v>
      </c>
      <c r="BF76" s="184">
        <v>6368.5300000000007</v>
      </c>
      <c r="BG76" s="184">
        <v>1369.3</v>
      </c>
      <c r="BH76" s="184">
        <v>49236.720000000008</v>
      </c>
      <c r="BI76" s="184">
        <v>1157.22</v>
      </c>
      <c r="BJ76" s="184">
        <v>221.34</v>
      </c>
      <c r="BK76" s="184">
        <v>384.73</v>
      </c>
      <c r="BL76" s="184">
        <v>1133.1000000000001</v>
      </c>
      <c r="BM76" s="184">
        <v>0</v>
      </c>
      <c r="BN76" s="184">
        <v>54949.67</v>
      </c>
      <c r="BO76" s="184">
        <v>0</v>
      </c>
      <c r="BP76" s="184">
        <v>7988.15</v>
      </c>
      <c r="BQ76" s="184">
        <v>3427.38</v>
      </c>
      <c r="BR76" s="184">
        <v>13009.1</v>
      </c>
      <c r="BS76" s="184">
        <v>2853.14</v>
      </c>
      <c r="BT76" s="184">
        <v>1635.85</v>
      </c>
      <c r="BU76" s="184">
        <v>4108.68</v>
      </c>
      <c r="BV76" s="184">
        <v>14228.98</v>
      </c>
      <c r="BW76" s="184">
        <v>43517.156000000003</v>
      </c>
      <c r="BX76" s="184">
        <v>3691.0499999999997</v>
      </c>
      <c r="BY76" s="184">
        <v>4977.0499999999993</v>
      </c>
      <c r="BZ76" s="184">
        <v>2392.9499999999998</v>
      </c>
      <c r="CA76" s="184">
        <v>0</v>
      </c>
      <c r="CB76" s="184">
        <v>0</v>
      </c>
      <c r="CC76" s="184">
        <f>36475.51-6190</f>
        <v>30285.510000000002</v>
      </c>
      <c r="CD76" s="242" t="s">
        <v>221</v>
      </c>
      <c r="CE76" s="195">
        <f t="shared" si="8"/>
        <v>1380937.6146800872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0</v>
      </c>
      <c r="D77" s="184">
        <v>0</v>
      </c>
      <c r="E77" s="184">
        <v>0</v>
      </c>
      <c r="F77" s="184">
        <v>0</v>
      </c>
      <c r="G77" s="184">
        <v>0</v>
      </c>
      <c r="H77" s="184">
        <v>0</v>
      </c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2" t="s">
        <v>221</v>
      </c>
      <c r="AY77" s="242" t="s">
        <v>221</v>
      </c>
      <c r="AZ77" s="184">
        <v>1092264</v>
      </c>
      <c r="BA77" s="184">
        <v>0</v>
      </c>
      <c r="BB77" s="184">
        <v>0</v>
      </c>
      <c r="BC77" s="184">
        <v>0</v>
      </c>
      <c r="BD77" s="242" t="s">
        <v>221</v>
      </c>
      <c r="BE77" s="242" t="s">
        <v>221</v>
      </c>
      <c r="BF77" s="184"/>
      <c r="BG77" s="242" t="s">
        <v>221</v>
      </c>
      <c r="BH77" s="184"/>
      <c r="BI77" s="184"/>
      <c r="BJ77" s="242" t="s">
        <v>221</v>
      </c>
      <c r="BK77" s="184"/>
      <c r="BL77" s="184"/>
      <c r="BM77" s="184"/>
      <c r="BN77" s="242" t="s">
        <v>221</v>
      </c>
      <c r="BO77" s="242" t="s">
        <v>221</v>
      </c>
      <c r="BP77" s="242" t="s">
        <v>221</v>
      </c>
      <c r="BQ77" s="242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2" t="s">
        <v>221</v>
      </c>
      <c r="CD77" s="242" t="s">
        <v>221</v>
      </c>
      <c r="CE77" s="195">
        <f t="shared" si="8"/>
        <v>1092264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227</v>
      </c>
      <c r="D78" s="184"/>
      <c r="E78" s="184">
        <v>22318</v>
      </c>
      <c r="F78" s="184"/>
      <c r="G78" s="184">
        <v>209</v>
      </c>
      <c r="H78" s="184">
        <v>2168</v>
      </c>
      <c r="I78" s="184"/>
      <c r="J78" s="184"/>
      <c r="K78" s="184"/>
      <c r="L78" s="184"/>
      <c r="M78" s="184"/>
      <c r="N78" s="184"/>
      <c r="O78" s="184"/>
      <c r="P78" s="184">
        <v>4930</v>
      </c>
      <c r="Q78" s="184">
        <v>1154</v>
      </c>
      <c r="R78" s="184">
        <v>9325</v>
      </c>
      <c r="S78" s="184">
        <v>4355</v>
      </c>
      <c r="T78" s="184">
        <v>91</v>
      </c>
      <c r="U78" s="184">
        <v>120565</v>
      </c>
      <c r="V78" s="184">
        <v>7567</v>
      </c>
      <c r="W78" s="184"/>
      <c r="X78" s="184">
        <v>0</v>
      </c>
      <c r="Y78" s="184">
        <v>4131</v>
      </c>
      <c r="Z78" s="184">
        <v>208</v>
      </c>
      <c r="AA78" s="184">
        <v>6719</v>
      </c>
      <c r="AB78" s="184">
        <v>7321</v>
      </c>
      <c r="AC78" s="184">
        <v>34</v>
      </c>
      <c r="AD78" s="184">
        <v>573</v>
      </c>
      <c r="AE78" s="184">
        <v>2246</v>
      </c>
      <c r="AF78" s="184"/>
      <c r="AG78" s="184"/>
      <c r="AH78" s="184"/>
      <c r="AI78" s="184"/>
      <c r="AJ78" s="184">
        <v>12436</v>
      </c>
      <c r="AK78" s="184"/>
      <c r="AL78" s="184"/>
      <c r="AM78" s="184"/>
      <c r="AN78" s="184"/>
      <c r="AO78" s="184"/>
      <c r="AP78" s="184"/>
      <c r="AQ78" s="184"/>
      <c r="AR78" s="184"/>
      <c r="AS78" s="184"/>
      <c r="AT78" s="184">
        <v>987</v>
      </c>
      <c r="AU78" s="184"/>
      <c r="AV78" s="184"/>
      <c r="AW78" s="184"/>
      <c r="AX78" s="242" t="s">
        <v>221</v>
      </c>
      <c r="AY78" s="242" t="s">
        <v>221</v>
      </c>
      <c r="AZ78" s="242" t="s">
        <v>221</v>
      </c>
      <c r="BA78" s="184"/>
      <c r="BB78" s="184"/>
      <c r="BC78" s="184"/>
      <c r="BD78" s="242" t="s">
        <v>221</v>
      </c>
      <c r="BE78" s="242" t="s">
        <v>221</v>
      </c>
      <c r="BF78" s="242" t="s">
        <v>221</v>
      </c>
      <c r="BG78" s="242" t="s">
        <v>221</v>
      </c>
      <c r="BH78" s="184"/>
      <c r="BI78" s="184"/>
      <c r="BJ78" s="242" t="s">
        <v>221</v>
      </c>
      <c r="BK78" s="184"/>
      <c r="BL78" s="184"/>
      <c r="BM78" s="184"/>
      <c r="BN78" s="242" t="s">
        <v>221</v>
      </c>
      <c r="BO78" s="242" t="s">
        <v>221</v>
      </c>
      <c r="BP78" s="242" t="s">
        <v>221</v>
      </c>
      <c r="BQ78" s="242" t="s">
        <v>221</v>
      </c>
      <c r="BR78" s="242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2" t="s">
        <v>221</v>
      </c>
      <c r="CD78" s="242" t="s">
        <v>221</v>
      </c>
      <c r="CE78" s="195">
        <f t="shared" si="8"/>
        <v>207564</v>
      </c>
      <c r="CF78" s="195"/>
    </row>
    <row r="79" spans="1:84" ht="12.6" customHeight="1" x14ac:dyDescent="0.25">
      <c r="A79" s="171" t="s">
        <v>251</v>
      </c>
      <c r="B79" s="175"/>
      <c r="C79" s="221">
        <f>1089336+25892</f>
        <v>1115228</v>
      </c>
      <c r="D79" s="221"/>
      <c r="E79" s="184">
        <v>1589861</v>
      </c>
      <c r="F79" s="184"/>
      <c r="G79" s="184">
        <v>38072</v>
      </c>
      <c r="H79" s="184">
        <v>230750</v>
      </c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>
        <v>29114</v>
      </c>
      <c r="T79" s="184"/>
      <c r="U79" s="184"/>
      <c r="V79" s="184">
        <v>49457</v>
      </c>
      <c r="W79" s="184"/>
      <c r="X79" s="184"/>
      <c r="Y79" s="184">
        <v>278191</v>
      </c>
      <c r="Z79" s="184"/>
      <c r="AA79" s="184"/>
      <c r="AB79" s="184">
        <v>14237</v>
      </c>
      <c r="AC79" s="184"/>
      <c r="AD79" s="184"/>
      <c r="AE79" s="184"/>
      <c r="AF79" s="184"/>
      <c r="AG79" s="184">
        <v>85116</v>
      </c>
      <c r="AH79" s="184"/>
      <c r="AI79" s="184"/>
      <c r="AJ79" s="184">
        <v>102208</v>
      </c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2" t="s">
        <v>221</v>
      </c>
      <c r="AY79" s="242" t="s">
        <v>221</v>
      </c>
      <c r="AZ79" s="242" t="s">
        <v>221</v>
      </c>
      <c r="BA79" s="242" t="s">
        <v>221</v>
      </c>
      <c r="BB79" s="184"/>
      <c r="BC79" s="184"/>
      <c r="BD79" s="242" t="s">
        <v>221</v>
      </c>
      <c r="BE79" s="242" t="s">
        <v>221</v>
      </c>
      <c r="BF79" s="242" t="s">
        <v>221</v>
      </c>
      <c r="BG79" s="242" t="s">
        <v>221</v>
      </c>
      <c r="BH79" s="184"/>
      <c r="BI79" s="920">
        <v>8415</v>
      </c>
      <c r="BJ79" s="242" t="s">
        <v>221</v>
      </c>
      <c r="BK79" s="184"/>
      <c r="BL79" s="184"/>
      <c r="BM79" s="184"/>
      <c r="BN79" s="242" t="s">
        <v>221</v>
      </c>
      <c r="BO79" s="242" t="s">
        <v>221</v>
      </c>
      <c r="BP79" s="242" t="s">
        <v>221</v>
      </c>
      <c r="BQ79" s="242" t="s">
        <v>221</v>
      </c>
      <c r="BR79" s="242" t="s">
        <v>221</v>
      </c>
      <c r="BS79" s="184"/>
      <c r="BT79" s="184"/>
      <c r="BU79" s="184"/>
      <c r="BV79" s="184"/>
      <c r="BW79" s="184">
        <v>22139</v>
      </c>
      <c r="BX79" s="184"/>
      <c r="BY79" s="184"/>
      <c r="BZ79" s="184"/>
      <c r="CA79" s="184"/>
      <c r="CB79" s="184"/>
      <c r="CC79" s="242" t="s">
        <v>221</v>
      </c>
      <c r="CD79" s="242" t="s">
        <v>221</v>
      </c>
      <c r="CE79" s="195">
        <f t="shared" si="8"/>
        <v>3562788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219">
        <v>329.83001871514426</v>
      </c>
      <c r="D80" s="219">
        <v>0</v>
      </c>
      <c r="E80" s="219">
        <v>422.08266163447115</v>
      </c>
      <c r="F80" s="219">
        <v>0</v>
      </c>
      <c r="G80" s="219">
        <v>23.484523781923073</v>
      </c>
      <c r="H80" s="219">
        <v>35.404777420673071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  <c r="O80" s="219">
        <v>0</v>
      </c>
      <c r="P80" s="219">
        <v>73.774646096298085</v>
      </c>
      <c r="Q80" s="219">
        <v>52.524235049519234</v>
      </c>
      <c r="R80" s="219">
        <v>0.97546654302884628</v>
      </c>
      <c r="S80" s="219">
        <v>0</v>
      </c>
      <c r="T80" s="219">
        <v>13.775504143365383</v>
      </c>
      <c r="U80" s="219">
        <v>0</v>
      </c>
      <c r="V80" s="219">
        <v>5.4699519230769239E-2</v>
      </c>
      <c r="W80" s="219">
        <v>4.6874999999999998E-3</v>
      </c>
      <c r="X80" s="219">
        <v>0</v>
      </c>
      <c r="Y80" s="219">
        <v>22.197241910576924</v>
      </c>
      <c r="Z80" s="219">
        <v>4.4984276538461543E-2</v>
      </c>
      <c r="AA80" s="219">
        <v>0</v>
      </c>
      <c r="AB80" s="219">
        <v>0</v>
      </c>
      <c r="AC80" s="219">
        <v>0</v>
      </c>
      <c r="AD80" s="219">
        <v>22.969061258317307</v>
      </c>
      <c r="AE80" s="219">
        <v>0</v>
      </c>
      <c r="AF80" s="219">
        <v>8.1090706333653841</v>
      </c>
      <c r="AG80" s="219">
        <v>72.283463223461524</v>
      </c>
      <c r="AH80" s="219">
        <v>17.603270897403842</v>
      </c>
      <c r="AI80" s="219">
        <v>0</v>
      </c>
      <c r="AJ80" s="219">
        <v>315.37840448754815</v>
      </c>
      <c r="AK80" s="219">
        <v>0</v>
      </c>
      <c r="AL80" s="219">
        <v>0</v>
      </c>
      <c r="AM80" s="219">
        <v>0</v>
      </c>
      <c r="AN80" s="219">
        <v>0</v>
      </c>
      <c r="AO80" s="219">
        <v>0</v>
      </c>
      <c r="AP80" s="219">
        <v>0</v>
      </c>
      <c r="AQ80" s="219">
        <v>3.7465026249999998E-2</v>
      </c>
      <c r="AR80" s="219">
        <v>6.2364694772884626</v>
      </c>
      <c r="AS80" s="219">
        <v>0</v>
      </c>
      <c r="AT80" s="219">
        <v>3.5083166990865386</v>
      </c>
      <c r="AU80" s="219">
        <v>0</v>
      </c>
      <c r="AV80" s="219">
        <v>7.1643909856730756</v>
      </c>
      <c r="AW80" s="242" t="s">
        <v>221</v>
      </c>
      <c r="AX80" s="242" t="s">
        <v>221</v>
      </c>
      <c r="AY80" s="242" t="s">
        <v>221</v>
      </c>
      <c r="AZ80" s="242" t="s">
        <v>221</v>
      </c>
      <c r="BA80" s="242" t="s">
        <v>221</v>
      </c>
      <c r="BB80" s="242" t="s">
        <v>221</v>
      </c>
      <c r="BC80" s="242" t="s">
        <v>221</v>
      </c>
      <c r="BD80" s="242" t="s">
        <v>221</v>
      </c>
      <c r="BE80" s="242" t="s">
        <v>221</v>
      </c>
      <c r="BF80" s="242" t="s">
        <v>221</v>
      </c>
      <c r="BG80" s="242" t="s">
        <v>221</v>
      </c>
      <c r="BH80" s="242" t="s">
        <v>221</v>
      </c>
      <c r="BI80" s="242" t="s">
        <v>221</v>
      </c>
      <c r="BJ80" s="242" t="s">
        <v>221</v>
      </c>
      <c r="BK80" s="242" t="s">
        <v>221</v>
      </c>
      <c r="BL80" s="242" t="s">
        <v>221</v>
      </c>
      <c r="BM80" s="242" t="s">
        <v>221</v>
      </c>
      <c r="BN80" s="242" t="s">
        <v>221</v>
      </c>
      <c r="BO80" s="242" t="s">
        <v>221</v>
      </c>
      <c r="BP80" s="242" t="s">
        <v>221</v>
      </c>
      <c r="BQ80" s="242" t="s">
        <v>221</v>
      </c>
      <c r="BR80" s="242" t="s">
        <v>221</v>
      </c>
      <c r="BS80" s="242" t="s">
        <v>221</v>
      </c>
      <c r="BT80" s="242" t="s">
        <v>221</v>
      </c>
      <c r="BU80" s="247"/>
      <c r="BV80" s="247"/>
      <c r="BW80" s="247"/>
      <c r="BX80" s="247"/>
      <c r="BY80" s="247"/>
      <c r="BZ80" s="247"/>
      <c r="CA80" s="247"/>
      <c r="CB80" s="247"/>
      <c r="CC80" s="242" t="s">
        <v>221</v>
      </c>
      <c r="CD80" s="242" t="s">
        <v>221</v>
      </c>
      <c r="CE80" s="248">
        <f t="shared" si="8"/>
        <v>1427.4433592791634</v>
      </c>
      <c r="CF80" s="248"/>
    </row>
    <row r="81" spans="1:5" ht="12.6" customHeight="1" x14ac:dyDescent="0.25">
      <c r="A81" s="205" t="s">
        <v>253</v>
      </c>
      <c r="B81" s="205"/>
      <c r="C81" s="205"/>
      <c r="D81" s="205"/>
      <c r="E81" s="205"/>
    </row>
    <row r="82" spans="1:5" ht="12.6" customHeight="1" x14ac:dyDescent="0.25">
      <c r="A82" s="171" t="s">
        <v>254</v>
      </c>
      <c r="B82" s="172"/>
      <c r="C82" s="267" t="s">
        <v>1002</v>
      </c>
      <c r="D82" s="249"/>
      <c r="E82" s="175"/>
    </row>
    <row r="83" spans="1:5" ht="12.6" customHeight="1" x14ac:dyDescent="0.25">
      <c r="A83" s="173" t="s">
        <v>255</v>
      </c>
      <c r="B83" s="172" t="s">
        <v>256</v>
      </c>
      <c r="C83" s="222" t="s">
        <v>1003</v>
      </c>
      <c r="D83" s="249"/>
      <c r="E83" s="175"/>
    </row>
    <row r="84" spans="1:5" ht="12.6" customHeight="1" x14ac:dyDescent="0.25">
      <c r="A84" s="173" t="s">
        <v>257</v>
      </c>
      <c r="B84" s="172" t="s">
        <v>256</v>
      </c>
      <c r="C84" s="222" t="s">
        <v>1005</v>
      </c>
      <c r="D84" s="202"/>
      <c r="E84" s="201"/>
    </row>
    <row r="85" spans="1:5" ht="12.6" customHeight="1" x14ac:dyDescent="0.25">
      <c r="A85" s="173" t="s">
        <v>988</v>
      </c>
      <c r="B85" s="172"/>
      <c r="C85" s="222" t="s">
        <v>1006</v>
      </c>
      <c r="D85" s="202"/>
      <c r="E85" s="201"/>
    </row>
    <row r="86" spans="1:5" ht="12.6" customHeight="1" x14ac:dyDescent="0.25">
      <c r="A86" s="173" t="s">
        <v>989</v>
      </c>
      <c r="B86" s="172" t="s">
        <v>256</v>
      </c>
      <c r="C86" s="222" t="s">
        <v>1007</v>
      </c>
      <c r="D86" s="202"/>
      <c r="E86" s="201"/>
    </row>
    <row r="87" spans="1:5" ht="12.6" customHeight="1" x14ac:dyDescent="0.25">
      <c r="A87" s="173" t="s">
        <v>258</v>
      </c>
      <c r="B87" s="172" t="s">
        <v>256</v>
      </c>
      <c r="C87" s="222" t="s">
        <v>1008</v>
      </c>
      <c r="D87" s="202"/>
      <c r="E87" s="201"/>
    </row>
    <row r="88" spans="1:5" ht="12.6" customHeight="1" x14ac:dyDescent="0.25">
      <c r="A88" s="173" t="s">
        <v>259</v>
      </c>
      <c r="B88" s="172" t="s">
        <v>256</v>
      </c>
      <c r="C88" s="222" t="s">
        <v>1001</v>
      </c>
      <c r="D88" s="202"/>
      <c r="E88" s="201"/>
    </row>
    <row r="89" spans="1:5" ht="12.6" customHeight="1" x14ac:dyDescent="0.25">
      <c r="A89" s="173" t="s">
        <v>260</v>
      </c>
      <c r="B89" s="172" t="s">
        <v>256</v>
      </c>
      <c r="C89" s="222" t="s">
        <v>1009</v>
      </c>
      <c r="D89" s="202"/>
      <c r="E89" s="201"/>
    </row>
    <row r="90" spans="1:5" ht="12.6" customHeight="1" x14ac:dyDescent="0.25">
      <c r="A90" s="173" t="s">
        <v>261</v>
      </c>
      <c r="B90" s="172" t="s">
        <v>256</v>
      </c>
      <c r="C90" s="222" t="s">
        <v>1010</v>
      </c>
      <c r="D90" s="202"/>
      <c r="E90" s="201"/>
    </row>
    <row r="91" spans="1:5" ht="12.6" customHeight="1" x14ac:dyDescent="0.25">
      <c r="A91" s="173" t="s">
        <v>262</v>
      </c>
      <c r="B91" s="172" t="s">
        <v>256</v>
      </c>
      <c r="C91" s="222" t="s">
        <v>1011</v>
      </c>
      <c r="D91" s="202"/>
      <c r="E91" s="201"/>
    </row>
    <row r="92" spans="1:5" ht="12.6" customHeight="1" x14ac:dyDescent="0.25">
      <c r="A92" s="173" t="s">
        <v>263</v>
      </c>
      <c r="B92" s="172" t="s">
        <v>256</v>
      </c>
      <c r="C92" s="222" t="s">
        <v>1012</v>
      </c>
      <c r="D92" s="249"/>
      <c r="E92" s="175"/>
    </row>
    <row r="93" spans="1:5" ht="12.6" customHeight="1" x14ac:dyDescent="0.25">
      <c r="A93" s="173" t="s">
        <v>264</v>
      </c>
      <c r="B93" s="172" t="s">
        <v>256</v>
      </c>
      <c r="C93" s="267" t="s">
        <v>1013</v>
      </c>
      <c r="D93" s="249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5" t="s">
        <v>265</v>
      </c>
      <c r="B95" s="205"/>
      <c r="C95" s="205"/>
      <c r="D95" s="205"/>
      <c r="E95" s="205"/>
    </row>
    <row r="96" spans="1:5" ht="12.6" customHeight="1" x14ac:dyDescent="0.25">
      <c r="A96" s="250" t="s">
        <v>266</v>
      </c>
      <c r="B96" s="250"/>
      <c r="C96" s="250"/>
      <c r="D96" s="250"/>
      <c r="E96" s="250"/>
    </row>
    <row r="97" spans="1:14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14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14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14" ht="12.6" customHeight="1" x14ac:dyDescent="0.25">
      <c r="A100" s="250" t="s">
        <v>269</v>
      </c>
      <c r="B100" s="250"/>
      <c r="C100" s="250"/>
      <c r="D100" s="250"/>
      <c r="E100" s="250"/>
    </row>
    <row r="101" spans="1:14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14" ht="12.6" customHeight="1" x14ac:dyDescent="0.25">
      <c r="A102" s="173" t="s">
        <v>132</v>
      </c>
      <c r="B102" s="172" t="s">
        <v>256</v>
      </c>
      <c r="C102" s="218">
        <v>1</v>
      </c>
      <c r="D102" s="175"/>
      <c r="E102" s="175"/>
    </row>
    <row r="103" spans="1:14" ht="12.6" customHeight="1" x14ac:dyDescent="0.25">
      <c r="A103" s="250" t="s">
        <v>271</v>
      </c>
      <c r="B103" s="250"/>
      <c r="C103" s="250"/>
      <c r="D103" s="250"/>
      <c r="E103" s="250"/>
    </row>
    <row r="104" spans="1:14" ht="12.6" customHeight="1" x14ac:dyDescent="0.25">
      <c r="A104" s="173" t="s">
        <v>272</v>
      </c>
      <c r="B104" s="172" t="s">
        <v>256</v>
      </c>
      <c r="C104" s="189"/>
      <c r="D104" s="175"/>
      <c r="E104" s="175"/>
      <c r="N104" s="180" t="s">
        <v>2919</v>
      </c>
    </row>
    <row r="105" spans="1:14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14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14" ht="21.75" customHeight="1" x14ac:dyDescent="0.25">
      <c r="A107" s="173"/>
      <c r="B107" s="172"/>
      <c r="C107" s="190"/>
      <c r="D107" s="175"/>
      <c r="E107" s="175"/>
    </row>
    <row r="108" spans="1:14" ht="13.5" customHeight="1" x14ac:dyDescent="0.25">
      <c r="A108" s="204" t="s">
        <v>275</v>
      </c>
      <c r="B108" s="205"/>
      <c r="C108" s="205"/>
      <c r="D108" s="205"/>
      <c r="E108" s="205"/>
    </row>
    <row r="109" spans="1:14" ht="13.5" customHeight="1" x14ac:dyDescent="0.25">
      <c r="A109" s="173"/>
      <c r="B109" s="172"/>
      <c r="C109" s="190"/>
      <c r="D109" s="175"/>
      <c r="E109" s="175"/>
    </row>
    <row r="110" spans="1:14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14" ht="12.6" customHeight="1" x14ac:dyDescent="0.25">
      <c r="A111" s="173" t="s">
        <v>278</v>
      </c>
      <c r="B111" s="172" t="s">
        <v>256</v>
      </c>
      <c r="C111" s="189">
        <v>16032</v>
      </c>
      <c r="D111" s="174">
        <v>105432</v>
      </c>
      <c r="E111" s="175"/>
    </row>
    <row r="112" spans="1:14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10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10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10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10" ht="12.6" customHeight="1" x14ac:dyDescent="0.25">
      <c r="A116" s="173" t="s">
        <v>283</v>
      </c>
      <c r="B116" s="172" t="s">
        <v>256</v>
      </c>
      <c r="C116" s="189">
        <v>91</v>
      </c>
      <c r="D116" s="175"/>
      <c r="E116" s="175"/>
    </row>
    <row r="117" spans="1:10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10" ht="12.6" customHeight="1" x14ac:dyDescent="0.25">
      <c r="A118" s="173" t="s">
        <v>976</v>
      </c>
      <c r="B118" s="172" t="s">
        <v>256</v>
      </c>
      <c r="C118" s="189">
        <v>217</v>
      </c>
      <c r="D118" s="175"/>
      <c r="E118" s="175"/>
    </row>
    <row r="119" spans="1:10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10" ht="12.6" customHeight="1" x14ac:dyDescent="0.25">
      <c r="A120" s="173" t="s">
        <v>286</v>
      </c>
      <c r="B120" s="172" t="s">
        <v>256</v>
      </c>
      <c r="C120" s="189"/>
      <c r="D120" s="175"/>
      <c r="E120" s="175"/>
      <c r="I120" s="911" t="s">
        <v>2835</v>
      </c>
    </row>
    <row r="121" spans="1:10" ht="12.6" customHeight="1" x14ac:dyDescent="0.25">
      <c r="A121" s="173" t="s">
        <v>287</v>
      </c>
      <c r="B121" s="172" t="s">
        <v>256</v>
      </c>
      <c r="C121" s="189">
        <v>12</v>
      </c>
      <c r="D121" s="175"/>
      <c r="E121" s="175"/>
    </row>
    <row r="122" spans="1:10" ht="12.6" customHeight="1" x14ac:dyDescent="0.25">
      <c r="A122" s="173" t="s">
        <v>97</v>
      </c>
      <c r="B122" s="172" t="s">
        <v>256</v>
      </c>
      <c r="C122" s="189">
        <v>41</v>
      </c>
      <c r="D122" s="175"/>
      <c r="E122" s="175"/>
      <c r="I122" s="895" t="s">
        <v>2833</v>
      </c>
      <c r="J122" s="180" t="s">
        <v>2834</v>
      </c>
    </row>
    <row r="123" spans="1:10" ht="12.6" customHeight="1" x14ac:dyDescent="0.25">
      <c r="A123" s="173" t="s">
        <v>288</v>
      </c>
      <c r="B123" s="172" t="s">
        <v>256</v>
      </c>
      <c r="C123" s="189"/>
      <c r="D123" s="175"/>
      <c r="E123" s="175"/>
      <c r="I123" s="895" t="s">
        <v>2836</v>
      </c>
      <c r="J123" s="180" t="s">
        <v>2839</v>
      </c>
    </row>
    <row r="124" spans="1:10" ht="12.6" customHeight="1" x14ac:dyDescent="0.25">
      <c r="A124" s="173" t="s">
        <v>289</v>
      </c>
      <c r="B124" s="172"/>
      <c r="C124" s="189"/>
      <c r="D124" s="175"/>
      <c r="E124" s="175"/>
      <c r="I124" s="913" t="s">
        <v>221</v>
      </c>
      <c r="J124" s="180" t="s">
        <v>2863</v>
      </c>
    </row>
    <row r="125" spans="1:10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10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10" ht="12.6" customHeight="1" x14ac:dyDescent="0.25">
      <c r="A127" s="173" t="s">
        <v>291</v>
      </c>
      <c r="B127" s="175"/>
      <c r="C127" s="191"/>
      <c r="D127" s="175"/>
      <c r="E127" s="175">
        <f>SUM(C116:C126)</f>
        <v>361</v>
      </c>
    </row>
    <row r="128" spans="1:10" ht="12.6" customHeight="1" x14ac:dyDescent="0.25">
      <c r="A128" s="173" t="s">
        <v>292</v>
      </c>
      <c r="B128" s="172" t="s">
        <v>256</v>
      </c>
      <c r="C128" s="189">
        <v>407</v>
      </c>
      <c r="D128" s="175"/>
      <c r="E128" s="175"/>
    </row>
    <row r="129" spans="1:11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11" ht="12.6" customHeight="1" x14ac:dyDescent="0.25">
      <c r="A130" s="173"/>
      <c r="B130" s="175"/>
      <c r="C130" s="191"/>
      <c r="D130" s="175"/>
      <c r="E130" s="175"/>
    </row>
    <row r="131" spans="1:11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11" ht="12.6" customHeight="1" x14ac:dyDescent="0.25">
      <c r="A132" s="173"/>
      <c r="B132" s="173"/>
      <c r="C132" s="191"/>
      <c r="D132" s="175"/>
      <c r="E132" s="175"/>
    </row>
    <row r="133" spans="1:11" ht="12.6" customHeight="1" x14ac:dyDescent="0.25">
      <c r="A133" s="173"/>
      <c r="B133" s="173"/>
      <c r="C133" s="191"/>
      <c r="D133" s="175"/>
      <c r="E133" s="175"/>
    </row>
    <row r="134" spans="1:11" ht="12.6" customHeight="1" x14ac:dyDescent="0.25">
      <c r="A134" s="173"/>
      <c r="B134" s="173"/>
      <c r="C134" s="191"/>
      <c r="D134" s="175"/>
      <c r="E134" s="175"/>
    </row>
    <row r="135" spans="1:11" ht="18" customHeight="1" x14ac:dyDescent="0.25">
      <c r="A135" s="173"/>
      <c r="B135" s="173"/>
      <c r="C135" s="191"/>
      <c r="D135" s="175"/>
      <c r="E135" s="175"/>
      <c r="H135" s="896" t="s">
        <v>1093</v>
      </c>
      <c r="I135" s="896" t="s">
        <v>2838</v>
      </c>
      <c r="J135" s="896" t="s">
        <v>2837</v>
      </c>
    </row>
    <row r="136" spans="1:11" ht="12.6" customHeight="1" x14ac:dyDescent="0.25">
      <c r="A136" s="205" t="s">
        <v>977</v>
      </c>
      <c r="B136" s="204"/>
      <c r="C136" s="204"/>
      <c r="D136" s="204"/>
      <c r="E136" s="204"/>
      <c r="H136" s="897"/>
      <c r="I136" s="905"/>
      <c r="K136" s="898"/>
    </row>
    <row r="137" spans="1:11" ht="12.6" customHeight="1" x14ac:dyDescent="0.25">
      <c r="A137" s="251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  <c r="H137" s="898"/>
      <c r="I137" s="906"/>
      <c r="K137" s="898"/>
    </row>
    <row r="138" spans="1:11" ht="12.6" customHeight="1" x14ac:dyDescent="0.25">
      <c r="A138" s="173" t="s">
        <v>277</v>
      </c>
      <c r="B138" s="174">
        <v>176</v>
      </c>
      <c r="C138" s="189">
        <v>7310</v>
      </c>
      <c r="D138" s="174">
        <v>8546</v>
      </c>
      <c r="E138" s="175">
        <f>SUM(B138:D138)</f>
        <v>16032</v>
      </c>
      <c r="H138" s="898"/>
      <c r="I138" s="906"/>
      <c r="K138" s="898"/>
    </row>
    <row r="139" spans="1:11" ht="12.6" customHeight="1" x14ac:dyDescent="0.25">
      <c r="A139" s="173" t="s">
        <v>215</v>
      </c>
      <c r="B139" s="174">
        <v>1130</v>
      </c>
      <c r="C139" s="189">
        <v>53619</v>
      </c>
      <c r="D139" s="174">
        <v>50683</v>
      </c>
      <c r="E139" s="175">
        <f>SUM(B139:D139)</f>
        <v>105432</v>
      </c>
      <c r="H139" s="898"/>
      <c r="I139" s="906"/>
      <c r="K139" s="898"/>
    </row>
    <row r="140" spans="1:11" ht="12.6" customHeight="1" x14ac:dyDescent="0.25">
      <c r="A140" s="173" t="s">
        <v>298</v>
      </c>
      <c r="B140" s="174">
        <v>3048</v>
      </c>
      <c r="C140" s="174">
        <v>214519</v>
      </c>
      <c r="D140" s="174">
        <v>334480</v>
      </c>
      <c r="E140" s="175">
        <f>SUM(B140:D140)</f>
        <v>552047</v>
      </c>
      <c r="H140" s="898"/>
      <c r="I140" s="906"/>
      <c r="K140" s="898"/>
    </row>
    <row r="141" spans="1:11" ht="12.6" customHeight="1" x14ac:dyDescent="0.25">
      <c r="A141" s="173" t="s">
        <v>245</v>
      </c>
      <c r="B141" s="174">
        <f>Revenue!B7</f>
        <v>19023178.949999999</v>
      </c>
      <c r="C141" s="174">
        <f>Revenue!C7</f>
        <v>906401645.53999996</v>
      </c>
      <c r="D141" s="174">
        <f>Revenue!D7</f>
        <v>828833414.52999997</v>
      </c>
      <c r="E141" s="175">
        <f>SUM(B141:D141)</f>
        <v>1754258239.02</v>
      </c>
      <c r="F141" s="199"/>
      <c r="H141" s="898"/>
      <c r="I141" s="906"/>
      <c r="K141" s="898"/>
    </row>
    <row r="142" spans="1:11" ht="12.6" customHeight="1" x14ac:dyDescent="0.3">
      <c r="A142" s="173" t="s">
        <v>246</v>
      </c>
      <c r="B142" s="174">
        <f>Revenue!B8</f>
        <v>22314693.120000001</v>
      </c>
      <c r="C142" s="174">
        <f>Revenue!C8</f>
        <v>419132792.91999996</v>
      </c>
      <c r="D142" s="174">
        <f>Revenue!D8</f>
        <v>578954808.58000004</v>
      </c>
      <c r="E142" s="175">
        <f>SUM(B142:D142)</f>
        <v>1020402294.62</v>
      </c>
      <c r="F142" s="199"/>
      <c r="G142" s="180">
        <f>E141+E142</f>
        <v>2774660533.6399999</v>
      </c>
      <c r="H142" s="912" t="s">
        <v>2851</v>
      </c>
      <c r="I142" s="907" t="s">
        <v>2846</v>
      </c>
      <c r="J142" s="180" t="s">
        <v>2913</v>
      </c>
      <c r="K142" s="898"/>
    </row>
    <row r="143" spans="1:11" ht="12.6" customHeight="1" x14ac:dyDescent="0.25">
      <c r="A143" s="251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  <c r="H143" s="898"/>
      <c r="I143" s="906"/>
      <c r="K143" s="898"/>
    </row>
    <row r="144" spans="1:11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  <c r="H144" s="898"/>
      <c r="I144" s="906"/>
      <c r="K144" s="898"/>
    </row>
    <row r="145" spans="1:11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  <c r="H145" s="898"/>
      <c r="I145" s="906"/>
      <c r="K145" s="898"/>
    </row>
    <row r="146" spans="1:11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  <c r="H146" s="898"/>
      <c r="I146" s="906"/>
      <c r="K146" s="898"/>
    </row>
    <row r="147" spans="1:11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  <c r="H147" s="898"/>
      <c r="I147" s="906"/>
      <c r="K147" s="898"/>
    </row>
    <row r="148" spans="1:11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  <c r="H148" s="898"/>
      <c r="I148" s="906"/>
      <c r="K148" s="898"/>
    </row>
    <row r="149" spans="1:11" ht="12.6" customHeight="1" x14ac:dyDescent="0.25">
      <c r="A149" s="251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  <c r="H149" s="898"/>
      <c r="I149" s="906"/>
      <c r="K149" s="898"/>
    </row>
    <row r="150" spans="1:11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  <c r="H150" s="898"/>
      <c r="I150" s="906"/>
      <c r="K150" s="898"/>
    </row>
    <row r="151" spans="1:11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  <c r="H151" s="898"/>
      <c r="I151" s="906"/>
      <c r="K151" s="898"/>
    </row>
    <row r="152" spans="1:11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  <c r="H152" s="898"/>
      <c r="I152" s="906"/>
      <c r="K152" s="898"/>
    </row>
    <row r="153" spans="1:11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  <c r="H153" s="898"/>
      <c r="I153" s="906"/>
      <c r="K153" s="898"/>
    </row>
    <row r="154" spans="1:11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  <c r="H154" s="898"/>
      <c r="I154" s="906"/>
      <c r="K154" s="898"/>
    </row>
    <row r="155" spans="1:11" ht="12.6" customHeight="1" x14ac:dyDescent="0.25">
      <c r="A155" s="177"/>
      <c r="B155" s="177"/>
      <c r="C155" s="193"/>
      <c r="D155" s="178"/>
      <c r="E155" s="175"/>
      <c r="H155" s="898"/>
      <c r="I155" s="906"/>
      <c r="K155" s="898"/>
    </row>
    <row r="156" spans="1:11" ht="12.6" customHeight="1" x14ac:dyDescent="0.25">
      <c r="A156" s="251" t="s">
        <v>301</v>
      </c>
      <c r="B156" s="176" t="s">
        <v>302</v>
      </c>
      <c r="C156" s="192" t="s">
        <v>303</v>
      </c>
      <c r="D156" s="175"/>
      <c r="E156" s="175"/>
      <c r="H156" s="898"/>
      <c r="I156" s="906"/>
      <c r="K156" s="898"/>
    </row>
    <row r="157" spans="1:11" ht="12.6" customHeight="1" x14ac:dyDescent="0.25">
      <c r="A157" s="177" t="s">
        <v>304</v>
      </c>
      <c r="B157" s="174"/>
      <c r="C157" s="174"/>
      <c r="D157" s="175"/>
      <c r="E157" s="175"/>
      <c r="H157" s="898"/>
      <c r="I157" s="906"/>
      <c r="K157" s="898"/>
    </row>
    <row r="158" spans="1:11" ht="12.6" customHeight="1" x14ac:dyDescent="0.25">
      <c r="A158" s="177"/>
      <c r="B158" s="178"/>
      <c r="C158" s="193"/>
      <c r="D158" s="175"/>
      <c r="E158" s="175"/>
      <c r="H158" s="898"/>
      <c r="I158" s="906"/>
      <c r="K158" s="898"/>
    </row>
    <row r="159" spans="1:11" ht="12.6" customHeight="1" x14ac:dyDescent="0.25">
      <c r="A159" s="177"/>
      <c r="B159" s="177"/>
      <c r="C159" s="193"/>
      <c r="D159" s="178"/>
      <c r="E159" s="175"/>
      <c r="H159" s="898"/>
      <c r="I159" s="906"/>
      <c r="K159" s="898"/>
    </row>
    <row r="160" spans="1:11" ht="12.6" customHeight="1" x14ac:dyDescent="0.25">
      <c r="A160" s="177"/>
      <c r="B160" s="177"/>
      <c r="C160" s="193"/>
      <c r="D160" s="178"/>
      <c r="E160" s="175"/>
      <c r="H160" s="898"/>
      <c r="I160" s="906"/>
      <c r="K160" s="898"/>
    </row>
    <row r="161" spans="1:11" ht="12.6" customHeight="1" x14ac:dyDescent="0.25">
      <c r="A161" s="177"/>
      <c r="B161" s="177"/>
      <c r="C161" s="193"/>
      <c r="D161" s="178"/>
      <c r="E161" s="175"/>
      <c r="H161" s="898"/>
      <c r="I161" s="906"/>
      <c r="K161" s="898"/>
    </row>
    <row r="162" spans="1:11" ht="21.75" customHeight="1" x14ac:dyDescent="0.25">
      <c r="A162" s="177"/>
      <c r="B162" s="177"/>
      <c r="C162" s="193"/>
      <c r="D162" s="178"/>
      <c r="E162" s="175"/>
      <c r="H162" s="898"/>
      <c r="I162" s="906"/>
      <c r="K162" s="898"/>
    </row>
    <row r="163" spans="1:11" ht="11.4" customHeight="1" x14ac:dyDescent="0.25">
      <c r="A163" s="204" t="s">
        <v>305</v>
      </c>
      <c r="B163" s="205"/>
      <c r="C163" s="205"/>
      <c r="D163" s="205"/>
      <c r="E163" s="205"/>
      <c r="H163" s="898"/>
      <c r="I163" s="906"/>
      <c r="K163" s="898"/>
    </row>
    <row r="164" spans="1:11" ht="11.4" customHeight="1" x14ac:dyDescent="0.25">
      <c r="A164" s="250" t="s">
        <v>306</v>
      </c>
      <c r="B164" s="250"/>
      <c r="C164" s="250"/>
      <c r="D164" s="250"/>
      <c r="E164" s="250"/>
      <c r="H164" s="898"/>
      <c r="I164" s="906"/>
      <c r="K164" s="898"/>
    </row>
    <row r="165" spans="1:11" ht="11.4" customHeight="1" x14ac:dyDescent="0.3">
      <c r="A165" s="173" t="s">
        <v>307</v>
      </c>
      <c r="B165" s="172" t="s">
        <v>256</v>
      </c>
      <c r="C165" s="189">
        <f>SUMIF('GL293'!A:A,A165,'GL293'!E:E)</f>
        <v>47170786.009999998</v>
      </c>
      <c r="D165" s="175"/>
      <c r="E165" s="175"/>
      <c r="H165" s="899" t="s">
        <v>2840</v>
      </c>
      <c r="I165" s="907" t="s">
        <v>2836</v>
      </c>
      <c r="J165" s="180" t="s">
        <v>2908</v>
      </c>
      <c r="K165" s="898"/>
    </row>
    <row r="166" spans="1:11" ht="11.4" customHeight="1" x14ac:dyDescent="0.3">
      <c r="A166" s="173" t="s">
        <v>308</v>
      </c>
      <c r="B166" s="172" t="s">
        <v>256</v>
      </c>
      <c r="C166" s="189">
        <f>SUMIF('GL293'!A:A,A166,'GL293'!E:E)</f>
        <v>630494.97</v>
      </c>
      <c r="D166" s="175"/>
      <c r="E166" s="175"/>
      <c r="H166" s="899" t="s">
        <v>2841</v>
      </c>
      <c r="I166" s="907" t="s">
        <v>2836</v>
      </c>
      <c r="K166" s="898"/>
    </row>
    <row r="167" spans="1:11" ht="11.4" customHeight="1" x14ac:dyDescent="0.3">
      <c r="A167" s="177" t="s">
        <v>309</v>
      </c>
      <c r="B167" s="172" t="s">
        <v>256</v>
      </c>
      <c r="C167" s="189">
        <f>SUMIF('GL293'!A:A,A167,'GL293'!E:E)</f>
        <v>4080454.12</v>
      </c>
      <c r="D167" s="175"/>
      <c r="E167" s="175"/>
      <c r="H167" s="899" t="s">
        <v>2842</v>
      </c>
      <c r="I167" s="907" t="s">
        <v>2836</v>
      </c>
      <c r="K167" s="898"/>
    </row>
    <row r="168" spans="1:11" ht="11.4" customHeight="1" x14ac:dyDescent="0.3">
      <c r="A168" s="173" t="s">
        <v>310</v>
      </c>
      <c r="B168" s="172" t="s">
        <v>256</v>
      </c>
      <c r="C168" s="189">
        <f>SUMIF('GL293'!A:A,A168,'GL293'!E:E)</f>
        <v>87352371.299999997</v>
      </c>
      <c r="D168" s="175"/>
      <c r="E168" s="175"/>
      <c r="H168" s="900">
        <v>7140</v>
      </c>
      <c r="I168" s="907" t="s">
        <v>2836</v>
      </c>
      <c r="J168" s="180" t="s">
        <v>2914</v>
      </c>
      <c r="K168" s="898"/>
    </row>
    <row r="169" spans="1:11" ht="11.4" customHeight="1" x14ac:dyDescent="0.25">
      <c r="A169" s="173" t="s">
        <v>311</v>
      </c>
      <c r="B169" s="172" t="s">
        <v>256</v>
      </c>
      <c r="C169" s="189">
        <f>SUMIF('GL293'!A:A,A169,'GL293'!E:E)</f>
        <v>0</v>
      </c>
      <c r="D169" s="175"/>
      <c r="E169" s="175"/>
      <c r="H169" s="898"/>
      <c r="I169" s="906"/>
      <c r="K169" s="898"/>
    </row>
    <row r="170" spans="1:11" ht="11.4" customHeight="1" x14ac:dyDescent="0.3">
      <c r="A170" s="173" t="s">
        <v>312</v>
      </c>
      <c r="B170" s="172" t="s">
        <v>256</v>
      </c>
      <c r="C170" s="189">
        <f>SUMIF('GL293'!A:A,A170,'GL293'!E:E)</f>
        <v>33074738.399999999</v>
      </c>
      <c r="D170" s="175"/>
      <c r="E170" s="175"/>
      <c r="H170" s="901">
        <f>7160-0</f>
        <v>7160</v>
      </c>
      <c r="I170" s="907" t="s">
        <v>2836</v>
      </c>
      <c r="K170" s="898"/>
    </row>
    <row r="171" spans="1:11" ht="11.4" customHeight="1" x14ac:dyDescent="0.3">
      <c r="A171" s="173" t="s">
        <v>313</v>
      </c>
      <c r="B171" s="172" t="s">
        <v>256</v>
      </c>
      <c r="C171" s="189">
        <f>SUMIF('GL293'!A:A,A171,'GL293'!E:E)</f>
        <v>-944448.84999999404</v>
      </c>
      <c r="D171" s="175"/>
      <c r="E171" s="175"/>
      <c r="H171" s="902" t="s">
        <v>2843</v>
      </c>
      <c r="I171" s="907" t="s">
        <v>2836</v>
      </c>
      <c r="J171" s="180" t="s">
        <v>2917</v>
      </c>
      <c r="K171" s="898"/>
    </row>
    <row r="172" spans="1:11" ht="11.4" customHeight="1" x14ac:dyDescent="0.3">
      <c r="A172" s="173" t="s">
        <v>313</v>
      </c>
      <c r="B172" s="172" t="s">
        <v>256</v>
      </c>
      <c r="C172" s="189"/>
      <c r="D172" s="175"/>
      <c r="E172" s="175"/>
      <c r="H172" s="902"/>
      <c r="I172" s="907" t="s">
        <v>2836</v>
      </c>
      <c r="K172" s="898"/>
    </row>
    <row r="173" spans="1:11" ht="11.4" customHeight="1" x14ac:dyDescent="0.25">
      <c r="A173" s="173" t="s">
        <v>203</v>
      </c>
      <c r="B173" s="175"/>
      <c r="C173" s="191"/>
      <c r="D173" s="175">
        <f>SUM(C165:C172)</f>
        <v>171364395.94999999</v>
      </c>
      <c r="E173" s="175"/>
      <c r="H173" s="898"/>
      <c r="I173" s="906"/>
      <c r="K173" s="898"/>
    </row>
    <row r="174" spans="1:11" ht="11.4" customHeight="1" x14ac:dyDescent="0.25">
      <c r="A174" s="250" t="s">
        <v>314</v>
      </c>
      <c r="B174" s="250"/>
      <c r="C174" s="250"/>
      <c r="D174" s="250"/>
      <c r="E174" s="250"/>
      <c r="H174" s="898"/>
      <c r="I174" s="906"/>
      <c r="K174" s="898"/>
    </row>
    <row r="175" spans="1:11" ht="11.4" customHeight="1" x14ac:dyDescent="0.3">
      <c r="A175" s="173" t="s">
        <v>315</v>
      </c>
      <c r="B175" s="172" t="s">
        <v>256</v>
      </c>
      <c r="C175" s="189">
        <f>SUMIF('GL293'!A:A,A175,'GL293'!E:E)</f>
        <v>30417686.580000002</v>
      </c>
      <c r="D175" s="175"/>
      <c r="E175" s="175"/>
      <c r="H175" s="903" t="s">
        <v>2844</v>
      </c>
      <c r="I175" s="907" t="s">
        <v>2836</v>
      </c>
      <c r="J175" s="894" t="s">
        <v>2912</v>
      </c>
      <c r="K175" s="898"/>
    </row>
    <row r="176" spans="1:11" ht="11.4" customHeight="1" x14ac:dyDescent="0.3">
      <c r="A176" s="173" t="s">
        <v>316</v>
      </c>
      <c r="B176" s="172" t="s">
        <v>256</v>
      </c>
      <c r="C176" s="189">
        <f>SUMIF('GL293'!A:A,A176,'GL293'!E:E)</f>
        <v>2067953.07</v>
      </c>
      <c r="D176" s="175"/>
      <c r="E176" s="175"/>
      <c r="H176" s="903" t="s">
        <v>2845</v>
      </c>
      <c r="I176" s="907" t="s">
        <v>2836</v>
      </c>
      <c r="K176" s="898"/>
    </row>
    <row r="177" spans="1:11" ht="11.4" customHeight="1" x14ac:dyDescent="0.25">
      <c r="A177" s="173" t="s">
        <v>203</v>
      </c>
      <c r="B177" s="175"/>
      <c r="C177" s="191"/>
      <c r="D177" s="175">
        <f>SUM(C175:C176)</f>
        <v>32485639.650000002</v>
      </c>
      <c r="E177" s="175"/>
      <c r="H177" s="898"/>
      <c r="I177" s="906"/>
      <c r="K177" s="898"/>
    </row>
    <row r="178" spans="1:11" ht="11.4" customHeight="1" x14ac:dyDescent="0.25">
      <c r="A178" s="250" t="s">
        <v>317</v>
      </c>
      <c r="B178" s="250"/>
      <c r="C178" s="250"/>
      <c r="D178" s="250"/>
      <c r="E178" s="250"/>
      <c r="H178" s="898"/>
      <c r="I178" s="906"/>
      <c r="K178" s="898"/>
    </row>
    <row r="179" spans="1:11" ht="11.4" customHeight="1" x14ac:dyDescent="0.3">
      <c r="A179" s="173" t="s">
        <v>318</v>
      </c>
      <c r="B179" s="172" t="s">
        <v>256</v>
      </c>
      <c r="C179" s="189">
        <f>SUMIF('GL293'!A:A,A179,'GL293'!E:E)</f>
        <v>684350.01</v>
      </c>
      <c r="D179" s="175"/>
      <c r="E179" s="175"/>
      <c r="H179" s="903" t="s">
        <v>2847</v>
      </c>
      <c r="I179" s="907" t="s">
        <v>2836</v>
      </c>
      <c r="K179" s="898"/>
    </row>
    <row r="180" spans="1:11" ht="11.4" customHeight="1" x14ac:dyDescent="0.3">
      <c r="A180" s="173" t="s">
        <v>319</v>
      </c>
      <c r="B180" s="172" t="s">
        <v>256</v>
      </c>
      <c r="C180" s="189">
        <f>SUMIF('GL293'!A:A,A180,'GL293'!E:E)</f>
        <v>6357422.6999999993</v>
      </c>
      <c r="D180" s="175"/>
      <c r="E180" s="175"/>
      <c r="H180" s="903" t="s">
        <v>2848</v>
      </c>
      <c r="I180" s="907" t="s">
        <v>2836</v>
      </c>
      <c r="J180" s="180" t="s">
        <v>2916</v>
      </c>
      <c r="K180" s="898"/>
    </row>
    <row r="181" spans="1:11" ht="11.4" customHeight="1" x14ac:dyDescent="0.25">
      <c r="A181" s="173" t="s">
        <v>203</v>
      </c>
      <c r="B181" s="175"/>
      <c r="C181" s="191"/>
      <c r="D181" s="175">
        <f>SUM(C179:C180)</f>
        <v>7041772.709999999</v>
      </c>
      <c r="E181" s="175"/>
      <c r="H181" s="898"/>
      <c r="I181" s="906"/>
      <c r="K181" s="898"/>
    </row>
    <row r="182" spans="1:11" ht="11.4" customHeight="1" x14ac:dyDescent="0.25">
      <c r="A182" s="250" t="s">
        <v>320</v>
      </c>
      <c r="B182" s="250"/>
      <c r="C182" s="250"/>
      <c r="D182" s="250"/>
      <c r="E182" s="250"/>
      <c r="H182" s="898"/>
      <c r="I182" s="906"/>
      <c r="K182" s="898"/>
    </row>
    <row r="183" spans="1:11" ht="11.4" customHeight="1" x14ac:dyDescent="0.25">
      <c r="A183" s="173" t="s">
        <v>321</v>
      </c>
      <c r="B183" s="172" t="s">
        <v>256</v>
      </c>
      <c r="C183" s="189"/>
      <c r="D183" s="175"/>
      <c r="E183" s="175"/>
      <c r="H183" s="898"/>
      <c r="I183" s="906"/>
      <c r="K183" s="898"/>
    </row>
    <row r="184" spans="1:11" ht="11.4" customHeight="1" x14ac:dyDescent="0.3">
      <c r="A184" s="173" t="s">
        <v>322</v>
      </c>
      <c r="B184" s="172" t="s">
        <v>256</v>
      </c>
      <c r="C184" s="189">
        <f>SUMIF('GL293'!A:A,A184,'GL293'!E:E)</f>
        <v>46768157.359999999</v>
      </c>
      <c r="D184" s="175"/>
      <c r="E184" s="175"/>
      <c r="H184" s="903" t="s">
        <v>2849</v>
      </c>
      <c r="I184" s="907" t="s">
        <v>2836</v>
      </c>
      <c r="K184" s="898"/>
    </row>
    <row r="185" spans="1:11" ht="11.4" customHeight="1" x14ac:dyDescent="0.25">
      <c r="A185" s="173" t="s">
        <v>132</v>
      </c>
      <c r="B185" s="172" t="s">
        <v>256</v>
      </c>
      <c r="C185" s="189"/>
      <c r="D185" s="175"/>
      <c r="E185" s="175"/>
      <c r="H185" s="898"/>
      <c r="I185" s="906"/>
      <c r="K185" s="898"/>
    </row>
    <row r="186" spans="1:11" ht="11.4" customHeight="1" x14ac:dyDescent="0.25">
      <c r="A186" s="173" t="s">
        <v>203</v>
      </c>
      <c r="B186" s="175"/>
      <c r="C186" s="191"/>
      <c r="D186" s="175">
        <f>SUM(C183:C185)</f>
        <v>46768157.359999999</v>
      </c>
      <c r="E186" s="175"/>
      <c r="H186" s="898"/>
      <c r="I186" s="906"/>
      <c r="K186" s="898"/>
    </row>
    <row r="187" spans="1:11" ht="11.4" customHeight="1" x14ac:dyDescent="0.25">
      <c r="A187" s="250" t="s">
        <v>323</v>
      </c>
      <c r="B187" s="250"/>
      <c r="C187" s="250"/>
      <c r="D187" s="250"/>
      <c r="E187" s="250"/>
      <c r="H187" s="898"/>
      <c r="I187" s="906"/>
      <c r="K187" s="898"/>
    </row>
    <row r="188" spans="1:11" ht="11.4" customHeight="1" x14ac:dyDescent="0.25">
      <c r="A188" s="173" t="s">
        <v>324</v>
      </c>
      <c r="B188" s="172" t="s">
        <v>256</v>
      </c>
      <c r="C188" s="189"/>
      <c r="D188" s="175"/>
      <c r="E188" s="175"/>
      <c r="H188" s="898"/>
      <c r="I188" s="906"/>
      <c r="K188" s="898"/>
    </row>
    <row r="189" spans="1:11" ht="11.4" customHeight="1" x14ac:dyDescent="0.3">
      <c r="A189" s="173" t="s">
        <v>325</v>
      </c>
      <c r="B189" s="172" t="s">
        <v>256</v>
      </c>
      <c r="C189" s="189">
        <f>SUMIF('GL293'!A:A,A189,'GL293'!E:E)</f>
        <v>15254982.23</v>
      </c>
      <c r="D189" s="175"/>
      <c r="E189" s="175"/>
      <c r="H189" s="903" t="s">
        <v>2850</v>
      </c>
      <c r="I189" s="907" t="s">
        <v>2836</v>
      </c>
      <c r="K189" s="898"/>
    </row>
    <row r="190" spans="1:11" ht="11.4" customHeight="1" x14ac:dyDescent="0.25">
      <c r="A190" s="173" t="s">
        <v>203</v>
      </c>
      <c r="B190" s="175"/>
      <c r="C190" s="191"/>
      <c r="D190" s="175">
        <f>SUM(C188:C189)</f>
        <v>15254982.23</v>
      </c>
      <c r="E190" s="175"/>
      <c r="H190" s="898"/>
      <c r="I190" s="906"/>
      <c r="K190" s="898"/>
    </row>
    <row r="191" spans="1:11" ht="18" customHeight="1" x14ac:dyDescent="0.25">
      <c r="A191" s="173"/>
      <c r="B191" s="175"/>
      <c r="C191" s="191"/>
      <c r="D191" s="175"/>
      <c r="E191" s="175"/>
      <c r="H191" s="898"/>
      <c r="I191" s="906"/>
      <c r="K191" s="898"/>
    </row>
    <row r="192" spans="1:11" ht="12.6" customHeight="1" x14ac:dyDescent="0.25">
      <c r="A192" s="205" t="s">
        <v>326</v>
      </c>
      <c r="B192" s="205"/>
      <c r="C192" s="205"/>
      <c r="D192" s="205"/>
      <c r="E192" s="205"/>
      <c r="H192" s="898"/>
      <c r="I192" s="906"/>
      <c r="K192" s="898"/>
    </row>
    <row r="193" spans="1:11" ht="12.6" customHeight="1" x14ac:dyDescent="0.25">
      <c r="A193" s="204" t="s">
        <v>327</v>
      </c>
      <c r="B193" s="205"/>
      <c r="C193" s="205"/>
      <c r="D193" s="205"/>
      <c r="E193" s="205"/>
      <c r="H193" s="898"/>
      <c r="I193" s="906"/>
      <c r="K193" s="898"/>
    </row>
    <row r="194" spans="1:11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  <c r="H194" s="914"/>
      <c r="I194" s="906"/>
      <c r="K194" s="898"/>
    </row>
    <row r="195" spans="1:11" ht="12.6" customHeight="1" x14ac:dyDescent="0.3">
      <c r="A195" s="173" t="s">
        <v>332</v>
      </c>
      <c r="B195" s="174">
        <v>219455313.39999998</v>
      </c>
      <c r="C195" s="189">
        <f>'801 SCH 2019 '!F105</f>
        <v>1711000</v>
      </c>
      <c r="D195" s="174">
        <f>-'801 SCH 2019 '!G105</f>
        <v>0</v>
      </c>
      <c r="E195" s="175">
        <f t="shared" ref="E195:E203" si="10">SUM(B195:C195)-D195</f>
        <v>221166313.39999998</v>
      </c>
      <c r="H195" s="903" t="s">
        <v>2875</v>
      </c>
      <c r="I195" s="907" t="s">
        <v>2836</v>
      </c>
      <c r="J195" s="180" t="s">
        <v>2886</v>
      </c>
      <c r="K195" s="898"/>
    </row>
    <row r="196" spans="1:11" ht="12.6" customHeight="1" x14ac:dyDescent="0.3">
      <c r="A196" s="173" t="s">
        <v>333</v>
      </c>
      <c r="B196" s="174">
        <v>14657705.77</v>
      </c>
      <c r="C196" s="189">
        <f>'801 SCH 2019 '!F106</f>
        <v>32724.030000001192</v>
      </c>
      <c r="D196" s="174">
        <f>-'801 SCH 2019 '!G106</f>
        <v>0</v>
      </c>
      <c r="E196" s="175">
        <f t="shared" si="10"/>
        <v>14690429.800000001</v>
      </c>
      <c r="H196" s="903" t="s">
        <v>2876</v>
      </c>
      <c r="I196" s="907" t="s">
        <v>2836</v>
      </c>
      <c r="J196" s="180" t="s">
        <v>2886</v>
      </c>
      <c r="K196" s="898"/>
    </row>
    <row r="197" spans="1:11" ht="12.6" customHeight="1" x14ac:dyDescent="0.3">
      <c r="A197" s="173" t="s">
        <v>334</v>
      </c>
      <c r="B197" s="174">
        <v>961783604.61000013</v>
      </c>
      <c r="C197" s="189">
        <f>'801 SCH 2019 '!F107</f>
        <v>301503133.79000008</v>
      </c>
      <c r="D197" s="174">
        <f>-'801 SCH 2019 '!G107</f>
        <v>149282.17000000001</v>
      </c>
      <c r="E197" s="175">
        <f t="shared" si="10"/>
        <v>1263137456.23</v>
      </c>
      <c r="H197" s="903" t="s">
        <v>2874</v>
      </c>
      <c r="I197" s="907" t="s">
        <v>2836</v>
      </c>
      <c r="J197" s="180" t="s">
        <v>2886</v>
      </c>
      <c r="K197" s="898"/>
    </row>
    <row r="198" spans="1:11" ht="12.6" customHeight="1" x14ac:dyDescent="0.25">
      <c r="A198" s="173" t="s">
        <v>335</v>
      </c>
      <c r="B198" s="174">
        <v>0</v>
      </c>
      <c r="C198" s="189">
        <f>'801 SCH 2019 '!F108</f>
        <v>0</v>
      </c>
      <c r="D198" s="174">
        <f>-'801 SCH 2019 '!G108</f>
        <v>0</v>
      </c>
      <c r="E198" s="175">
        <f t="shared" si="10"/>
        <v>0</v>
      </c>
      <c r="H198" s="898"/>
      <c r="I198" s="906"/>
      <c r="K198" s="898"/>
    </row>
    <row r="199" spans="1:11" ht="12.6" customHeight="1" x14ac:dyDescent="0.3">
      <c r="A199" s="173" t="s">
        <v>336</v>
      </c>
      <c r="B199" s="174">
        <v>44738075.660000004</v>
      </c>
      <c r="C199" s="189">
        <f>'801 SCH 2019 '!F109</f>
        <v>19265417.780000001</v>
      </c>
      <c r="D199" s="174">
        <f>-'801 SCH 2019 '!G109</f>
        <v>0</v>
      </c>
      <c r="E199" s="175">
        <f t="shared" si="10"/>
        <v>64003493.440000005</v>
      </c>
      <c r="H199" s="903" t="s">
        <v>2877</v>
      </c>
      <c r="I199" s="907" t="s">
        <v>2836</v>
      </c>
      <c r="J199" s="180" t="s">
        <v>2886</v>
      </c>
      <c r="K199" s="898"/>
    </row>
    <row r="200" spans="1:11" ht="12.6" customHeight="1" x14ac:dyDescent="0.3">
      <c r="A200" s="173" t="s">
        <v>337</v>
      </c>
      <c r="B200" s="174">
        <v>498391562.72999996</v>
      </c>
      <c r="C200" s="189">
        <f>'801 SCH 2019 '!F110</f>
        <v>62321942.550000191</v>
      </c>
      <c r="D200" s="174">
        <f>-'801 SCH 2019 '!G110</f>
        <v>7102746.6299999952</v>
      </c>
      <c r="E200" s="175">
        <f t="shared" si="10"/>
        <v>553610758.65000021</v>
      </c>
      <c r="H200" s="903" t="s">
        <v>2878</v>
      </c>
      <c r="I200" s="907" t="s">
        <v>2836</v>
      </c>
      <c r="J200" s="180" t="s">
        <v>2886</v>
      </c>
      <c r="K200" s="898"/>
    </row>
    <row r="201" spans="1:11" ht="12.6" customHeight="1" x14ac:dyDescent="0.25">
      <c r="A201" s="173" t="s">
        <v>338</v>
      </c>
      <c r="B201" s="174">
        <v>0</v>
      </c>
      <c r="C201" s="189">
        <f>'801 SCH 2019 '!F111</f>
        <v>0</v>
      </c>
      <c r="D201" s="174">
        <f>-'801 SCH 2019 '!G111</f>
        <v>0</v>
      </c>
      <c r="E201" s="175">
        <f t="shared" si="10"/>
        <v>0</v>
      </c>
      <c r="H201" s="898"/>
      <c r="I201" s="906"/>
      <c r="K201" s="898"/>
    </row>
    <row r="202" spans="1:11" ht="12.6" customHeight="1" x14ac:dyDescent="0.3">
      <c r="A202" s="173" t="s">
        <v>339</v>
      </c>
      <c r="B202" s="174">
        <v>58651289.580000006</v>
      </c>
      <c r="C202" s="189">
        <f>'801 SCH 2019 '!F112</f>
        <v>14146290.870000005</v>
      </c>
      <c r="D202" s="174">
        <f>-'801 SCH 2019 '!G112</f>
        <v>405387.55</v>
      </c>
      <c r="E202" s="175">
        <f t="shared" si="10"/>
        <v>72392192.900000021</v>
      </c>
      <c r="H202" s="903" t="s">
        <v>2879</v>
      </c>
      <c r="I202" s="907" t="s">
        <v>2836</v>
      </c>
      <c r="J202" s="180" t="s">
        <v>2886</v>
      </c>
      <c r="K202" s="898"/>
    </row>
    <row r="203" spans="1:11" ht="12.6" customHeight="1" x14ac:dyDescent="0.3">
      <c r="A203" s="173" t="s">
        <v>340</v>
      </c>
      <c r="B203" s="174">
        <v>245531870.47999933</v>
      </c>
      <c r="C203" s="189">
        <f>'801 SCH 2019 '!F113</f>
        <v>348063188.68001431</v>
      </c>
      <c r="D203" s="174">
        <f>-'801 SCH 2019 '!G113</f>
        <v>398063356.53000093</v>
      </c>
      <c r="E203" s="175">
        <f t="shared" si="10"/>
        <v>195531702.63001275</v>
      </c>
      <c r="H203" s="903" t="s">
        <v>2880</v>
      </c>
      <c r="I203" s="907" t="s">
        <v>2836</v>
      </c>
      <c r="J203" s="180" t="s">
        <v>2886</v>
      </c>
      <c r="K203" s="898"/>
    </row>
    <row r="204" spans="1:11" ht="12.6" customHeight="1" x14ac:dyDescent="0.25">
      <c r="A204" s="173" t="s">
        <v>203</v>
      </c>
      <c r="B204" s="175">
        <f>SUM(B195:B203)</f>
        <v>2043209422.2299995</v>
      </c>
      <c r="C204" s="191">
        <f>SUM(C195:C203)</f>
        <v>747043697.70001459</v>
      </c>
      <c r="D204" s="175">
        <f>SUM(D195:D203)</f>
        <v>405720772.88000095</v>
      </c>
      <c r="E204" s="175">
        <f>SUM(E195:E203)</f>
        <v>2384532347.0500135</v>
      </c>
      <c r="H204" s="898"/>
      <c r="I204" s="906"/>
      <c r="K204" s="898"/>
    </row>
    <row r="205" spans="1:11" ht="12.6" customHeight="1" x14ac:dyDescent="0.25">
      <c r="A205" s="173"/>
      <c r="B205" s="173"/>
      <c r="C205" s="191"/>
      <c r="D205" s="175"/>
      <c r="E205" s="175"/>
      <c r="H205" s="898"/>
      <c r="I205" s="906"/>
      <c r="K205" s="898"/>
    </row>
    <row r="206" spans="1:11" ht="12.6" customHeight="1" x14ac:dyDescent="0.25">
      <c r="A206" s="204" t="s">
        <v>341</v>
      </c>
      <c r="B206" s="204"/>
      <c r="C206" s="204"/>
      <c r="D206" s="204"/>
      <c r="E206" s="204"/>
      <c r="H206" s="898"/>
      <c r="I206" s="906"/>
      <c r="K206" s="898"/>
    </row>
    <row r="207" spans="1:11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904"/>
      <c r="I207" s="906"/>
      <c r="K207" s="898"/>
    </row>
    <row r="208" spans="1:11" ht="12.6" customHeight="1" x14ac:dyDescent="0.25">
      <c r="A208" s="173" t="s">
        <v>332</v>
      </c>
      <c r="B208" s="178"/>
      <c r="C208" s="193"/>
      <c r="D208" s="178"/>
      <c r="E208" s="175"/>
      <c r="H208" s="904"/>
      <c r="I208" s="906"/>
      <c r="K208" s="898"/>
    </row>
    <row r="209" spans="1:11" ht="12.6" customHeight="1" x14ac:dyDescent="0.3">
      <c r="A209" s="173" t="s">
        <v>333</v>
      </c>
      <c r="B209" s="174">
        <v>7431883.8999999994</v>
      </c>
      <c r="C209" s="189">
        <f>-'801 SCH 2019 '!F119</f>
        <v>793219.71999999974</v>
      </c>
      <c r="D209" s="174">
        <f>'801 SCH 2019 '!G119</f>
        <v>0</v>
      </c>
      <c r="E209" s="175">
        <f t="shared" ref="E209:E216" si="11">SUM(B209:C209)-D209</f>
        <v>8225103.6199999992</v>
      </c>
      <c r="H209" s="903" t="s">
        <v>2881</v>
      </c>
      <c r="I209" s="907" t="s">
        <v>2836</v>
      </c>
      <c r="J209" s="180" t="s">
        <v>2886</v>
      </c>
      <c r="K209" s="898"/>
    </row>
    <row r="210" spans="1:11" ht="12.6" customHeight="1" x14ac:dyDescent="0.3">
      <c r="A210" s="173" t="s">
        <v>334</v>
      </c>
      <c r="B210" s="174">
        <v>373579471.68000007</v>
      </c>
      <c r="C210" s="189">
        <f>-'801 SCH 2019 '!F120</f>
        <v>37928225.899999917</v>
      </c>
      <c r="D210" s="174">
        <f>'801 SCH 2019 '!G120</f>
        <v>142377.01</v>
      </c>
      <c r="E210" s="175">
        <f t="shared" si="11"/>
        <v>411365320.56999999</v>
      </c>
      <c r="H210" s="903" t="s">
        <v>2883</v>
      </c>
      <c r="I210" s="907" t="s">
        <v>2836</v>
      </c>
      <c r="J210" s="180" t="s">
        <v>2886</v>
      </c>
      <c r="K210" s="898"/>
    </row>
    <row r="211" spans="1:11" ht="12.6" customHeight="1" x14ac:dyDescent="0.25">
      <c r="A211" s="173" t="s">
        <v>335</v>
      </c>
      <c r="B211" s="174">
        <v>0</v>
      </c>
      <c r="C211" s="189">
        <f>-'801 SCH 2019 '!F121</f>
        <v>0</v>
      </c>
      <c r="D211" s="174">
        <f>'801 SCH 2019 '!G121</f>
        <v>0</v>
      </c>
      <c r="E211" s="175">
        <f t="shared" si="11"/>
        <v>0</v>
      </c>
      <c r="H211" s="904"/>
      <c r="I211" s="906"/>
      <c r="K211" s="898"/>
    </row>
    <row r="212" spans="1:11" ht="12.6" customHeight="1" x14ac:dyDescent="0.3">
      <c r="A212" s="173" t="s">
        <v>336</v>
      </c>
      <c r="B212" s="174">
        <v>25077043.359999999</v>
      </c>
      <c r="C212" s="189">
        <f>-'801 SCH 2019 '!F122</f>
        <v>2616125.6599999964</v>
      </c>
      <c r="D212" s="174">
        <f>'801 SCH 2019 '!G122</f>
        <v>0</v>
      </c>
      <c r="E212" s="175">
        <f t="shared" si="11"/>
        <v>27693169.019999996</v>
      </c>
      <c r="H212" s="903" t="s">
        <v>2884</v>
      </c>
      <c r="I212" s="907" t="s">
        <v>2836</v>
      </c>
      <c r="J212" s="180" t="s">
        <v>2886</v>
      </c>
      <c r="K212" s="898"/>
    </row>
    <row r="213" spans="1:11" ht="12.6" customHeight="1" x14ac:dyDescent="0.3">
      <c r="A213" s="173" t="s">
        <v>337</v>
      </c>
      <c r="B213" s="174">
        <v>339961016.86000031</v>
      </c>
      <c r="C213" s="189">
        <f>-'801 SCH 2019 '!F123</f>
        <v>52692738.709999979</v>
      </c>
      <c r="D213" s="174">
        <f>'801 SCH 2019 '!G123</f>
        <v>6873288.609999992</v>
      </c>
      <c r="E213" s="175">
        <f t="shared" si="11"/>
        <v>385780466.96000028</v>
      </c>
      <c r="H213" s="903" t="s">
        <v>2885</v>
      </c>
      <c r="I213" s="907" t="s">
        <v>2836</v>
      </c>
      <c r="J213" s="180" t="s">
        <v>2886</v>
      </c>
      <c r="K213" s="898"/>
    </row>
    <row r="214" spans="1:11" ht="12.6" customHeight="1" x14ac:dyDescent="0.25">
      <c r="A214" s="173" t="s">
        <v>338</v>
      </c>
      <c r="B214" s="174">
        <v>0</v>
      </c>
      <c r="C214" s="189">
        <f>-'801 SCH 2019 '!F124</f>
        <v>0</v>
      </c>
      <c r="D214" s="174">
        <f>'801 SCH 2019 '!G124</f>
        <v>0</v>
      </c>
      <c r="E214" s="175">
        <f t="shared" si="11"/>
        <v>0</v>
      </c>
      <c r="H214" s="904"/>
      <c r="I214" s="906"/>
      <c r="K214" s="898"/>
    </row>
    <row r="215" spans="1:11" ht="12.6" customHeight="1" x14ac:dyDescent="0.3">
      <c r="A215" s="173" t="s">
        <v>339</v>
      </c>
      <c r="B215" s="174">
        <v>16786696.569999997</v>
      </c>
      <c r="C215" s="189">
        <f>-'801 SCH 2019 '!F125</f>
        <v>5007113.2300000004</v>
      </c>
      <c r="D215" s="174">
        <f>'801 SCH 2019 '!G125</f>
        <v>405387.55</v>
      </c>
      <c r="E215" s="175">
        <f t="shared" si="11"/>
        <v>21388422.249999996</v>
      </c>
      <c r="H215" s="903" t="s">
        <v>2882</v>
      </c>
      <c r="I215" s="907" t="s">
        <v>2836</v>
      </c>
      <c r="J215" s="180" t="s">
        <v>2886</v>
      </c>
      <c r="K215" s="898"/>
    </row>
    <row r="216" spans="1:11" ht="12.6" customHeight="1" x14ac:dyDescent="0.25">
      <c r="A216" s="173" t="s">
        <v>340</v>
      </c>
      <c r="B216" s="174">
        <v>0</v>
      </c>
      <c r="C216" s="189">
        <f>-'801 SCH 2019 '!F126</f>
        <v>0</v>
      </c>
      <c r="D216" s="174">
        <f>'801 SCH 2019 '!G126</f>
        <v>0</v>
      </c>
      <c r="E216" s="175">
        <f t="shared" si="11"/>
        <v>0</v>
      </c>
      <c r="H216" s="904"/>
      <c r="I216" s="906"/>
      <c r="K216" s="898"/>
    </row>
    <row r="217" spans="1:11" ht="12.6" customHeight="1" x14ac:dyDescent="0.25">
      <c r="A217" s="173" t="s">
        <v>203</v>
      </c>
      <c r="B217" s="175">
        <f>SUM(B208:B216)</f>
        <v>762836112.37000048</v>
      </c>
      <c r="C217" s="191">
        <f>SUM(C208:C216)</f>
        <v>99037423.219999894</v>
      </c>
      <c r="D217" s="175">
        <f>SUM(D208:D216)</f>
        <v>7421053.1699999915</v>
      </c>
      <c r="E217" s="175">
        <f>SUM(E208:E216)</f>
        <v>854452482.42000031</v>
      </c>
      <c r="H217" s="898"/>
      <c r="I217" s="906"/>
      <c r="K217" s="898"/>
    </row>
    <row r="218" spans="1:11" ht="21.75" customHeight="1" x14ac:dyDescent="0.25">
      <c r="A218" s="173"/>
      <c r="B218" s="175"/>
      <c r="C218" s="191"/>
      <c r="D218" s="175"/>
      <c r="E218" s="175"/>
      <c r="F218" s="180">
        <f>E204-E217</f>
        <v>1530079864.6300132</v>
      </c>
      <c r="H218" s="898"/>
      <c r="I218" s="915" t="s">
        <v>221</v>
      </c>
      <c r="K218" s="898"/>
    </row>
    <row r="219" spans="1:11" ht="12.6" customHeight="1" x14ac:dyDescent="0.25">
      <c r="A219" s="205" t="s">
        <v>342</v>
      </c>
      <c r="B219" s="205"/>
      <c r="C219" s="205"/>
      <c r="D219" s="205"/>
      <c r="E219" s="205"/>
      <c r="H219" s="898"/>
      <c r="I219" s="906"/>
      <c r="K219" s="898"/>
    </row>
    <row r="220" spans="1:11" ht="12.6" customHeight="1" x14ac:dyDescent="0.25">
      <c r="A220" s="205"/>
      <c r="B220" s="921" t="s">
        <v>992</v>
      </c>
      <c r="C220" s="921"/>
      <c r="D220" s="205"/>
      <c r="E220" s="205"/>
      <c r="H220" s="898"/>
      <c r="I220" s="906"/>
      <c r="K220" s="898"/>
    </row>
    <row r="221" spans="1:11" ht="12.6" customHeight="1" x14ac:dyDescent="0.3">
      <c r="A221" s="263" t="s">
        <v>992</v>
      </c>
      <c r="B221" s="205"/>
      <c r="C221" s="189">
        <f>SUMIF('GL293'!A:A,A221,'GL293'!E:E)*-1</f>
        <v>2406776.77</v>
      </c>
      <c r="D221" s="172">
        <f>C221</f>
        <v>2406776.77</v>
      </c>
      <c r="E221" s="205"/>
      <c r="H221" s="903" t="s">
        <v>2852</v>
      </c>
      <c r="I221" s="907" t="s">
        <v>2836</v>
      </c>
      <c r="K221" s="898"/>
    </row>
    <row r="222" spans="1:11" ht="12.6" customHeight="1" x14ac:dyDescent="0.25">
      <c r="A222" s="250" t="s">
        <v>343</v>
      </c>
      <c r="B222" s="250"/>
      <c r="C222" s="250"/>
      <c r="D222" s="250"/>
      <c r="E222" s="250"/>
      <c r="H222" s="914"/>
      <c r="I222" s="906"/>
      <c r="K222" s="898"/>
    </row>
    <row r="223" spans="1:11" ht="12.6" customHeight="1" x14ac:dyDescent="0.3">
      <c r="A223" s="173" t="s">
        <v>344</v>
      </c>
      <c r="B223" s="172" t="s">
        <v>256</v>
      </c>
      <c r="C223" s="189">
        <f>SUMIF('GL293'!A:A,A223,'GL293'!E:E)*-1</f>
        <v>33959754.420000002</v>
      </c>
      <c r="D223" s="175"/>
      <c r="E223" s="175"/>
      <c r="H223" s="903" t="s">
        <v>2853</v>
      </c>
      <c r="I223" s="907" t="s">
        <v>2836</v>
      </c>
      <c r="K223" s="898"/>
    </row>
    <row r="224" spans="1:11" ht="12.6" customHeight="1" x14ac:dyDescent="0.3">
      <c r="A224" s="173" t="s">
        <v>345</v>
      </c>
      <c r="B224" s="172" t="s">
        <v>256</v>
      </c>
      <c r="C224" s="189">
        <f>SUMIF('GL293'!A:A,A224,'GL293'!E:E)*-1</f>
        <v>914668524.26999998</v>
      </c>
      <c r="D224" s="175"/>
      <c r="E224" s="175"/>
      <c r="H224" s="903" t="s">
        <v>2854</v>
      </c>
      <c r="I224" s="907" t="s">
        <v>2836</v>
      </c>
      <c r="K224" s="898"/>
    </row>
    <row r="225" spans="1:11" ht="12.6" customHeight="1" x14ac:dyDescent="0.25">
      <c r="A225" s="173" t="s">
        <v>346</v>
      </c>
      <c r="B225" s="172" t="s">
        <v>256</v>
      </c>
      <c r="C225" s="189">
        <f>SUMIF('GL293'!A:A,A225,'GL293'!E:E)*-1</f>
        <v>0</v>
      </c>
      <c r="D225" s="175"/>
      <c r="E225" s="175"/>
      <c r="H225" s="914"/>
      <c r="I225" s="906"/>
      <c r="K225" s="898"/>
    </row>
    <row r="226" spans="1:11" ht="12.6" customHeight="1" x14ac:dyDescent="0.3">
      <c r="A226" s="173" t="s">
        <v>347</v>
      </c>
      <c r="B226" s="172" t="s">
        <v>256</v>
      </c>
      <c r="C226" s="189">
        <f>SUMIF('GL293'!A:A,A226,'GL293'!E:E)*-1</f>
        <v>69535592.219999999</v>
      </c>
      <c r="D226" s="175"/>
      <c r="E226" s="175"/>
      <c r="H226" s="903" t="s">
        <v>2855</v>
      </c>
      <c r="I226" s="907" t="s">
        <v>2836</v>
      </c>
      <c r="K226" s="898"/>
    </row>
    <row r="227" spans="1:11" ht="12.6" customHeight="1" x14ac:dyDescent="0.3">
      <c r="A227" s="173" t="s">
        <v>348</v>
      </c>
      <c r="B227" s="172" t="s">
        <v>256</v>
      </c>
      <c r="C227" s="189">
        <f>SUMIF('GL293'!A:A,A227,'GL293'!E:E)*-1</f>
        <v>278655289.38999999</v>
      </c>
      <c r="D227" s="175"/>
      <c r="E227" s="175"/>
      <c r="H227" s="903" t="s">
        <v>2856</v>
      </c>
      <c r="I227" s="907" t="s">
        <v>2836</v>
      </c>
      <c r="K227" s="898"/>
    </row>
    <row r="228" spans="1:11" ht="12.6" customHeight="1" x14ac:dyDescent="0.25">
      <c r="A228" s="173" t="s">
        <v>349</v>
      </c>
      <c r="B228" s="172" t="s">
        <v>256</v>
      </c>
      <c r="C228" s="189">
        <f>SUMIF('GL293'!A:A,A228,'GL293'!E:E)*-1</f>
        <v>0</v>
      </c>
      <c r="D228" s="175"/>
      <c r="E228" s="175"/>
      <c r="H228" s="914"/>
      <c r="I228" s="906"/>
      <c r="K228" s="898"/>
    </row>
    <row r="229" spans="1:11" ht="12.6" customHeight="1" x14ac:dyDescent="0.25">
      <c r="A229" s="173" t="s">
        <v>350</v>
      </c>
      <c r="B229" s="175"/>
      <c r="C229" s="191"/>
      <c r="D229" s="175">
        <f>SUM(C223:C228)</f>
        <v>1296819160.3</v>
      </c>
      <c r="E229" s="175"/>
      <c r="H229" s="914"/>
      <c r="I229" s="906"/>
      <c r="K229" s="898"/>
    </row>
    <row r="230" spans="1:11" ht="12.6" customHeight="1" x14ac:dyDescent="0.25">
      <c r="A230" s="250" t="s">
        <v>351</v>
      </c>
      <c r="B230" s="250"/>
      <c r="C230" s="250"/>
      <c r="D230" s="250"/>
      <c r="E230" s="250"/>
      <c r="H230" s="914"/>
      <c r="I230" s="906"/>
      <c r="K230" s="898"/>
    </row>
    <row r="231" spans="1:11" ht="12.6" customHeight="1" x14ac:dyDescent="0.25">
      <c r="A231" s="171" t="s">
        <v>352</v>
      </c>
      <c r="B231" s="172" t="s">
        <v>256</v>
      </c>
      <c r="C231" s="189"/>
      <c r="D231" s="175"/>
      <c r="E231" s="175"/>
      <c r="H231" s="914"/>
      <c r="I231" s="906"/>
      <c r="K231" s="898"/>
    </row>
    <row r="232" spans="1:11" ht="12.6" customHeight="1" x14ac:dyDescent="0.25">
      <c r="A232" s="171"/>
      <c r="B232" s="172"/>
      <c r="C232" s="191"/>
      <c r="D232" s="175"/>
      <c r="E232" s="175"/>
      <c r="H232" s="914"/>
      <c r="I232" s="906"/>
      <c r="K232" s="898"/>
    </row>
    <row r="233" spans="1:11" ht="12.6" customHeight="1" x14ac:dyDescent="0.3">
      <c r="A233" s="171" t="s">
        <v>353</v>
      </c>
      <c r="B233" s="172" t="s">
        <v>256</v>
      </c>
      <c r="C233" s="189">
        <f>SUMIF('GL293'!A:A,A233,'GL293'!E:E)*-1</f>
        <v>4954028.54</v>
      </c>
      <c r="D233" s="175"/>
      <c r="E233" s="175"/>
      <c r="H233" s="903" t="s">
        <v>2857</v>
      </c>
      <c r="I233" s="907" t="s">
        <v>2836</v>
      </c>
      <c r="J233" s="180" t="s">
        <v>2915</v>
      </c>
      <c r="K233" s="898"/>
    </row>
    <row r="234" spans="1:11" ht="12.6" customHeight="1" x14ac:dyDescent="0.3">
      <c r="A234" s="171" t="s">
        <v>354</v>
      </c>
      <c r="B234" s="172" t="s">
        <v>256</v>
      </c>
      <c r="C234" s="189">
        <f>SUMIF('GL293'!A:A,A234,'GL293'!E:E)*-1</f>
        <v>20975117.41</v>
      </c>
      <c r="D234" s="175"/>
      <c r="E234" s="175"/>
      <c r="H234" s="903" t="s">
        <v>2858</v>
      </c>
      <c r="I234" s="907" t="s">
        <v>2836</v>
      </c>
      <c r="K234" s="898"/>
    </row>
    <row r="235" spans="1:11" ht="12.6" customHeight="1" x14ac:dyDescent="0.25">
      <c r="A235" s="173"/>
      <c r="B235" s="175"/>
      <c r="C235" s="191"/>
      <c r="D235" s="175"/>
      <c r="E235" s="175"/>
      <c r="H235" s="914"/>
      <c r="I235" s="906"/>
      <c r="K235" s="898"/>
    </row>
    <row r="236" spans="1:11" ht="12.6" customHeight="1" x14ac:dyDescent="0.25">
      <c r="A236" s="171" t="s">
        <v>355</v>
      </c>
      <c r="B236" s="175"/>
      <c r="C236" s="191"/>
      <c r="D236" s="175">
        <f>SUM(C233:C235)</f>
        <v>25929145.949999999</v>
      </c>
      <c r="E236" s="175"/>
      <c r="H236" s="914"/>
      <c r="I236" s="906"/>
      <c r="K236" s="898"/>
    </row>
    <row r="237" spans="1:11" ht="12.6" customHeight="1" x14ac:dyDescent="0.25">
      <c r="A237" s="250" t="s">
        <v>356</v>
      </c>
      <c r="B237" s="250"/>
      <c r="C237" s="250"/>
      <c r="D237" s="250"/>
      <c r="E237" s="250"/>
      <c r="H237" s="914"/>
      <c r="I237" s="906"/>
      <c r="K237" s="898"/>
    </row>
    <row r="238" spans="1:11" ht="12.6" customHeight="1" x14ac:dyDescent="0.3">
      <c r="A238" s="173" t="s">
        <v>357</v>
      </c>
      <c r="B238" s="172" t="s">
        <v>256</v>
      </c>
      <c r="C238" s="189">
        <f>SUMIF('GL293'!A:A,A238,'GL293'!E:E)*-1</f>
        <v>17117981.560000002</v>
      </c>
      <c r="D238" s="175"/>
      <c r="E238" s="175"/>
      <c r="H238" s="903" t="s">
        <v>2859</v>
      </c>
      <c r="I238" s="907" t="s">
        <v>2836</v>
      </c>
      <c r="K238" s="898"/>
    </row>
    <row r="239" spans="1:11" ht="12.6" customHeight="1" x14ac:dyDescent="0.25">
      <c r="A239" s="173" t="s">
        <v>356</v>
      </c>
      <c r="B239" s="172" t="s">
        <v>256</v>
      </c>
      <c r="C239" s="189">
        <f>SUMIF('GL293'!A:A,A239,'GL293'!E:E)*-1</f>
        <v>0</v>
      </c>
      <c r="D239" s="175"/>
      <c r="E239" s="175"/>
      <c r="H239" s="914"/>
      <c r="I239" s="906"/>
      <c r="K239" s="898"/>
    </row>
    <row r="240" spans="1:11" ht="12.6" customHeight="1" x14ac:dyDescent="0.25">
      <c r="A240" s="173" t="s">
        <v>358</v>
      </c>
      <c r="B240" s="175"/>
      <c r="C240" s="191"/>
      <c r="D240" s="175">
        <f>SUM(C238:C239)</f>
        <v>17117981.560000002</v>
      </c>
      <c r="E240" s="175"/>
      <c r="H240" s="898"/>
      <c r="I240" s="906"/>
      <c r="K240" s="898"/>
    </row>
    <row r="241" spans="1:11" ht="12.6" customHeight="1" x14ac:dyDescent="0.25">
      <c r="A241" s="173"/>
      <c r="B241" s="175"/>
      <c r="C241" s="191"/>
      <c r="D241" s="175"/>
      <c r="E241" s="175"/>
      <c r="H241" s="898"/>
      <c r="I241" s="906"/>
      <c r="K241" s="898"/>
    </row>
    <row r="242" spans="1:11" ht="12.6" customHeight="1" x14ac:dyDescent="0.3">
      <c r="A242" s="173" t="s">
        <v>359</v>
      </c>
      <c r="B242" s="175"/>
      <c r="C242" s="191"/>
      <c r="D242" s="175">
        <f>D221+D229+D236+D240</f>
        <v>1342273064.5799999</v>
      </c>
      <c r="E242" s="175"/>
      <c r="H242" s="898"/>
      <c r="I242" s="907" t="s">
        <v>2836</v>
      </c>
      <c r="K242" s="898"/>
    </row>
    <row r="243" spans="1:11" ht="12.6" customHeight="1" x14ac:dyDescent="0.25">
      <c r="A243" s="173"/>
      <c r="B243" s="173"/>
      <c r="C243" s="191"/>
      <c r="D243" s="175"/>
      <c r="E243" s="175"/>
      <c r="H243" s="898"/>
      <c r="I243" s="906"/>
      <c r="K243" s="898"/>
    </row>
    <row r="244" spans="1:11" ht="12.6" customHeight="1" x14ac:dyDescent="0.25">
      <c r="A244" s="173"/>
      <c r="B244" s="173"/>
      <c r="C244" s="191"/>
      <c r="D244" s="175"/>
      <c r="E244" s="175"/>
      <c r="H244" s="898"/>
      <c r="I244" s="906"/>
      <c r="K244" s="898"/>
    </row>
    <row r="245" spans="1:11" ht="12.6" customHeight="1" x14ac:dyDescent="0.25">
      <c r="A245" s="173"/>
      <c r="B245" s="173"/>
      <c r="C245" s="191"/>
      <c r="D245" s="175"/>
      <c r="E245" s="175"/>
      <c r="H245" s="898"/>
      <c r="I245" s="906"/>
      <c r="K245" s="898"/>
    </row>
    <row r="246" spans="1:11" ht="12.6" customHeight="1" x14ac:dyDescent="0.25">
      <c r="A246" s="173"/>
      <c r="B246" s="173"/>
      <c r="C246" s="191"/>
      <c r="D246" s="175"/>
      <c r="E246" s="175"/>
      <c r="H246" s="898"/>
      <c r="I246" s="906"/>
      <c r="K246" s="898"/>
    </row>
    <row r="247" spans="1:11" ht="21.75" customHeight="1" x14ac:dyDescent="0.25">
      <c r="A247" s="173"/>
      <c r="B247" s="173"/>
      <c r="C247" s="191"/>
      <c r="D247" s="175"/>
      <c r="E247" s="175"/>
      <c r="H247" s="898"/>
      <c r="I247" s="906"/>
      <c r="K247" s="898"/>
    </row>
    <row r="248" spans="1:11" ht="12.45" customHeight="1" x14ac:dyDescent="0.25">
      <c r="A248" s="205" t="s">
        <v>360</v>
      </c>
      <c r="B248" s="205"/>
      <c r="C248" s="205"/>
      <c r="D248" s="205"/>
      <c r="E248" s="205"/>
      <c r="H248" s="898"/>
      <c r="I248" s="906"/>
      <c r="K248" s="898"/>
    </row>
    <row r="249" spans="1:11" ht="11.25" customHeight="1" x14ac:dyDescent="0.25">
      <c r="A249" s="250" t="s">
        <v>361</v>
      </c>
      <c r="B249" s="250"/>
      <c r="C249" s="250"/>
      <c r="D249" s="250"/>
      <c r="E249" s="250"/>
      <c r="H249" s="898"/>
      <c r="I249" s="906"/>
      <c r="K249" s="898"/>
    </row>
    <row r="250" spans="1:11" ht="12.45" customHeight="1" x14ac:dyDescent="0.3">
      <c r="A250" s="173" t="s">
        <v>362</v>
      </c>
      <c r="B250" s="172" t="s">
        <v>256</v>
      </c>
      <c r="C250" s="189">
        <f>SUMIF(BS!A:A,A250,BS!E:E)</f>
        <v>68511822.88000001</v>
      </c>
      <c r="D250" s="175"/>
      <c r="E250" s="175"/>
      <c r="H250" s="917" t="s">
        <v>2887</v>
      </c>
      <c r="I250" s="907" t="s">
        <v>2836</v>
      </c>
      <c r="J250" s="227"/>
      <c r="K250" s="898"/>
    </row>
    <row r="251" spans="1:11" ht="12.45" customHeight="1" x14ac:dyDescent="0.25">
      <c r="A251" s="173" t="s">
        <v>363</v>
      </c>
      <c r="B251" s="172" t="s">
        <v>256</v>
      </c>
      <c r="C251" s="189"/>
      <c r="D251" s="175"/>
      <c r="E251" s="175"/>
      <c r="H251" s="918"/>
      <c r="I251" s="908"/>
      <c r="J251" s="227"/>
      <c r="K251" s="898"/>
    </row>
    <row r="252" spans="1:11" ht="12.45" customHeight="1" x14ac:dyDescent="0.3">
      <c r="A252" s="173" t="s">
        <v>364</v>
      </c>
      <c r="B252" s="172" t="s">
        <v>256</v>
      </c>
      <c r="C252" s="189">
        <f>SUMIF(BS!A:A,A252,BS!E:E)</f>
        <v>526572379.10000002</v>
      </c>
      <c r="D252" s="175"/>
      <c r="E252" s="175"/>
      <c r="H252" s="917" t="s">
        <v>2888</v>
      </c>
      <c r="I252" s="907" t="s">
        <v>2836</v>
      </c>
      <c r="J252" s="227"/>
      <c r="K252" s="898"/>
    </row>
    <row r="253" spans="1:11" ht="12.45" customHeight="1" x14ac:dyDescent="0.3">
      <c r="A253" s="173" t="s">
        <v>365</v>
      </c>
      <c r="B253" s="172" t="s">
        <v>256</v>
      </c>
      <c r="C253" s="189">
        <f>SUMIF(BS!A:A,A253,BS!E:E)*-1</f>
        <v>255793096</v>
      </c>
      <c r="D253" s="175"/>
      <c r="E253" s="175"/>
      <c r="H253" s="917" t="s">
        <v>2889</v>
      </c>
      <c r="I253" s="907" t="s">
        <v>2836</v>
      </c>
      <c r="J253" s="227"/>
      <c r="K253" s="898"/>
    </row>
    <row r="254" spans="1:11" ht="12.45" customHeight="1" x14ac:dyDescent="0.3">
      <c r="A254" s="173" t="s">
        <v>978</v>
      </c>
      <c r="B254" s="172" t="s">
        <v>256</v>
      </c>
      <c r="C254" s="189"/>
      <c r="D254" s="175"/>
      <c r="E254" s="175"/>
      <c r="H254" s="917" t="s">
        <v>2893</v>
      </c>
      <c r="I254" s="907" t="s">
        <v>2836</v>
      </c>
      <c r="J254" s="227"/>
      <c r="K254" s="898"/>
    </row>
    <row r="255" spans="1:11" ht="12.45" customHeight="1" x14ac:dyDescent="0.25">
      <c r="A255" s="173" t="s">
        <v>366</v>
      </c>
      <c r="B255" s="172" t="s">
        <v>256</v>
      </c>
      <c r="C255" s="189">
        <f>SUMIF(BS!A:A,A255,BS!E:E)</f>
        <v>133908538.84999999</v>
      </c>
      <c r="D255" s="175"/>
      <c r="E255" s="175"/>
      <c r="H255" s="918"/>
      <c r="I255" s="908"/>
      <c r="J255" s="227"/>
      <c r="K255" s="898"/>
    </row>
    <row r="256" spans="1:11" ht="12.45" customHeight="1" x14ac:dyDescent="0.25">
      <c r="A256" s="173" t="s">
        <v>367</v>
      </c>
      <c r="B256" s="172" t="s">
        <v>256</v>
      </c>
      <c r="C256" s="189"/>
      <c r="D256" s="175"/>
      <c r="E256" s="175"/>
      <c r="H256" s="918"/>
      <c r="I256" s="908"/>
      <c r="J256" s="227"/>
      <c r="K256" s="898"/>
    </row>
    <row r="257" spans="1:11" ht="12.45" customHeight="1" x14ac:dyDescent="0.3">
      <c r="A257" s="173" t="s">
        <v>368</v>
      </c>
      <c r="B257" s="172" t="s">
        <v>256</v>
      </c>
      <c r="C257" s="189">
        <f>SUMIF(BS!A:A,A257,BS!E:E)</f>
        <v>18719563.910000004</v>
      </c>
      <c r="D257" s="175"/>
      <c r="E257" s="175"/>
      <c r="H257" s="917" t="s">
        <v>2890</v>
      </c>
      <c r="I257" s="907" t="s">
        <v>2836</v>
      </c>
      <c r="J257" s="227"/>
      <c r="K257" s="898"/>
    </row>
    <row r="258" spans="1:11" ht="12.45" customHeight="1" x14ac:dyDescent="0.3">
      <c r="A258" s="173" t="s">
        <v>369</v>
      </c>
      <c r="B258" s="172" t="s">
        <v>256</v>
      </c>
      <c r="C258" s="189">
        <f>SUMIF(BS!A:A,A258,BS!E:E)</f>
        <v>27287333.800000001</v>
      </c>
      <c r="D258" s="175"/>
      <c r="E258" s="175"/>
      <c r="H258" s="917" t="s">
        <v>2891</v>
      </c>
      <c r="I258" s="907" t="s">
        <v>2836</v>
      </c>
      <c r="J258" s="227"/>
      <c r="K258" s="898"/>
    </row>
    <row r="259" spans="1:11" ht="12.45" customHeight="1" x14ac:dyDescent="0.3">
      <c r="A259" s="173" t="s">
        <v>370</v>
      </c>
      <c r="B259" s="172" t="s">
        <v>256</v>
      </c>
      <c r="C259" s="189">
        <f>SUMIF(BS!A:A,A259,BS!E:E)</f>
        <v>24856082.969999999</v>
      </c>
      <c r="D259" s="175"/>
      <c r="E259" s="175"/>
      <c r="H259" s="917" t="s">
        <v>2892</v>
      </c>
      <c r="I259" s="907" t="s">
        <v>2836</v>
      </c>
      <c r="J259" s="227"/>
      <c r="K259" s="898"/>
    </row>
    <row r="260" spans="1:11" ht="12.45" customHeight="1" x14ac:dyDescent="0.25">
      <c r="A260" s="173" t="s">
        <v>371</v>
      </c>
      <c r="B260" s="175"/>
      <c r="C260" s="191"/>
      <c r="D260" s="175">
        <f>SUM(C250:C252)-C253+SUM(C254:C259)</f>
        <v>544062625.50999999</v>
      </c>
      <c r="E260" s="175"/>
      <c r="H260" s="918"/>
      <c r="I260" s="919" t="s">
        <v>221</v>
      </c>
      <c r="J260" s="227"/>
      <c r="K260" s="898"/>
    </row>
    <row r="261" spans="1:11" ht="11.25" customHeight="1" x14ac:dyDescent="0.25">
      <c r="A261" s="250" t="s">
        <v>372</v>
      </c>
      <c r="B261" s="250"/>
      <c r="C261" s="250"/>
      <c r="D261" s="250"/>
      <c r="E261" s="250"/>
      <c r="H261" s="918"/>
      <c r="I261" s="908"/>
      <c r="J261" s="227"/>
      <c r="K261" s="898"/>
    </row>
    <row r="262" spans="1:11" ht="12.45" customHeight="1" x14ac:dyDescent="0.25">
      <c r="A262" s="173" t="s">
        <v>362</v>
      </c>
      <c r="B262" s="172" t="s">
        <v>256</v>
      </c>
      <c r="C262" s="189"/>
      <c r="D262" s="175"/>
      <c r="E262" s="175"/>
      <c r="H262" s="918"/>
      <c r="I262" s="908"/>
      <c r="J262" s="227"/>
      <c r="K262" s="898"/>
    </row>
    <row r="263" spans="1:11" ht="12.45" customHeight="1" x14ac:dyDescent="0.3">
      <c r="A263" s="173" t="s">
        <v>363</v>
      </c>
      <c r="B263" s="172" t="s">
        <v>256</v>
      </c>
      <c r="C263" s="189">
        <f>SUMIF(BS!A:A,A263,BS!E:E)</f>
        <v>1520187570.5699999</v>
      </c>
      <c r="D263" s="175"/>
      <c r="E263" s="175"/>
      <c r="H263" s="917" t="s">
        <v>2894</v>
      </c>
      <c r="I263" s="907" t="s">
        <v>2836</v>
      </c>
      <c r="J263" s="227"/>
      <c r="K263" s="898"/>
    </row>
    <row r="264" spans="1:11" ht="12.45" customHeight="1" x14ac:dyDescent="0.3">
      <c r="A264" s="173" t="s">
        <v>373</v>
      </c>
      <c r="B264" s="172" t="s">
        <v>256</v>
      </c>
      <c r="C264" s="189">
        <f>'BS details'!G27</f>
        <v>2321839.5699999961</v>
      </c>
      <c r="D264" s="175"/>
      <c r="E264" s="175"/>
      <c r="H264" s="917" t="s">
        <v>2895</v>
      </c>
      <c r="I264" s="907" t="s">
        <v>2836</v>
      </c>
      <c r="J264" s="227"/>
      <c r="K264" s="898"/>
    </row>
    <row r="265" spans="1:11" ht="12.45" customHeight="1" x14ac:dyDescent="0.25">
      <c r="A265" s="173" t="s">
        <v>374</v>
      </c>
      <c r="B265" s="175"/>
      <c r="C265" s="191"/>
      <c r="D265" s="175">
        <f>SUM(C262:C264)</f>
        <v>1522509410.1399999</v>
      </c>
      <c r="E265" s="175"/>
      <c r="H265" s="918"/>
      <c r="I265" s="919" t="s">
        <v>221</v>
      </c>
      <c r="J265" s="227"/>
      <c r="K265" s="898"/>
    </row>
    <row r="266" spans="1:11" ht="11.25" customHeight="1" x14ac:dyDescent="0.3">
      <c r="A266" s="250" t="s">
        <v>375</v>
      </c>
      <c r="B266" s="250"/>
      <c r="C266" s="250"/>
      <c r="D266" s="250"/>
      <c r="E266" s="250"/>
      <c r="H266" s="918"/>
      <c r="I266" s="907"/>
      <c r="J266" s="227"/>
      <c r="K266" s="898"/>
    </row>
    <row r="267" spans="1:11" ht="12.45" customHeight="1" x14ac:dyDescent="0.3">
      <c r="A267" s="173" t="s">
        <v>332</v>
      </c>
      <c r="B267" s="172" t="s">
        <v>256</v>
      </c>
      <c r="C267" s="189">
        <f>E195</f>
        <v>221166313.39999998</v>
      </c>
      <c r="D267" s="175"/>
      <c r="E267" s="175"/>
      <c r="H267" s="917" t="s">
        <v>2875</v>
      </c>
      <c r="I267" s="907" t="s">
        <v>2836</v>
      </c>
      <c r="J267" s="227"/>
      <c r="K267" s="898"/>
    </row>
    <row r="268" spans="1:11" ht="12.45" customHeight="1" x14ac:dyDescent="0.3">
      <c r="A268" s="173" t="s">
        <v>333</v>
      </c>
      <c r="B268" s="172" t="s">
        <v>256</v>
      </c>
      <c r="C268" s="189">
        <f t="shared" ref="C268:C272" si="12">E196</f>
        <v>14690429.800000001</v>
      </c>
      <c r="D268" s="175"/>
      <c r="E268" s="175"/>
      <c r="H268" s="917" t="s">
        <v>2876</v>
      </c>
      <c r="I268" s="907" t="s">
        <v>2836</v>
      </c>
      <c r="J268" s="227"/>
      <c r="K268" s="898"/>
    </row>
    <row r="269" spans="1:11" ht="12.45" customHeight="1" x14ac:dyDescent="0.3">
      <c r="A269" s="173" t="s">
        <v>334</v>
      </c>
      <c r="B269" s="172" t="s">
        <v>256</v>
      </c>
      <c r="C269" s="189">
        <f t="shared" si="12"/>
        <v>1263137456.23</v>
      </c>
      <c r="D269" s="175"/>
      <c r="E269" s="175"/>
      <c r="H269" s="917" t="s">
        <v>2874</v>
      </c>
      <c r="I269" s="907" t="s">
        <v>2836</v>
      </c>
      <c r="J269" s="227"/>
      <c r="K269" s="898"/>
    </row>
    <row r="270" spans="1:11" ht="12.45" customHeight="1" x14ac:dyDescent="0.25">
      <c r="A270" s="173" t="s">
        <v>376</v>
      </c>
      <c r="B270" s="172" t="s">
        <v>256</v>
      </c>
      <c r="C270" s="189">
        <f t="shared" si="12"/>
        <v>0</v>
      </c>
      <c r="D270" s="175"/>
      <c r="E270" s="175"/>
      <c r="H270" s="918"/>
      <c r="I270" s="908"/>
      <c r="J270" s="227"/>
      <c r="K270" s="898"/>
    </row>
    <row r="271" spans="1:11" ht="12.45" customHeight="1" x14ac:dyDescent="0.3">
      <c r="A271" s="173" t="s">
        <v>377</v>
      </c>
      <c r="B271" s="172" t="s">
        <v>256</v>
      </c>
      <c r="C271" s="189">
        <f t="shared" si="12"/>
        <v>64003493.440000005</v>
      </c>
      <c r="D271" s="175"/>
      <c r="E271" s="175"/>
      <c r="H271" s="917" t="s">
        <v>2877</v>
      </c>
      <c r="I271" s="907" t="s">
        <v>2836</v>
      </c>
      <c r="J271" s="227"/>
      <c r="K271" s="898"/>
    </row>
    <row r="272" spans="1:11" ht="12.45" customHeight="1" x14ac:dyDescent="0.3">
      <c r="A272" s="173" t="s">
        <v>378</v>
      </c>
      <c r="B272" s="172" t="s">
        <v>256</v>
      </c>
      <c r="C272" s="189">
        <f t="shared" si="12"/>
        <v>553610758.65000021</v>
      </c>
      <c r="D272" s="175"/>
      <c r="E272" s="175"/>
      <c r="H272" s="917" t="s">
        <v>2896</v>
      </c>
      <c r="I272" s="907" t="s">
        <v>2836</v>
      </c>
      <c r="J272" s="227"/>
      <c r="K272" s="898"/>
    </row>
    <row r="273" spans="1:11" ht="12.45" customHeight="1" x14ac:dyDescent="0.3">
      <c r="A273" s="173" t="s">
        <v>339</v>
      </c>
      <c r="B273" s="172" t="s">
        <v>256</v>
      </c>
      <c r="C273" s="189">
        <f>E202</f>
        <v>72392192.900000021</v>
      </c>
      <c r="D273" s="175"/>
      <c r="E273" s="175"/>
      <c r="H273" s="917" t="s">
        <v>2879</v>
      </c>
      <c r="I273" s="907" t="s">
        <v>2836</v>
      </c>
      <c r="J273" s="227"/>
      <c r="K273" s="898"/>
    </row>
    <row r="274" spans="1:11" ht="12.45" customHeight="1" x14ac:dyDescent="0.3">
      <c r="A274" s="173" t="s">
        <v>340</v>
      </c>
      <c r="B274" s="172" t="s">
        <v>256</v>
      </c>
      <c r="C274" s="189">
        <f>E203</f>
        <v>195531702.63001275</v>
      </c>
      <c r="D274" s="175"/>
      <c r="E274" s="175"/>
      <c r="H274" s="917" t="s">
        <v>2897</v>
      </c>
      <c r="I274" s="907" t="s">
        <v>2836</v>
      </c>
      <c r="J274" s="227"/>
      <c r="K274" s="898"/>
    </row>
    <row r="275" spans="1:11" ht="12.45" customHeight="1" x14ac:dyDescent="0.25">
      <c r="A275" s="173" t="s">
        <v>379</v>
      </c>
      <c r="B275" s="175"/>
      <c r="C275" s="191"/>
      <c r="D275" s="175">
        <f>SUM(C267:C274)</f>
        <v>2384532347.0500135</v>
      </c>
      <c r="E275" s="175"/>
      <c r="H275" s="918"/>
      <c r="I275" s="908"/>
      <c r="J275" s="227"/>
      <c r="K275" s="898"/>
    </row>
    <row r="276" spans="1:11" ht="12.6" customHeight="1" x14ac:dyDescent="0.3">
      <c r="A276" s="173" t="s">
        <v>380</v>
      </c>
      <c r="B276" s="172" t="s">
        <v>256</v>
      </c>
      <c r="C276" s="189">
        <f>E217</f>
        <v>854452482.42000031</v>
      </c>
      <c r="D276" s="175"/>
      <c r="E276" s="175"/>
      <c r="H276" s="917" t="s">
        <v>2898</v>
      </c>
      <c r="I276" s="907" t="s">
        <v>2836</v>
      </c>
      <c r="J276" s="227" t="s">
        <v>2909</v>
      </c>
      <c r="K276" s="898"/>
    </row>
    <row r="277" spans="1:11" ht="12.6" customHeight="1" x14ac:dyDescent="0.25">
      <c r="A277" s="173" t="s">
        <v>381</v>
      </c>
      <c r="B277" s="175"/>
      <c r="C277" s="191"/>
      <c r="D277" s="175">
        <f>D275-C276</f>
        <v>1530079864.6300132</v>
      </c>
      <c r="E277" s="175"/>
      <c r="H277" s="918"/>
      <c r="I277" s="908"/>
      <c r="J277" s="227"/>
      <c r="K277" s="898"/>
    </row>
    <row r="278" spans="1:11" ht="12.6" customHeight="1" x14ac:dyDescent="0.25">
      <c r="A278" s="250" t="s">
        <v>382</v>
      </c>
      <c r="B278" s="250"/>
      <c r="C278" s="250"/>
      <c r="D278" s="250"/>
      <c r="E278" s="250"/>
      <c r="H278" s="918"/>
      <c r="I278" s="908"/>
      <c r="J278" s="227"/>
      <c r="K278" s="898"/>
    </row>
    <row r="279" spans="1:11" ht="12.6" customHeight="1" x14ac:dyDescent="0.25">
      <c r="A279" s="173" t="s">
        <v>383</v>
      </c>
      <c r="B279" s="172" t="s">
        <v>256</v>
      </c>
      <c r="C279" s="189"/>
      <c r="D279" s="175"/>
      <c r="E279" s="175"/>
      <c r="H279" s="918"/>
      <c r="I279" s="908"/>
      <c r="J279" s="227"/>
      <c r="K279" s="898"/>
    </row>
    <row r="280" spans="1:11" ht="12.6" customHeight="1" x14ac:dyDescent="0.25">
      <c r="A280" s="173" t="s">
        <v>384</v>
      </c>
      <c r="B280" s="172" t="s">
        <v>256</v>
      </c>
      <c r="C280" s="189"/>
      <c r="D280" s="175"/>
      <c r="E280" s="175"/>
      <c r="H280" s="918"/>
      <c r="I280" s="908"/>
      <c r="J280" s="227"/>
      <c r="K280" s="898"/>
    </row>
    <row r="281" spans="1:11" ht="12.6" customHeight="1" x14ac:dyDescent="0.25">
      <c r="A281" s="173" t="s">
        <v>385</v>
      </c>
      <c r="B281" s="172" t="s">
        <v>256</v>
      </c>
      <c r="C281" s="189"/>
      <c r="D281" s="175"/>
      <c r="E281" s="175"/>
      <c r="H281" s="918"/>
      <c r="I281" s="908"/>
      <c r="J281" s="227"/>
      <c r="K281" s="898"/>
    </row>
    <row r="282" spans="1:11" ht="12.6" customHeight="1" x14ac:dyDescent="0.3">
      <c r="A282" s="173" t="s">
        <v>373</v>
      </c>
      <c r="B282" s="172" t="s">
        <v>256</v>
      </c>
      <c r="C282" s="189">
        <f>SUMIF(BS!A:A,A282,BS!E:E)</f>
        <v>281703765.58999997</v>
      </c>
      <c r="D282" s="175"/>
      <c r="E282" s="175"/>
      <c r="H282" s="917" t="s">
        <v>2899</v>
      </c>
      <c r="I282" s="907" t="s">
        <v>2836</v>
      </c>
      <c r="J282" s="227" t="s">
        <v>2911</v>
      </c>
      <c r="K282" s="898"/>
    </row>
    <row r="283" spans="1:11" ht="12.6" customHeight="1" x14ac:dyDescent="0.25">
      <c r="A283" s="173" t="s">
        <v>386</v>
      </c>
      <c r="B283" s="175"/>
      <c r="C283" s="191"/>
      <c r="D283" s="175">
        <f>C279-C280+C281+C282</f>
        <v>281703765.58999997</v>
      </c>
      <c r="E283" s="175"/>
      <c r="H283" s="914"/>
      <c r="I283" s="906"/>
      <c r="K283" s="898"/>
    </row>
    <row r="284" spans="1:11" ht="12.6" customHeight="1" x14ac:dyDescent="0.25">
      <c r="A284" s="173"/>
      <c r="B284" s="175"/>
      <c r="C284" s="191"/>
      <c r="D284" s="175"/>
      <c r="E284" s="175"/>
      <c r="H284" s="914"/>
      <c r="I284" s="906"/>
      <c r="K284" s="898"/>
    </row>
    <row r="285" spans="1:11" ht="12.6" customHeight="1" x14ac:dyDescent="0.25">
      <c r="A285" s="250" t="s">
        <v>387</v>
      </c>
      <c r="B285" s="250"/>
      <c r="C285" s="250"/>
      <c r="D285" s="250"/>
      <c r="E285" s="250"/>
      <c r="H285" s="914"/>
      <c r="I285" s="906"/>
      <c r="K285" s="898"/>
    </row>
    <row r="286" spans="1:11" ht="12.6" customHeight="1" x14ac:dyDescent="0.25">
      <c r="A286" s="173" t="s">
        <v>388</v>
      </c>
      <c r="B286" s="172" t="s">
        <v>256</v>
      </c>
      <c r="C286" s="189"/>
      <c r="D286" s="175"/>
      <c r="E286" s="175"/>
      <c r="H286" s="914"/>
      <c r="I286" s="906"/>
      <c r="K286" s="898"/>
    </row>
    <row r="287" spans="1:11" ht="12.6" customHeight="1" x14ac:dyDescent="0.25">
      <c r="A287" s="173" t="s">
        <v>389</v>
      </c>
      <c r="B287" s="172" t="s">
        <v>256</v>
      </c>
      <c r="C287" s="189"/>
      <c r="D287" s="175"/>
      <c r="E287" s="175"/>
      <c r="H287" s="914"/>
      <c r="I287" s="906"/>
      <c r="K287" s="898"/>
    </row>
    <row r="288" spans="1:11" ht="12.6" customHeight="1" x14ac:dyDescent="0.25">
      <c r="A288" s="173" t="s">
        <v>390</v>
      </c>
      <c r="B288" s="172" t="s">
        <v>256</v>
      </c>
      <c r="C288" s="189"/>
      <c r="D288" s="175"/>
      <c r="E288" s="175"/>
      <c r="H288" s="914"/>
      <c r="I288" s="906"/>
      <c r="K288" s="898"/>
    </row>
    <row r="289" spans="1:11" ht="12.6" customHeight="1" x14ac:dyDescent="0.25">
      <c r="A289" s="173" t="s">
        <v>391</v>
      </c>
      <c r="B289" s="172" t="s">
        <v>256</v>
      </c>
      <c r="C289" s="189"/>
      <c r="D289" s="175"/>
      <c r="E289" s="175"/>
      <c r="H289" s="914"/>
      <c r="I289" s="906"/>
      <c r="K289" s="898"/>
    </row>
    <row r="290" spans="1:11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  <c r="H290" s="914"/>
      <c r="I290" s="906"/>
      <c r="K290" s="898"/>
    </row>
    <row r="291" spans="1:11" ht="12.6" customHeight="1" x14ac:dyDescent="0.25">
      <c r="A291" s="173"/>
      <c r="B291" s="175"/>
      <c r="C291" s="191"/>
      <c r="D291" s="175"/>
      <c r="E291" s="175"/>
      <c r="H291" s="914"/>
      <c r="I291" s="906"/>
      <c r="K291" s="898"/>
    </row>
    <row r="292" spans="1:11" ht="12.6" customHeight="1" x14ac:dyDescent="0.25">
      <c r="A292" s="173" t="s">
        <v>393</v>
      </c>
      <c r="B292" s="175"/>
      <c r="C292" s="191"/>
      <c r="D292" s="175">
        <f>D260+D265+D277+D283+D290</f>
        <v>3878355665.8700132</v>
      </c>
      <c r="E292" s="175"/>
      <c r="H292" s="914"/>
      <c r="I292" s="915" t="s">
        <v>221</v>
      </c>
      <c r="K292" s="898"/>
    </row>
    <row r="293" spans="1:11" ht="12.6" customHeight="1" x14ac:dyDescent="0.25">
      <c r="A293" s="173"/>
      <c r="B293" s="173"/>
      <c r="C293" s="191"/>
      <c r="D293" s="175"/>
      <c r="E293" s="175"/>
      <c r="H293" s="914"/>
      <c r="I293" s="906"/>
      <c r="K293" s="898"/>
    </row>
    <row r="294" spans="1:11" ht="12.6" customHeight="1" x14ac:dyDescent="0.25">
      <c r="A294" s="173"/>
      <c r="B294" s="173"/>
      <c r="C294" s="191"/>
      <c r="D294" s="175"/>
      <c r="E294" s="175"/>
      <c r="H294" s="914"/>
      <c r="I294" s="906"/>
      <c r="K294" s="898"/>
    </row>
    <row r="295" spans="1:11" ht="12.6" customHeight="1" x14ac:dyDescent="0.25">
      <c r="A295" s="173"/>
      <c r="B295" s="173"/>
      <c r="C295" s="191"/>
      <c r="D295" s="175"/>
      <c r="E295" s="175"/>
      <c r="H295" s="914"/>
      <c r="I295" s="906"/>
      <c r="K295" s="898"/>
    </row>
    <row r="296" spans="1:11" ht="12.6" customHeight="1" x14ac:dyDescent="0.25">
      <c r="A296" s="173"/>
      <c r="B296" s="173"/>
      <c r="C296" s="191"/>
      <c r="D296" s="175"/>
      <c r="E296" s="175"/>
      <c r="H296" s="914"/>
      <c r="I296" s="906"/>
      <c r="K296" s="898"/>
    </row>
    <row r="297" spans="1:11" ht="12.6" customHeight="1" x14ac:dyDescent="0.25">
      <c r="A297" s="173"/>
      <c r="B297" s="173"/>
      <c r="C297" s="191"/>
      <c r="D297" s="175"/>
      <c r="E297" s="175"/>
      <c r="H297" s="914"/>
      <c r="I297" s="906"/>
      <c r="K297" s="898"/>
    </row>
    <row r="298" spans="1:11" ht="12.6" customHeight="1" x14ac:dyDescent="0.25">
      <c r="A298" s="173"/>
      <c r="B298" s="173"/>
      <c r="C298" s="191"/>
      <c r="D298" s="175"/>
      <c r="E298" s="175"/>
      <c r="H298" s="914"/>
      <c r="I298" s="906"/>
      <c r="K298" s="898"/>
    </row>
    <row r="299" spans="1:11" ht="12.6" customHeight="1" x14ac:dyDescent="0.25">
      <c r="A299" s="173"/>
      <c r="B299" s="173"/>
      <c r="C299" s="191"/>
      <c r="D299" s="175"/>
      <c r="E299" s="175"/>
      <c r="H299" s="914"/>
      <c r="I299" s="906"/>
      <c r="K299" s="898"/>
    </row>
    <row r="300" spans="1:11" ht="12.6" customHeight="1" x14ac:dyDescent="0.25">
      <c r="A300" s="173"/>
      <c r="B300" s="173"/>
      <c r="C300" s="191"/>
      <c r="D300" s="175"/>
      <c r="E300" s="175"/>
      <c r="H300" s="914"/>
      <c r="I300" s="906"/>
      <c r="K300" s="898"/>
    </row>
    <row r="301" spans="1:11" ht="20.25" customHeight="1" x14ac:dyDescent="0.25">
      <c r="A301" s="173"/>
      <c r="B301" s="173"/>
      <c r="C301" s="191"/>
      <c r="D301" s="175"/>
      <c r="E301" s="175"/>
      <c r="H301" s="914"/>
      <c r="I301" s="906"/>
      <c r="K301" s="898"/>
    </row>
    <row r="302" spans="1:11" ht="12.6" customHeight="1" x14ac:dyDescent="0.25">
      <c r="A302" s="205" t="s">
        <v>394</v>
      </c>
      <c r="B302" s="205"/>
      <c r="C302" s="205"/>
      <c r="D302" s="205"/>
      <c r="E302" s="205"/>
      <c r="H302" s="914"/>
      <c r="I302" s="906"/>
      <c r="K302" s="898"/>
    </row>
    <row r="303" spans="1:11" ht="14.25" customHeight="1" x14ac:dyDescent="0.25">
      <c r="A303" s="250" t="s">
        <v>395</v>
      </c>
      <c r="B303" s="250"/>
      <c r="C303" s="250"/>
      <c r="D303" s="250"/>
      <c r="E303" s="250"/>
      <c r="H303" s="914"/>
      <c r="I303" s="906"/>
      <c r="K303" s="898"/>
    </row>
    <row r="304" spans="1:11" ht="12.6" customHeight="1" x14ac:dyDescent="0.25">
      <c r="A304" s="173" t="s">
        <v>396</v>
      </c>
      <c r="B304" s="172" t="s">
        <v>256</v>
      </c>
      <c r="C304" s="189">
        <f>SUMIF(BS!A:A,A304,BS!E:E)*-1</f>
        <v>0</v>
      </c>
      <c r="D304" s="175"/>
      <c r="E304" s="175"/>
      <c r="H304" s="914"/>
      <c r="I304" s="906"/>
      <c r="K304" s="898"/>
    </row>
    <row r="305" spans="1:11" ht="12.6" customHeight="1" x14ac:dyDescent="0.3">
      <c r="A305" s="173" t="s">
        <v>397</v>
      </c>
      <c r="B305" s="172" t="s">
        <v>256</v>
      </c>
      <c r="C305" s="189">
        <f>SUMIF(BS!A:A,A305,BS!E:E)*-1</f>
        <v>102213302.3</v>
      </c>
      <c r="D305" s="175"/>
      <c r="E305" s="175"/>
      <c r="H305" s="903" t="s">
        <v>2900</v>
      </c>
      <c r="I305" s="907" t="s">
        <v>2836</v>
      </c>
      <c r="K305" s="898"/>
    </row>
    <row r="306" spans="1:11" ht="12.6" customHeight="1" x14ac:dyDescent="0.3">
      <c r="A306" s="173" t="s">
        <v>398</v>
      </c>
      <c r="B306" s="172" t="s">
        <v>256</v>
      </c>
      <c r="C306" s="189">
        <f>SUMIF(BS!A:A,A306,BS!E:E)*-1</f>
        <v>88521308.920000017</v>
      </c>
      <c r="D306" s="175"/>
      <c r="E306" s="175"/>
      <c r="H306" s="903" t="s">
        <v>2901</v>
      </c>
      <c r="I306" s="907" t="s">
        <v>2836</v>
      </c>
      <c r="K306" s="898"/>
    </row>
    <row r="307" spans="1:11" ht="12.6" customHeight="1" x14ac:dyDescent="0.3">
      <c r="A307" s="173" t="s">
        <v>399</v>
      </c>
      <c r="B307" s="172" t="s">
        <v>256</v>
      </c>
      <c r="C307" s="189">
        <f>SUMIF(BS!A:A,A307,BS!E:E)*-1</f>
        <v>13401082.970000001</v>
      </c>
      <c r="D307" s="175"/>
      <c r="E307" s="175"/>
      <c r="H307" s="903" t="s">
        <v>2902</v>
      </c>
      <c r="I307" s="907" t="s">
        <v>2836</v>
      </c>
      <c r="K307" s="898"/>
    </row>
    <row r="308" spans="1:11" ht="12.6" customHeight="1" x14ac:dyDescent="0.25">
      <c r="A308" s="173" t="s">
        <v>400</v>
      </c>
      <c r="B308" s="172" t="s">
        <v>256</v>
      </c>
      <c r="C308" s="189">
        <f>SUMIF(BS!A:A,A308,BS!E:E)*-1</f>
        <v>0</v>
      </c>
      <c r="D308" s="175"/>
      <c r="E308" s="175"/>
      <c r="H308" s="914"/>
      <c r="I308" s="906"/>
      <c r="K308" s="898"/>
    </row>
    <row r="309" spans="1:11" ht="12.6" customHeight="1" x14ac:dyDescent="0.25">
      <c r="A309" s="173" t="s">
        <v>979</v>
      </c>
      <c r="B309" s="172" t="s">
        <v>256</v>
      </c>
      <c r="C309" s="189">
        <f>SUMIF(BS!A:A,A309,BS!E:E)*-1</f>
        <v>0</v>
      </c>
      <c r="D309" s="175"/>
      <c r="E309" s="175"/>
      <c r="H309" s="914"/>
      <c r="I309" s="906"/>
      <c r="K309" s="898"/>
    </row>
    <row r="310" spans="1:11" ht="12.6" customHeight="1" x14ac:dyDescent="0.25">
      <c r="A310" s="173" t="s">
        <v>401</v>
      </c>
      <c r="B310" s="172" t="s">
        <v>256</v>
      </c>
      <c r="C310" s="189">
        <f>SUMIF(BS!A:A,A310,BS!E:E)*-1</f>
        <v>0</v>
      </c>
      <c r="D310" s="175"/>
      <c r="E310" s="175"/>
      <c r="H310" s="914"/>
      <c r="I310" s="906"/>
      <c r="K310" s="898"/>
    </row>
    <row r="311" spans="1:11" ht="12.6" customHeight="1" x14ac:dyDescent="0.25">
      <c r="A311" s="173" t="s">
        <v>402</v>
      </c>
      <c r="B311" s="172" t="s">
        <v>256</v>
      </c>
      <c r="C311" s="189">
        <f>SUMIF(BS!A:A,A311,BS!E:E)*-1</f>
        <v>0</v>
      </c>
      <c r="D311" s="175"/>
      <c r="E311" s="175"/>
      <c r="H311" s="914"/>
      <c r="I311" s="906"/>
      <c r="K311" s="898"/>
    </row>
    <row r="312" spans="1:11" ht="12.6" customHeight="1" x14ac:dyDescent="0.3">
      <c r="A312" s="173" t="s">
        <v>403</v>
      </c>
      <c r="B312" s="172" t="s">
        <v>256</v>
      </c>
      <c r="C312" s="189">
        <f>SUMIF(BS!A:A,A312,BS!E:E)*-1</f>
        <v>111112510.48000002</v>
      </c>
      <c r="D312" s="175"/>
      <c r="E312" s="175"/>
      <c r="H312" s="903" t="s">
        <v>2905</v>
      </c>
      <c r="I312" s="907" t="s">
        <v>2836</v>
      </c>
      <c r="K312" s="898"/>
    </row>
    <row r="313" spans="1:11" ht="12.6" customHeight="1" x14ac:dyDescent="0.3">
      <c r="A313" s="173" t="s">
        <v>404</v>
      </c>
      <c r="B313" s="172" t="s">
        <v>256</v>
      </c>
      <c r="C313" s="189">
        <f>SUMIF(BS!A:A,A313,BS!E:E)*-1</f>
        <v>11455000</v>
      </c>
      <c r="D313" s="175"/>
      <c r="E313" s="175"/>
      <c r="H313" s="903" t="s">
        <v>2903</v>
      </c>
      <c r="I313" s="907" t="s">
        <v>2836</v>
      </c>
      <c r="K313" s="898"/>
    </row>
    <row r="314" spans="1:11" ht="12.6" customHeight="1" x14ac:dyDescent="0.3">
      <c r="A314" s="173" t="s">
        <v>405</v>
      </c>
      <c r="B314" s="175"/>
      <c r="C314" s="191"/>
      <c r="D314" s="175">
        <f>SUM(C304:C313)</f>
        <v>326703204.67000008</v>
      </c>
      <c r="E314" s="175"/>
      <c r="H314" s="914"/>
      <c r="I314" s="907" t="s">
        <v>2836</v>
      </c>
      <c r="K314" s="898"/>
    </row>
    <row r="315" spans="1:11" ht="12.6" customHeight="1" x14ac:dyDescent="0.25">
      <c r="A315" s="250" t="s">
        <v>406</v>
      </c>
      <c r="B315" s="250"/>
      <c r="C315" s="250"/>
      <c r="D315" s="250"/>
      <c r="E315" s="250"/>
      <c r="H315" s="914"/>
      <c r="I315" s="906"/>
      <c r="K315" s="898"/>
    </row>
    <row r="316" spans="1:11" ht="12.6" customHeight="1" x14ac:dyDescent="0.25">
      <c r="A316" s="173" t="s">
        <v>407</v>
      </c>
      <c r="B316" s="172" t="s">
        <v>256</v>
      </c>
      <c r="C316" s="189">
        <f>SUMIF(BS!A:A,A316,BS!E:E)*-1</f>
        <v>0</v>
      </c>
      <c r="D316" s="175"/>
      <c r="E316" s="175"/>
      <c r="H316" s="914"/>
      <c r="I316" s="906"/>
      <c r="K316" s="898"/>
    </row>
    <row r="317" spans="1:11" ht="12.6" customHeight="1" x14ac:dyDescent="0.25">
      <c r="A317" s="173" t="s">
        <v>408</v>
      </c>
      <c r="B317" s="172" t="s">
        <v>256</v>
      </c>
      <c r="C317" s="189">
        <f>SUMIF(BS!A:A,A317,BS!E:E)*-1</f>
        <v>0</v>
      </c>
      <c r="D317" s="175"/>
      <c r="E317" s="175"/>
      <c r="H317" s="914"/>
      <c r="I317" s="906"/>
      <c r="K317" s="898"/>
    </row>
    <row r="318" spans="1:11" ht="12.6" customHeight="1" x14ac:dyDescent="0.25">
      <c r="A318" s="173" t="s">
        <v>409</v>
      </c>
      <c r="B318" s="172" t="s">
        <v>256</v>
      </c>
      <c r="C318" s="189">
        <f>SUMIF(BS!A:A,A318,BS!E:E)*-1</f>
        <v>0</v>
      </c>
      <c r="D318" s="175"/>
      <c r="E318" s="175"/>
      <c r="H318" s="914"/>
      <c r="I318" s="906"/>
      <c r="K318" s="898"/>
    </row>
    <row r="319" spans="1:11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  <c r="H319" s="914"/>
      <c r="I319" s="906"/>
      <c r="K319" s="898"/>
    </row>
    <row r="320" spans="1:11" ht="12.6" customHeight="1" x14ac:dyDescent="0.25">
      <c r="A320" s="250" t="s">
        <v>411</v>
      </c>
      <c r="B320" s="250"/>
      <c r="C320" s="250"/>
      <c r="D320" s="250"/>
      <c r="E320" s="250"/>
      <c r="H320" s="914"/>
      <c r="I320" s="906"/>
      <c r="K320" s="898"/>
    </row>
    <row r="321" spans="1:11" ht="12.6" customHeight="1" x14ac:dyDescent="0.25">
      <c r="A321" s="173" t="s">
        <v>412</v>
      </c>
      <c r="B321" s="172" t="s">
        <v>256</v>
      </c>
      <c r="C321" s="189">
        <f>SUMIF(BS!A:A,A321,BS!E:E)*-1</f>
        <v>0</v>
      </c>
      <c r="D321" s="175"/>
      <c r="E321" s="175"/>
      <c r="H321" s="914"/>
      <c r="I321" s="906"/>
      <c r="K321" s="898"/>
    </row>
    <row r="322" spans="1:11" ht="12.6" customHeight="1" x14ac:dyDescent="0.25">
      <c r="A322" s="173" t="s">
        <v>413</v>
      </c>
      <c r="B322" s="172" t="s">
        <v>256</v>
      </c>
      <c r="C322" s="189">
        <f>SUMIF(BS!A:A,A322,BS!E:E)*-1</f>
        <v>0</v>
      </c>
      <c r="D322" s="175"/>
      <c r="E322" s="175"/>
      <c r="H322" s="914"/>
      <c r="I322" s="906"/>
      <c r="K322" s="898"/>
    </row>
    <row r="323" spans="1:11" ht="12.6" customHeight="1" x14ac:dyDescent="0.25">
      <c r="A323" s="173" t="s">
        <v>414</v>
      </c>
      <c r="B323" s="172" t="s">
        <v>256</v>
      </c>
      <c r="C323" s="189">
        <f>SUMIF(BS!A:A,A323,BS!E:E)*-1</f>
        <v>0</v>
      </c>
      <c r="D323" s="175"/>
      <c r="E323" s="175"/>
      <c r="H323" s="914"/>
      <c r="I323" s="906"/>
      <c r="K323" s="898"/>
    </row>
    <row r="324" spans="1:11" ht="12.6" customHeight="1" x14ac:dyDescent="0.25">
      <c r="A324" s="171" t="s">
        <v>415</v>
      </c>
      <c r="B324" s="172" t="s">
        <v>256</v>
      </c>
      <c r="C324" s="189">
        <f>SUMIF(BS!A:A,A324,BS!E:E)*-1</f>
        <v>0</v>
      </c>
      <c r="D324" s="175"/>
      <c r="E324" s="175"/>
      <c r="H324" s="914"/>
      <c r="I324" s="906"/>
      <c r="K324" s="898"/>
    </row>
    <row r="325" spans="1:11" ht="12.6" customHeight="1" x14ac:dyDescent="0.3">
      <c r="A325" s="173" t="s">
        <v>416</v>
      </c>
      <c r="B325" s="172" t="s">
        <v>256</v>
      </c>
      <c r="C325" s="189">
        <f>SUMIF(BS!A:A,A325,BS!E:E)*-1+C313</f>
        <v>699695149.77999997</v>
      </c>
      <c r="D325" s="175"/>
      <c r="E325" s="175"/>
      <c r="H325" s="903" t="s">
        <v>2906</v>
      </c>
      <c r="I325" s="907" t="s">
        <v>2836</v>
      </c>
      <c r="K325" s="898"/>
    </row>
    <row r="326" spans="1:11" ht="12.6" customHeight="1" x14ac:dyDescent="0.25">
      <c r="A326" s="171" t="s">
        <v>417</v>
      </c>
      <c r="B326" s="172" t="s">
        <v>256</v>
      </c>
      <c r="C326" s="189">
        <f>SUMIF(BS!A:A,A326,BS!E:E)*-1</f>
        <v>0</v>
      </c>
      <c r="D326" s="175"/>
      <c r="E326" s="175"/>
      <c r="H326" s="914"/>
      <c r="I326" s="906"/>
      <c r="K326" s="898"/>
    </row>
    <row r="327" spans="1:11" ht="12.6" customHeight="1" x14ac:dyDescent="0.3">
      <c r="A327" s="173" t="s">
        <v>418</v>
      </c>
      <c r="B327" s="172" t="s">
        <v>256</v>
      </c>
      <c r="C327" s="189">
        <f>SUMIF(BS!A:A,A327,BS!E:E)*-1</f>
        <v>46375761.579999998</v>
      </c>
      <c r="D327" s="175"/>
      <c r="E327" s="175"/>
      <c r="H327" s="903" t="s">
        <v>2904</v>
      </c>
      <c r="I327" s="907" t="s">
        <v>2836</v>
      </c>
      <c r="J327" s="180" t="s">
        <v>2918</v>
      </c>
      <c r="K327" s="898"/>
    </row>
    <row r="328" spans="1:11" ht="19.5" customHeight="1" x14ac:dyDescent="0.25">
      <c r="A328" s="173" t="s">
        <v>203</v>
      </c>
      <c r="B328" s="175"/>
      <c r="C328" s="191"/>
      <c r="D328" s="175">
        <f>SUM(C321:C327)</f>
        <v>746070911.36000001</v>
      </c>
      <c r="E328" s="175"/>
      <c r="H328" s="914"/>
      <c r="I328" s="906"/>
      <c r="K328" s="898"/>
    </row>
    <row r="329" spans="1:11" ht="12.6" customHeight="1" x14ac:dyDescent="0.3">
      <c r="A329" s="173" t="s">
        <v>419</v>
      </c>
      <c r="B329" s="175"/>
      <c r="C329" s="191"/>
      <c r="D329" s="175">
        <f>C313</f>
        <v>11455000</v>
      </c>
      <c r="E329" s="175"/>
      <c r="H329" s="903" t="s">
        <v>2903</v>
      </c>
      <c r="I329" s="907" t="s">
        <v>2836</v>
      </c>
      <c r="K329" s="898"/>
    </row>
    <row r="330" spans="1:11" ht="12.6" customHeight="1" x14ac:dyDescent="0.25">
      <c r="A330" s="173" t="s">
        <v>420</v>
      </c>
      <c r="B330" s="175"/>
      <c r="C330" s="191"/>
      <c r="D330" s="175">
        <f>D328-D329</f>
        <v>734615911.36000001</v>
      </c>
      <c r="E330" s="175"/>
      <c r="H330" s="914"/>
      <c r="I330" s="906"/>
      <c r="K330" s="898"/>
    </row>
    <row r="331" spans="1:11" ht="12.6" customHeight="1" x14ac:dyDescent="0.25">
      <c r="A331" s="173"/>
      <c r="B331" s="175"/>
      <c r="C331" s="191"/>
      <c r="D331" s="175"/>
      <c r="E331" s="175"/>
      <c r="H331" s="914"/>
      <c r="I331" s="906"/>
      <c r="K331" s="898"/>
    </row>
    <row r="332" spans="1:11" ht="12.6" customHeight="1" x14ac:dyDescent="0.3">
      <c r="A332" s="173" t="s">
        <v>421</v>
      </c>
      <c r="B332" s="172" t="s">
        <v>256</v>
      </c>
      <c r="C332" s="189">
        <f>SUMIF(BS!A:A,A332,BS!E:E)*-1</f>
        <v>2817036549.7800021</v>
      </c>
      <c r="D332" s="175"/>
      <c r="E332" s="175"/>
      <c r="H332" s="903" t="s">
        <v>2907</v>
      </c>
      <c r="I332" s="907" t="s">
        <v>2836</v>
      </c>
      <c r="J332" s="180" t="s">
        <v>2910</v>
      </c>
      <c r="K332" s="898"/>
    </row>
    <row r="333" spans="1:11" ht="12.6" customHeight="1" x14ac:dyDescent="0.25">
      <c r="A333" s="173"/>
      <c r="B333" s="172"/>
      <c r="C333" s="225"/>
      <c r="D333" s="175"/>
      <c r="E333" s="175"/>
      <c r="H333" s="914"/>
      <c r="I333" s="906"/>
      <c r="K333" s="898"/>
    </row>
    <row r="334" spans="1:11" ht="12.6" customHeight="1" x14ac:dyDescent="0.25">
      <c r="A334" s="173" t="s">
        <v>879</v>
      </c>
      <c r="B334" s="172" t="s">
        <v>256</v>
      </c>
      <c r="C334" s="218"/>
      <c r="D334" s="175"/>
      <c r="E334" s="175"/>
      <c r="H334" s="914"/>
      <c r="I334" s="906"/>
      <c r="K334" s="898"/>
    </row>
    <row r="335" spans="1:11" ht="12.6" customHeight="1" x14ac:dyDescent="0.25">
      <c r="A335" s="173" t="s">
        <v>880</v>
      </c>
      <c r="B335" s="172" t="s">
        <v>256</v>
      </c>
      <c r="C335" s="218"/>
      <c r="D335" s="175"/>
      <c r="E335" s="175"/>
      <c r="H335" s="914"/>
      <c r="I335" s="906"/>
      <c r="K335" s="898"/>
    </row>
    <row r="336" spans="1:11" ht="12.6" customHeight="1" x14ac:dyDescent="0.25">
      <c r="A336" s="173" t="s">
        <v>423</v>
      </c>
      <c r="B336" s="172" t="s">
        <v>256</v>
      </c>
      <c r="C336" s="218"/>
      <c r="D336" s="175"/>
      <c r="E336" s="175"/>
      <c r="H336" s="914"/>
      <c r="I336" s="906"/>
      <c r="K336" s="898"/>
    </row>
    <row r="337" spans="1:11" ht="12.6" customHeight="1" x14ac:dyDescent="0.25">
      <c r="A337" s="173" t="s">
        <v>422</v>
      </c>
      <c r="B337" s="172" t="s">
        <v>256</v>
      </c>
      <c r="C337" s="189"/>
      <c r="D337" s="175"/>
      <c r="E337" s="175"/>
      <c r="H337" s="914"/>
      <c r="I337" s="906"/>
      <c r="K337" s="898"/>
    </row>
    <row r="338" spans="1:11" ht="12.6" customHeight="1" x14ac:dyDescent="0.25">
      <c r="A338" s="173" t="s">
        <v>990</v>
      </c>
      <c r="B338" s="172" t="s">
        <v>256</v>
      </c>
      <c r="C338" s="189"/>
      <c r="D338" s="175"/>
      <c r="E338" s="175"/>
      <c r="H338" s="914"/>
      <c r="I338" s="906"/>
      <c r="K338" s="898"/>
    </row>
    <row r="339" spans="1:11" ht="12.6" customHeight="1" x14ac:dyDescent="0.25">
      <c r="A339" s="173" t="s">
        <v>424</v>
      </c>
      <c r="B339" s="175"/>
      <c r="C339" s="191"/>
      <c r="D339" s="175">
        <f>D314+D319+D330+C332+C336+C337</f>
        <v>3878355665.8100023</v>
      </c>
      <c r="E339" s="175"/>
      <c r="H339" s="914"/>
      <c r="I339" s="915" t="s">
        <v>221</v>
      </c>
      <c r="K339" s="898"/>
    </row>
    <row r="340" spans="1:11" ht="12.6" customHeight="1" x14ac:dyDescent="0.25">
      <c r="A340" s="173"/>
      <c r="B340" s="175"/>
      <c r="C340" s="191"/>
      <c r="D340" s="175"/>
      <c r="E340" s="175"/>
      <c r="H340" s="914"/>
      <c r="I340" s="906"/>
      <c r="K340" s="898"/>
    </row>
    <row r="341" spans="1:11" ht="12.6" customHeight="1" x14ac:dyDescent="0.25">
      <c r="A341" s="173" t="s">
        <v>425</v>
      </c>
      <c r="B341" s="175"/>
      <c r="C341" s="191"/>
      <c r="D341" s="175">
        <f>D292</f>
        <v>3878355665.8700132</v>
      </c>
      <c r="E341" s="175"/>
      <c r="H341" s="914"/>
      <c r="I341" s="906"/>
      <c r="K341" s="898"/>
    </row>
    <row r="342" spans="1:11" ht="12.6" customHeight="1" x14ac:dyDescent="0.25">
      <c r="A342" s="173"/>
      <c r="B342" s="173"/>
      <c r="C342" s="191"/>
      <c r="D342" s="175"/>
      <c r="E342" s="175"/>
      <c r="H342" s="914"/>
      <c r="I342" s="906"/>
      <c r="K342" s="898"/>
    </row>
    <row r="343" spans="1:11" ht="12.6" customHeight="1" x14ac:dyDescent="0.25">
      <c r="A343" s="173"/>
      <c r="B343" s="173"/>
      <c r="C343" s="191"/>
      <c r="D343" s="175"/>
      <c r="E343" s="175"/>
      <c r="H343" s="914"/>
      <c r="I343" s="906"/>
      <c r="K343" s="898"/>
    </row>
    <row r="344" spans="1:11" ht="12.6" customHeight="1" x14ac:dyDescent="0.25">
      <c r="A344" s="173"/>
      <c r="B344" s="173"/>
      <c r="C344" s="191"/>
      <c r="D344" s="175"/>
      <c r="E344" s="175"/>
      <c r="H344" s="914"/>
      <c r="I344" s="906"/>
      <c r="K344" s="898"/>
    </row>
    <row r="345" spans="1:11" ht="12.6" customHeight="1" x14ac:dyDescent="0.25">
      <c r="A345" s="173"/>
      <c r="B345" s="173"/>
      <c r="C345" s="191"/>
      <c r="D345" s="175"/>
      <c r="E345" s="175"/>
      <c r="H345" s="914"/>
      <c r="I345" s="906"/>
      <c r="K345" s="898"/>
    </row>
    <row r="346" spans="1:11" ht="12.6" customHeight="1" x14ac:dyDescent="0.25">
      <c r="A346" s="173"/>
      <c r="B346" s="173"/>
      <c r="C346" s="191"/>
      <c r="D346" s="175"/>
      <c r="E346" s="175"/>
      <c r="H346" s="914"/>
      <c r="I346" s="906"/>
      <c r="K346" s="898"/>
    </row>
    <row r="347" spans="1:11" ht="12.6" customHeight="1" x14ac:dyDescent="0.25">
      <c r="A347" s="173"/>
      <c r="B347" s="173"/>
      <c r="C347" s="191"/>
      <c r="D347" s="175"/>
      <c r="E347" s="175"/>
      <c r="H347" s="914"/>
      <c r="I347" s="906"/>
      <c r="K347" s="898"/>
    </row>
    <row r="348" spans="1:11" ht="12.6" customHeight="1" x14ac:dyDescent="0.25">
      <c r="A348" s="173"/>
      <c r="B348" s="173"/>
      <c r="C348" s="191"/>
      <c r="D348" s="175"/>
      <c r="E348" s="175"/>
      <c r="H348" s="914"/>
      <c r="I348" s="906"/>
      <c r="K348" s="898"/>
    </row>
    <row r="349" spans="1:11" ht="12.6" customHeight="1" x14ac:dyDescent="0.25">
      <c r="A349" s="173"/>
      <c r="B349" s="173"/>
      <c r="C349" s="191"/>
      <c r="D349" s="175"/>
      <c r="E349" s="175"/>
      <c r="H349" s="914"/>
      <c r="I349" s="906"/>
      <c r="K349" s="898"/>
    </row>
    <row r="350" spans="1:11" ht="12.6" customHeight="1" x14ac:dyDescent="0.25">
      <c r="A350" s="173"/>
      <c r="B350" s="173"/>
      <c r="C350" s="191"/>
      <c r="D350" s="175"/>
      <c r="E350" s="175"/>
      <c r="H350" s="914"/>
      <c r="I350" s="906"/>
      <c r="K350" s="898"/>
    </row>
    <row r="351" spans="1:11" ht="12.6" customHeight="1" x14ac:dyDescent="0.25">
      <c r="A351" s="173"/>
      <c r="B351" s="173"/>
      <c r="C351" s="191"/>
      <c r="D351" s="175"/>
      <c r="E351" s="175"/>
      <c r="H351" s="914"/>
      <c r="I351" s="906"/>
      <c r="K351" s="898"/>
    </row>
    <row r="352" spans="1:11" ht="12.6" customHeight="1" x14ac:dyDescent="0.25">
      <c r="A352" s="173"/>
      <c r="B352" s="173"/>
      <c r="C352" s="191"/>
      <c r="D352" s="175"/>
      <c r="E352" s="175"/>
      <c r="H352" s="914"/>
      <c r="I352" s="906"/>
      <c r="K352" s="898"/>
    </row>
    <row r="353" spans="1:11" ht="12.6" customHeight="1" x14ac:dyDescent="0.25">
      <c r="A353" s="173"/>
      <c r="B353" s="173"/>
      <c r="C353" s="191"/>
      <c r="D353" s="175"/>
      <c r="E353" s="175"/>
      <c r="H353" s="914"/>
      <c r="I353" s="906"/>
      <c r="K353" s="898"/>
    </row>
    <row r="354" spans="1:11" ht="12.6" customHeight="1" x14ac:dyDescent="0.25">
      <c r="A354" s="173"/>
      <c r="B354" s="173"/>
      <c r="C354" s="191"/>
      <c r="D354" s="175"/>
      <c r="E354" s="175"/>
      <c r="H354" s="914"/>
      <c r="I354" s="906"/>
      <c r="K354" s="898"/>
    </row>
    <row r="355" spans="1:11" ht="12.6" customHeight="1" x14ac:dyDescent="0.25">
      <c r="A355" s="173"/>
      <c r="B355" s="173"/>
      <c r="C355" s="191"/>
      <c r="D355" s="175"/>
      <c r="E355" s="175"/>
      <c r="H355" s="914"/>
      <c r="I355" s="906"/>
      <c r="K355" s="898"/>
    </row>
    <row r="356" spans="1:11" ht="20.25" customHeight="1" x14ac:dyDescent="0.25">
      <c r="A356" s="173"/>
      <c r="B356" s="173"/>
      <c r="C356" s="191"/>
      <c r="D356" s="175"/>
      <c r="E356" s="175"/>
      <c r="H356" s="914"/>
      <c r="I356" s="906"/>
      <c r="K356" s="898"/>
    </row>
    <row r="357" spans="1:11" ht="12.6" customHeight="1" x14ac:dyDescent="0.25">
      <c r="A357" s="205" t="s">
        <v>426</v>
      </c>
      <c r="B357" s="205"/>
      <c r="C357" s="205"/>
      <c r="D357" s="205"/>
      <c r="E357" s="205"/>
      <c r="H357" s="914"/>
      <c r="I357" s="906"/>
      <c r="K357" s="898"/>
    </row>
    <row r="358" spans="1:11" ht="12.6" customHeight="1" x14ac:dyDescent="0.25">
      <c r="A358" s="250" t="s">
        <v>427</v>
      </c>
      <c r="B358" s="250"/>
      <c r="C358" s="250"/>
      <c r="D358" s="250"/>
      <c r="E358" s="250"/>
      <c r="H358" s="914"/>
      <c r="I358" s="906"/>
      <c r="K358" s="898"/>
    </row>
    <row r="359" spans="1:11" ht="12.6" customHeight="1" x14ac:dyDescent="0.3">
      <c r="A359" s="173" t="s">
        <v>428</v>
      </c>
      <c r="B359" s="172" t="s">
        <v>256</v>
      </c>
      <c r="C359" s="189">
        <f>E141</f>
        <v>1754258239.02</v>
      </c>
      <c r="D359" s="175"/>
      <c r="E359" s="175"/>
      <c r="H359" s="914"/>
      <c r="I359" s="907" t="s">
        <v>2836</v>
      </c>
      <c r="K359" s="898"/>
    </row>
    <row r="360" spans="1:11" ht="12.6" customHeight="1" x14ac:dyDescent="0.3">
      <c r="A360" s="173" t="s">
        <v>429</v>
      </c>
      <c r="B360" s="172" t="s">
        <v>256</v>
      </c>
      <c r="C360" s="189">
        <f>E142</f>
        <v>1020402294.62</v>
      </c>
      <c r="D360" s="175"/>
      <c r="E360" s="175"/>
      <c r="H360" s="914"/>
      <c r="I360" s="907" t="s">
        <v>2836</v>
      </c>
      <c r="K360" s="898"/>
    </row>
    <row r="361" spans="1:11" ht="12.6" customHeight="1" x14ac:dyDescent="0.3">
      <c r="A361" s="173" t="s">
        <v>430</v>
      </c>
      <c r="B361" s="175"/>
      <c r="C361" s="191"/>
      <c r="D361" s="175">
        <f>SUM(C359:C360)</f>
        <v>2774660533.6399999</v>
      </c>
      <c r="E361" s="175"/>
      <c r="H361" s="914"/>
      <c r="I361" s="907" t="s">
        <v>2836</v>
      </c>
      <c r="K361" s="898"/>
    </row>
    <row r="362" spans="1:11" ht="12.6" customHeight="1" x14ac:dyDescent="0.25">
      <c r="A362" s="250" t="s">
        <v>431</v>
      </c>
      <c r="B362" s="250"/>
      <c r="C362" s="250"/>
      <c r="D362" s="250"/>
      <c r="E362" s="250"/>
      <c r="H362" s="898"/>
      <c r="I362" s="906"/>
      <c r="K362" s="898"/>
    </row>
    <row r="363" spans="1:11" ht="12.6" customHeight="1" x14ac:dyDescent="0.3">
      <c r="A363" s="173" t="s">
        <v>992</v>
      </c>
      <c r="B363" s="250"/>
      <c r="C363" s="189">
        <f>D221</f>
        <v>2406776.77</v>
      </c>
      <c r="D363" s="175"/>
      <c r="E363" s="250"/>
      <c r="H363" s="903" t="s">
        <v>2852</v>
      </c>
      <c r="I363" s="907" t="s">
        <v>2836</v>
      </c>
      <c r="K363" s="898"/>
    </row>
    <row r="364" spans="1:11" ht="12.6" customHeight="1" x14ac:dyDescent="0.3">
      <c r="A364" s="173" t="s">
        <v>432</v>
      </c>
      <c r="B364" s="172" t="s">
        <v>256</v>
      </c>
      <c r="C364" s="189">
        <f>D229</f>
        <v>1296819160.3</v>
      </c>
      <c r="D364" s="175"/>
      <c r="E364" s="175"/>
      <c r="H364" s="914" t="s">
        <v>2873</v>
      </c>
      <c r="I364" s="907" t="s">
        <v>2836</v>
      </c>
      <c r="K364" s="898"/>
    </row>
    <row r="365" spans="1:11" ht="12.6" customHeight="1" x14ac:dyDescent="0.3">
      <c r="A365" s="173" t="s">
        <v>433</v>
      </c>
      <c r="B365" s="172" t="s">
        <v>256</v>
      </c>
      <c r="C365" s="189">
        <f>D236</f>
        <v>25929145.949999999</v>
      </c>
      <c r="D365" s="175"/>
      <c r="E365" s="175"/>
      <c r="H365" s="914" t="s">
        <v>2873</v>
      </c>
      <c r="I365" s="907" t="s">
        <v>2836</v>
      </c>
      <c r="K365" s="898"/>
    </row>
    <row r="366" spans="1:11" ht="12.6" customHeight="1" x14ac:dyDescent="0.3">
      <c r="A366" s="173" t="s">
        <v>434</v>
      </c>
      <c r="B366" s="172" t="s">
        <v>256</v>
      </c>
      <c r="C366" s="189">
        <f>D240</f>
        <v>17117981.560000002</v>
      </c>
      <c r="D366" s="175"/>
      <c r="E366" s="175"/>
      <c r="H366" s="914" t="s">
        <v>2873</v>
      </c>
      <c r="I366" s="907" t="s">
        <v>2836</v>
      </c>
      <c r="K366" s="898"/>
    </row>
    <row r="367" spans="1:11" ht="12.6" customHeight="1" x14ac:dyDescent="0.3">
      <c r="A367" s="173" t="s">
        <v>359</v>
      </c>
      <c r="B367" s="175"/>
      <c r="C367" s="191"/>
      <c r="D367" s="175">
        <f>SUM(C363:C366)</f>
        <v>1342273064.5799999</v>
      </c>
      <c r="E367" s="175"/>
      <c r="H367" s="898"/>
      <c r="I367" s="907" t="s">
        <v>2836</v>
      </c>
      <c r="K367" s="898"/>
    </row>
    <row r="368" spans="1:11" ht="12.6" customHeight="1" x14ac:dyDescent="0.25">
      <c r="A368" s="173" t="s">
        <v>435</v>
      </c>
      <c r="B368" s="175"/>
      <c r="C368" s="191"/>
      <c r="D368" s="175">
        <f>D361-D367</f>
        <v>1432387469.0599999</v>
      </c>
      <c r="E368" s="175"/>
      <c r="H368" s="898"/>
      <c r="I368" s="915" t="s">
        <v>221</v>
      </c>
      <c r="K368" s="898"/>
    </row>
    <row r="369" spans="1:11" ht="12.6" customHeight="1" x14ac:dyDescent="0.25">
      <c r="A369" s="250" t="s">
        <v>436</v>
      </c>
      <c r="B369" s="250"/>
      <c r="C369" s="250"/>
      <c r="D369" s="250"/>
      <c r="E369" s="250"/>
      <c r="H369" s="898"/>
      <c r="I369" s="906"/>
      <c r="K369" s="898"/>
    </row>
    <row r="370" spans="1:11" ht="12.6" customHeight="1" x14ac:dyDescent="0.3">
      <c r="A370" s="173" t="s">
        <v>437</v>
      </c>
      <c r="B370" s="172" t="s">
        <v>256</v>
      </c>
      <c r="C370" s="189">
        <f>'GL293'!E289</f>
        <v>291279525.48000002</v>
      </c>
      <c r="D370" s="175"/>
      <c r="E370" s="175"/>
      <c r="H370" s="903" t="s">
        <v>2860</v>
      </c>
      <c r="I370" s="907" t="s">
        <v>2836</v>
      </c>
      <c r="K370" s="898"/>
    </row>
    <row r="371" spans="1:11" ht="12.6" customHeight="1" x14ac:dyDescent="0.25">
      <c r="A371" s="173" t="s">
        <v>438</v>
      </c>
      <c r="B371" s="172" t="s">
        <v>256</v>
      </c>
      <c r="C371" s="189"/>
      <c r="D371" s="175"/>
      <c r="E371" s="175"/>
      <c r="H371" s="898"/>
      <c r="I371" s="906"/>
      <c r="K371" s="898"/>
    </row>
    <row r="372" spans="1:11" ht="12.6" customHeight="1" x14ac:dyDescent="0.25">
      <c r="A372" s="173" t="s">
        <v>439</v>
      </c>
      <c r="B372" s="175"/>
      <c r="C372" s="191"/>
      <c r="D372" s="175">
        <f>SUM(C370:C371)</f>
        <v>291279525.48000002</v>
      </c>
      <c r="E372" s="175"/>
      <c r="H372" s="898"/>
      <c r="I372" s="915" t="s">
        <v>221</v>
      </c>
      <c r="K372" s="898"/>
    </row>
    <row r="373" spans="1:11" ht="12.6" customHeight="1" x14ac:dyDescent="0.25">
      <c r="A373" s="173" t="s">
        <v>440</v>
      </c>
      <c r="B373" s="175"/>
      <c r="C373" s="191"/>
      <c r="D373" s="175">
        <f>D368+D372</f>
        <v>1723666994.54</v>
      </c>
      <c r="E373" s="175"/>
      <c r="H373" s="898"/>
      <c r="I373" s="915" t="s">
        <v>221</v>
      </c>
      <c r="K373" s="898"/>
    </row>
    <row r="374" spans="1:11" ht="12.6" customHeight="1" x14ac:dyDescent="0.25">
      <c r="A374" s="173"/>
      <c r="B374" s="175"/>
      <c r="C374" s="191"/>
      <c r="D374" s="175"/>
      <c r="E374" s="175"/>
      <c r="H374" s="898"/>
      <c r="I374" s="906"/>
      <c r="K374" s="898"/>
    </row>
    <row r="375" spans="1:11" ht="12.6" customHeight="1" x14ac:dyDescent="0.25">
      <c r="A375" s="173"/>
      <c r="B375" s="175"/>
      <c r="C375" s="191"/>
      <c r="D375" s="175"/>
      <c r="E375" s="175"/>
      <c r="H375" s="898"/>
      <c r="I375" s="906"/>
      <c r="K375" s="898"/>
    </row>
    <row r="376" spans="1:11" ht="12.6" customHeight="1" x14ac:dyDescent="0.25">
      <c r="A376" s="173"/>
      <c r="B376" s="175"/>
      <c r="C376" s="191"/>
      <c r="D376" s="175"/>
      <c r="E376" s="175"/>
      <c r="H376" s="898"/>
      <c r="I376" s="906"/>
      <c r="K376" s="898"/>
    </row>
    <row r="377" spans="1:11" ht="12.6" customHeight="1" x14ac:dyDescent="0.25">
      <c r="A377" s="250" t="s">
        <v>441</v>
      </c>
      <c r="B377" s="250"/>
      <c r="C377" s="250"/>
      <c r="D377" s="250"/>
      <c r="E377" s="250"/>
      <c r="H377" s="898"/>
      <c r="I377" s="906"/>
      <c r="K377" s="898"/>
    </row>
    <row r="378" spans="1:11" ht="12.6" customHeight="1" x14ac:dyDescent="0.3">
      <c r="A378" s="173" t="s">
        <v>442</v>
      </c>
      <c r="B378" s="172" t="s">
        <v>256</v>
      </c>
      <c r="C378" s="189">
        <f>'GL293'!E306</f>
        <v>636328080.69000006</v>
      </c>
      <c r="D378" s="175"/>
      <c r="E378" s="175"/>
      <c r="H378" s="903" t="s">
        <v>2861</v>
      </c>
      <c r="I378" s="907" t="s">
        <v>2836</v>
      </c>
      <c r="K378" s="898"/>
    </row>
    <row r="379" spans="1:11" ht="12.6" customHeight="1" x14ac:dyDescent="0.3">
      <c r="A379" s="173" t="s">
        <v>3</v>
      </c>
      <c r="B379" s="172" t="s">
        <v>256</v>
      </c>
      <c r="C379" s="189">
        <f>D173</f>
        <v>171364395.94999999</v>
      </c>
      <c r="D379" s="175"/>
      <c r="E379" s="175"/>
      <c r="H379" s="903" t="s">
        <v>2864</v>
      </c>
      <c r="I379" s="907" t="s">
        <v>2836</v>
      </c>
      <c r="K379" s="898"/>
    </row>
    <row r="380" spans="1:11" ht="11.25" customHeight="1" x14ac:dyDescent="0.25">
      <c r="A380" s="173" t="s">
        <v>236</v>
      </c>
      <c r="B380" s="172" t="s">
        <v>256</v>
      </c>
      <c r="C380" s="189"/>
      <c r="D380" s="175"/>
      <c r="E380" s="175"/>
      <c r="H380" s="898"/>
      <c r="I380" s="906"/>
      <c r="K380" s="898"/>
    </row>
    <row r="381" spans="1:11" ht="12.6" customHeight="1" x14ac:dyDescent="0.3">
      <c r="A381" s="173" t="s">
        <v>443</v>
      </c>
      <c r="B381" s="172" t="s">
        <v>256</v>
      </c>
      <c r="C381" s="189">
        <f>'GL293'!E369+'GL293'!E392</f>
        <v>187692224.5</v>
      </c>
      <c r="D381" s="175"/>
      <c r="E381" s="175"/>
      <c r="H381" s="903" t="s">
        <v>2870</v>
      </c>
      <c r="I381" s="907" t="s">
        <v>2836</v>
      </c>
      <c r="K381" s="898"/>
    </row>
    <row r="382" spans="1:11" ht="12.6" customHeight="1" x14ac:dyDescent="0.3">
      <c r="A382" s="173" t="s">
        <v>444</v>
      </c>
      <c r="B382" s="172" t="s">
        <v>256</v>
      </c>
      <c r="C382" s="189">
        <f>'GL293'!E400</f>
        <v>14680051.18</v>
      </c>
      <c r="D382" s="175"/>
      <c r="E382" s="175"/>
      <c r="H382" s="903" t="s">
        <v>2862</v>
      </c>
      <c r="I382" s="907" t="s">
        <v>2836</v>
      </c>
      <c r="K382" s="898"/>
    </row>
    <row r="383" spans="1:11" ht="12.6" customHeight="1" x14ac:dyDescent="0.3">
      <c r="A383" s="173" t="s">
        <v>445</v>
      </c>
      <c r="B383" s="172" t="s">
        <v>256</v>
      </c>
      <c r="C383" s="189">
        <f>'GL293'!E343+'GL293'!E427</f>
        <v>339397040.73000002</v>
      </c>
      <c r="D383" s="175"/>
      <c r="E383" s="175"/>
      <c r="H383" s="903" t="s">
        <v>2865</v>
      </c>
      <c r="I383" s="907" t="s">
        <v>2836</v>
      </c>
      <c r="K383" s="898"/>
    </row>
    <row r="384" spans="1:11" ht="12.6" customHeight="1" x14ac:dyDescent="0.3">
      <c r="A384" s="173" t="s">
        <v>6</v>
      </c>
      <c r="B384" s="172" t="s">
        <v>256</v>
      </c>
      <c r="C384" s="189">
        <f>'GL293'!E436</f>
        <v>95954790.120000005</v>
      </c>
      <c r="D384" s="175"/>
      <c r="E384" s="175"/>
      <c r="H384" s="903" t="s">
        <v>2866</v>
      </c>
      <c r="I384" s="907" t="s">
        <v>2836</v>
      </c>
      <c r="K384" s="898"/>
    </row>
    <row r="385" spans="1:11" ht="12.6" customHeight="1" x14ac:dyDescent="0.3">
      <c r="A385" s="173" t="s">
        <v>446</v>
      </c>
      <c r="B385" s="172" t="s">
        <v>256</v>
      </c>
      <c r="C385" s="189">
        <f>D177</f>
        <v>32485639.650000002</v>
      </c>
      <c r="D385" s="175"/>
      <c r="E385" s="175"/>
      <c r="H385" s="903" t="s">
        <v>2869</v>
      </c>
      <c r="I385" s="907" t="s">
        <v>2836</v>
      </c>
      <c r="K385" s="898"/>
    </row>
    <row r="386" spans="1:11" ht="12.6" customHeight="1" x14ac:dyDescent="0.3">
      <c r="A386" s="173" t="s">
        <v>447</v>
      </c>
      <c r="B386" s="172" t="s">
        <v>256</v>
      </c>
      <c r="C386" s="189">
        <f>D181</f>
        <v>7041772.709999999</v>
      </c>
      <c r="D386" s="175"/>
      <c r="E386" s="175"/>
      <c r="H386" s="903" t="s">
        <v>2867</v>
      </c>
      <c r="I386" s="907" t="s">
        <v>2836</v>
      </c>
      <c r="K386" s="898"/>
    </row>
    <row r="387" spans="1:11" ht="12.6" customHeight="1" x14ac:dyDescent="0.3">
      <c r="A387" s="173" t="s">
        <v>448</v>
      </c>
      <c r="B387" s="172" t="s">
        <v>256</v>
      </c>
      <c r="C387" s="189">
        <f>D186</f>
        <v>46768157.359999999</v>
      </c>
      <c r="D387" s="175"/>
      <c r="E387" s="175"/>
      <c r="H387" s="903" t="s">
        <v>2868</v>
      </c>
      <c r="I387" s="907" t="s">
        <v>2836</v>
      </c>
      <c r="K387" s="898"/>
    </row>
    <row r="388" spans="1:11" ht="12.6" customHeight="1" x14ac:dyDescent="0.3">
      <c r="A388" s="173" t="s">
        <v>449</v>
      </c>
      <c r="B388" s="172" t="s">
        <v>256</v>
      </c>
      <c r="C388" s="189">
        <f>D190</f>
        <v>15254982.23</v>
      </c>
      <c r="D388" s="175"/>
      <c r="E388" s="175"/>
      <c r="H388" s="903" t="s">
        <v>2850</v>
      </c>
      <c r="I388" s="907" t="s">
        <v>2836</v>
      </c>
      <c r="K388" s="898"/>
    </row>
    <row r="389" spans="1:11" ht="12.6" customHeight="1" x14ac:dyDescent="0.3">
      <c r="A389" s="173" t="s">
        <v>451</v>
      </c>
      <c r="B389" s="172" t="s">
        <v>256</v>
      </c>
      <c r="C389" s="189">
        <f>'GL293'!E410+'GL293'!E497-C386-C387</f>
        <v>61635874.429999992</v>
      </c>
      <c r="D389" s="175"/>
      <c r="E389" s="175"/>
      <c r="H389" s="903" t="s">
        <v>2871</v>
      </c>
      <c r="I389" s="907" t="s">
        <v>2836</v>
      </c>
      <c r="K389" s="898"/>
    </row>
    <row r="390" spans="1:11" ht="12.6" customHeight="1" x14ac:dyDescent="0.25">
      <c r="A390" s="173" t="s">
        <v>452</v>
      </c>
      <c r="B390" s="175"/>
      <c r="C390" s="191"/>
      <c r="D390" s="175">
        <f>SUM(C378:C389)</f>
        <v>1608603009.5500002</v>
      </c>
      <c r="E390" s="175"/>
      <c r="H390" s="898"/>
      <c r="I390" s="915" t="s">
        <v>221</v>
      </c>
      <c r="K390" s="898"/>
    </row>
    <row r="391" spans="1:11" ht="12.6" customHeight="1" x14ac:dyDescent="0.25">
      <c r="A391" s="173" t="s">
        <v>453</v>
      </c>
      <c r="B391" s="175"/>
      <c r="C391" s="191"/>
      <c r="D391" s="175">
        <f>D373-D390</f>
        <v>115063984.98999977</v>
      </c>
      <c r="E391" s="175"/>
      <c r="H391" s="898"/>
      <c r="I391" s="915" t="s">
        <v>221</v>
      </c>
      <c r="K391" s="898"/>
    </row>
    <row r="392" spans="1:11" ht="12.6" customHeight="1" x14ac:dyDescent="0.3">
      <c r="A392" s="173" t="s">
        <v>454</v>
      </c>
      <c r="B392" s="172" t="s">
        <v>256</v>
      </c>
      <c r="C392" s="189">
        <f>'GL293'!E562-'GL293'!E591</f>
        <v>46719121.789999999</v>
      </c>
      <c r="D392" s="175"/>
      <c r="E392" s="175"/>
      <c r="H392" s="903" t="s">
        <v>2872</v>
      </c>
      <c r="I392" s="907" t="s">
        <v>2836</v>
      </c>
      <c r="K392" s="898"/>
    </row>
    <row r="393" spans="1:11" ht="12.6" customHeight="1" x14ac:dyDescent="0.25">
      <c r="A393" s="173" t="s">
        <v>455</v>
      </c>
      <c r="B393" s="175"/>
      <c r="C393" s="191"/>
      <c r="D393" s="195">
        <f>D391+C392</f>
        <v>161783106.77999976</v>
      </c>
      <c r="E393" s="175"/>
      <c r="F393" s="197"/>
      <c r="H393" s="898"/>
      <c r="I393" s="915" t="s">
        <v>221</v>
      </c>
      <c r="K393" s="898"/>
    </row>
    <row r="394" spans="1:11" ht="12.6" customHeight="1" x14ac:dyDescent="0.25">
      <c r="A394" s="173" t="s">
        <v>456</v>
      </c>
      <c r="B394" s="172" t="s">
        <v>256</v>
      </c>
      <c r="C394" s="189"/>
      <c r="D394" s="175"/>
      <c r="E394" s="175"/>
      <c r="H394" s="898"/>
      <c r="I394" s="906"/>
      <c r="K394" s="898"/>
    </row>
    <row r="395" spans="1:11" ht="12.6" customHeight="1" x14ac:dyDescent="0.25">
      <c r="A395" s="173" t="s">
        <v>457</v>
      </c>
      <c r="B395" s="172" t="s">
        <v>256</v>
      </c>
      <c r="C395" s="189"/>
      <c r="D395" s="175"/>
      <c r="E395" s="175"/>
      <c r="H395" s="898"/>
      <c r="I395" s="906"/>
      <c r="K395" s="898"/>
    </row>
    <row r="396" spans="1:11" ht="12.6" customHeight="1" x14ac:dyDescent="0.25">
      <c r="A396" s="173" t="s">
        <v>458</v>
      </c>
      <c r="B396" s="175"/>
      <c r="C396" s="191"/>
      <c r="D396" s="175">
        <f>D393+C394-C395</f>
        <v>161783106.77999976</v>
      </c>
      <c r="E396" s="175"/>
      <c r="H396" s="909"/>
      <c r="I396" s="916" t="s">
        <v>221</v>
      </c>
      <c r="J396" s="910"/>
      <c r="K396" s="898"/>
    </row>
    <row r="397" spans="1:11" ht="13.5" customHeight="1" x14ac:dyDescent="0.25">
      <c r="A397" s="179"/>
      <c r="B397" s="179"/>
    </row>
    <row r="398" spans="1:11" ht="12.6" customHeight="1" x14ac:dyDescent="0.25">
      <c r="A398" s="179"/>
      <c r="B398" s="179"/>
    </row>
    <row r="399" spans="1:11" ht="12.6" customHeight="1" x14ac:dyDescent="0.25">
      <c r="A399" s="179"/>
      <c r="B399" s="179"/>
    </row>
    <row r="400" spans="1:11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3"/>
    </row>
    <row r="412" spans="1:5" ht="12.6" customHeight="1" x14ac:dyDescent="0.25">
      <c r="A412" s="179" t="str">
        <f>C84&amp;"   "&amp;"H-"&amp;FIXED(C83,0,TRUE)&amp;"     FYE "&amp;C82</f>
        <v>Seattle Children's   H-0     FYE 09/30/2019</v>
      </c>
      <c r="B412" s="179"/>
      <c r="C412" s="179"/>
      <c r="D412" s="179"/>
      <c r="E412" s="253"/>
    </row>
    <row r="413" spans="1:5" ht="12.6" customHeight="1" x14ac:dyDescent="0.25">
      <c r="A413" s="179" t="s">
        <v>460</v>
      </c>
      <c r="B413" s="181" t="s">
        <v>461</v>
      </c>
      <c r="C413" s="181" t="s">
        <v>980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16032</v>
      </c>
      <c r="C414" s="194">
        <f>E138</f>
        <v>16032</v>
      </c>
      <c r="D414" s="179"/>
    </row>
    <row r="415" spans="1:5" ht="12.6" customHeight="1" x14ac:dyDescent="0.25">
      <c r="A415" s="179" t="s">
        <v>464</v>
      </c>
      <c r="B415" s="179">
        <f>D111</f>
        <v>105432</v>
      </c>
      <c r="C415" s="179">
        <f>E139</f>
        <v>105432</v>
      </c>
      <c r="D415" s="194">
        <f>SUM(C59:H59)+N59</f>
        <v>106166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3"/>
      <c r="B422" s="203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981</v>
      </c>
      <c r="B424" s="179">
        <f>D114</f>
        <v>0</v>
      </c>
      <c r="D424" s="179">
        <f>J59</f>
        <v>0</v>
      </c>
    </row>
    <row r="425" spans="1:7" ht="12.6" customHeight="1" x14ac:dyDescent="0.25">
      <c r="A425" s="203"/>
      <c r="B425" s="203"/>
      <c r="C425" s="203"/>
      <c r="D425" s="203"/>
      <c r="F425" s="203"/>
      <c r="G425" s="203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3">C378</f>
        <v>636328080.69000006</v>
      </c>
      <c r="C427" s="179">
        <f t="shared" ref="C427:C434" si="14">CE61</f>
        <v>636328080.68999982</v>
      </c>
      <c r="D427" s="179"/>
    </row>
    <row r="428" spans="1:7" ht="12.6" customHeight="1" x14ac:dyDescent="0.25">
      <c r="A428" s="179" t="s">
        <v>3</v>
      </c>
      <c r="B428" s="179">
        <f t="shared" si="13"/>
        <v>171364395.94999999</v>
      </c>
      <c r="C428" s="179">
        <f t="shared" si="14"/>
        <v>0</v>
      </c>
      <c r="D428" s="179">
        <f>D173</f>
        <v>171364395.94999999</v>
      </c>
    </row>
    <row r="429" spans="1:7" ht="12.6" customHeight="1" x14ac:dyDescent="0.25">
      <c r="A429" s="179" t="s">
        <v>236</v>
      </c>
      <c r="B429" s="179">
        <f t="shared" si="13"/>
        <v>0</v>
      </c>
      <c r="C429" s="179">
        <f t="shared" si="14"/>
        <v>0</v>
      </c>
      <c r="D429" s="179"/>
    </row>
    <row r="430" spans="1:7" ht="12.6" customHeight="1" x14ac:dyDescent="0.25">
      <c r="A430" s="179" t="s">
        <v>237</v>
      </c>
      <c r="B430" s="179">
        <f t="shared" si="13"/>
        <v>187692224.5</v>
      </c>
      <c r="C430" s="179">
        <f t="shared" si="14"/>
        <v>187692224.50000003</v>
      </c>
      <c r="D430" s="179"/>
    </row>
    <row r="431" spans="1:7" ht="12.6" customHeight="1" x14ac:dyDescent="0.25">
      <c r="A431" s="179" t="s">
        <v>444</v>
      </c>
      <c r="B431" s="179">
        <f t="shared" si="13"/>
        <v>14680051.18</v>
      </c>
      <c r="C431" s="179">
        <f t="shared" si="14"/>
        <v>14680051.180000002</v>
      </c>
      <c r="D431" s="179"/>
    </row>
    <row r="432" spans="1:7" ht="12.6" customHeight="1" x14ac:dyDescent="0.25">
      <c r="A432" s="179" t="s">
        <v>445</v>
      </c>
      <c r="B432" s="179">
        <f t="shared" si="13"/>
        <v>339397040.73000002</v>
      </c>
      <c r="C432" s="179">
        <f t="shared" si="14"/>
        <v>339397040.73000002</v>
      </c>
      <c r="D432" s="179"/>
    </row>
    <row r="433" spans="1:7" ht="12.6" customHeight="1" x14ac:dyDescent="0.25">
      <c r="A433" s="179" t="s">
        <v>6</v>
      </c>
      <c r="B433" s="179">
        <f t="shared" si="13"/>
        <v>95954790.120000005</v>
      </c>
      <c r="C433" s="179">
        <f t="shared" si="14"/>
        <v>0</v>
      </c>
      <c r="D433" s="179">
        <f>C217</f>
        <v>99037423.219999894</v>
      </c>
    </row>
    <row r="434" spans="1:7" ht="12.6" customHeight="1" x14ac:dyDescent="0.25">
      <c r="A434" s="179" t="s">
        <v>474</v>
      </c>
      <c r="B434" s="179">
        <f t="shared" si="13"/>
        <v>32485639.650000002</v>
      </c>
      <c r="C434" s="179">
        <f t="shared" si="14"/>
        <v>32485639.650000002</v>
      </c>
      <c r="D434" s="179">
        <f>D177</f>
        <v>32485639.650000002</v>
      </c>
    </row>
    <row r="435" spans="1:7" ht="12.6" customHeight="1" x14ac:dyDescent="0.25">
      <c r="A435" s="179" t="s">
        <v>447</v>
      </c>
      <c r="B435" s="179">
        <f t="shared" si="13"/>
        <v>7041772.709999999</v>
      </c>
      <c r="C435" s="179"/>
      <c r="D435" s="179">
        <f>D181</f>
        <v>7041772.709999999</v>
      </c>
    </row>
    <row r="436" spans="1:7" ht="12.6" customHeight="1" x14ac:dyDescent="0.25">
      <c r="A436" s="179" t="s">
        <v>475</v>
      </c>
      <c r="B436" s="179">
        <f t="shared" si="13"/>
        <v>46768157.359999999</v>
      </c>
      <c r="C436" s="179"/>
      <c r="D436" s="179">
        <f>D186</f>
        <v>46768157.359999999</v>
      </c>
    </row>
    <row r="437" spans="1:7" ht="12.6" customHeight="1" x14ac:dyDescent="0.25">
      <c r="A437" s="194" t="s">
        <v>449</v>
      </c>
      <c r="B437" s="194">
        <f t="shared" si="13"/>
        <v>15254982.23</v>
      </c>
      <c r="C437" s="194"/>
      <c r="D437" s="194">
        <f>D190</f>
        <v>15254982.23</v>
      </c>
    </row>
    <row r="438" spans="1:7" ht="12.6" customHeight="1" x14ac:dyDescent="0.25">
      <c r="A438" s="194" t="s">
        <v>476</v>
      </c>
      <c r="B438" s="194">
        <f>C386+C387+C388</f>
        <v>69064912.299999997</v>
      </c>
      <c r="C438" s="194">
        <f>CD69</f>
        <v>61949004</v>
      </c>
      <c r="D438" s="194">
        <f>D181+D186+D190</f>
        <v>69064912.299999997</v>
      </c>
    </row>
    <row r="439" spans="1:7" ht="12.6" customHeight="1" x14ac:dyDescent="0.25">
      <c r="A439" s="179" t="s">
        <v>451</v>
      </c>
      <c r="B439" s="194">
        <f>C389</f>
        <v>61635874.429999992</v>
      </c>
      <c r="C439" s="194">
        <f>SUM(C69:CC69)</f>
        <v>53496799.899999976</v>
      </c>
      <c r="D439" s="179"/>
    </row>
    <row r="440" spans="1:7" ht="12.6" customHeight="1" x14ac:dyDescent="0.25">
      <c r="A440" s="179" t="s">
        <v>477</v>
      </c>
      <c r="B440" s="194">
        <f>B438+B439</f>
        <v>130700786.72999999</v>
      </c>
      <c r="C440" s="194">
        <f>CE69</f>
        <v>115445803.89999998</v>
      </c>
      <c r="D440" s="179"/>
    </row>
    <row r="441" spans="1:7" ht="12.6" customHeight="1" x14ac:dyDescent="0.25">
      <c r="A441" s="179" t="s">
        <v>478</v>
      </c>
      <c r="B441" s="179">
        <f>D390</f>
        <v>1608603009.5500002</v>
      </c>
      <c r="C441" s="179">
        <f>SUM(C427:C437)+C440</f>
        <v>1326028840.6500001</v>
      </c>
      <c r="D441" s="179"/>
    </row>
    <row r="442" spans="1:7" ht="12.6" customHeight="1" x14ac:dyDescent="0.25">
      <c r="A442" s="203"/>
      <c r="B442" s="203"/>
      <c r="C442" s="203"/>
      <c r="D442" s="203"/>
      <c r="F442" s="203"/>
      <c r="G442" s="203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993</v>
      </c>
      <c r="B444" s="179">
        <f>D221</f>
        <v>2406776.77</v>
      </c>
      <c r="C444" s="179">
        <f>C363</f>
        <v>2406776.77</v>
      </c>
      <c r="D444" s="179"/>
    </row>
    <row r="445" spans="1:7" ht="12.6" customHeight="1" x14ac:dyDescent="0.25">
      <c r="A445" s="179" t="s">
        <v>343</v>
      </c>
      <c r="B445" s="179">
        <f>D229</f>
        <v>1296819160.3</v>
      </c>
      <c r="C445" s="179">
        <f>C364</f>
        <v>1296819160.3</v>
      </c>
      <c r="D445" s="179"/>
    </row>
    <row r="446" spans="1:7" ht="12.6" customHeight="1" x14ac:dyDescent="0.25">
      <c r="A446" s="179" t="s">
        <v>351</v>
      </c>
      <c r="B446" s="179">
        <f>D236</f>
        <v>25929145.949999999</v>
      </c>
      <c r="C446" s="179">
        <f>C365</f>
        <v>25929145.949999999</v>
      </c>
      <c r="D446" s="179"/>
    </row>
    <row r="447" spans="1:7" ht="12.6" customHeight="1" x14ac:dyDescent="0.25">
      <c r="A447" s="179" t="s">
        <v>356</v>
      </c>
      <c r="B447" s="179">
        <f>D240</f>
        <v>17117981.560000002</v>
      </c>
      <c r="C447" s="179">
        <f>C366</f>
        <v>17117981.560000002</v>
      </c>
      <c r="D447" s="179"/>
    </row>
    <row r="448" spans="1:7" ht="12.6" customHeight="1" x14ac:dyDescent="0.25">
      <c r="A448" s="179" t="s">
        <v>358</v>
      </c>
      <c r="B448" s="179">
        <f>D242</f>
        <v>1342273064.5799999</v>
      </c>
      <c r="C448" s="179">
        <f>D367</f>
        <v>1342273064.5799999</v>
      </c>
      <c r="D448" s="179"/>
    </row>
    <row r="449" spans="1:7" ht="12.6" customHeight="1" x14ac:dyDescent="0.25">
      <c r="A449" s="203"/>
      <c r="B449" s="203"/>
      <c r="C449" s="203"/>
      <c r="D449" s="203"/>
      <c r="F449" s="203"/>
      <c r="G449" s="203"/>
    </row>
    <row r="450" spans="1:7" ht="12.6" customHeight="1" x14ac:dyDescent="0.25">
      <c r="A450" s="180" t="s">
        <v>481</v>
      </c>
      <c r="B450" s="181" t="s">
        <v>482</v>
      </c>
      <c r="C450" s="203"/>
      <c r="D450" s="203"/>
      <c r="F450" s="203"/>
      <c r="G450" s="203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4954028.54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20975117.41</v>
      </c>
      <c r="C455" s="179"/>
      <c r="D455" s="179"/>
    </row>
    <row r="456" spans="1:7" ht="12.6" customHeight="1" x14ac:dyDescent="0.25">
      <c r="A456" s="203"/>
      <c r="B456" s="203"/>
      <c r="C456" s="203"/>
      <c r="D456" s="203"/>
      <c r="F456" s="203"/>
      <c r="G456" s="203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291279525.48000002</v>
      </c>
      <c r="C458" s="194">
        <f>CE70</f>
        <v>291279525.43999994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3"/>
      <c r="B460" s="203"/>
      <c r="C460" s="203"/>
      <c r="D460" s="203"/>
      <c r="F460" s="203"/>
      <c r="G460" s="203"/>
    </row>
    <row r="461" spans="1:7" ht="12.6" customHeight="1" x14ac:dyDescent="0.25">
      <c r="A461" s="179" t="s">
        <v>488</v>
      </c>
      <c r="B461" s="181"/>
      <c r="C461" s="181"/>
      <c r="D461" s="181" t="s">
        <v>982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1754258239.02</v>
      </c>
      <c r="C463" s="194">
        <f>CE73</f>
        <v>1754592481.3200004</v>
      </c>
      <c r="D463" s="194">
        <f>E141+E147+E153</f>
        <v>1754258239.02</v>
      </c>
    </row>
    <row r="464" spans="1:7" ht="12.6" customHeight="1" x14ac:dyDescent="0.25">
      <c r="A464" s="179" t="s">
        <v>246</v>
      </c>
      <c r="B464" s="194">
        <f>C360</f>
        <v>1020402294.62</v>
      </c>
      <c r="C464" s="194">
        <f>CE74</f>
        <v>1008947426.7499999</v>
      </c>
      <c r="D464" s="194">
        <f>E142+E148+E154</f>
        <v>1020402294.62</v>
      </c>
    </row>
    <row r="465" spans="1:7" ht="12.6" customHeight="1" x14ac:dyDescent="0.25">
      <c r="A465" s="179" t="s">
        <v>247</v>
      </c>
      <c r="B465" s="194">
        <f>D361</f>
        <v>2774660533.6399999</v>
      </c>
      <c r="C465" s="194">
        <f>CE75</f>
        <v>2763539908.0699997</v>
      </c>
      <c r="D465" s="194">
        <f>D463+D464</f>
        <v>2774660533.6399999</v>
      </c>
    </row>
    <row r="466" spans="1:7" ht="12.6" customHeight="1" x14ac:dyDescent="0.25">
      <c r="A466" s="203"/>
      <c r="B466" s="203"/>
      <c r="C466" s="203"/>
      <c r="D466" s="203"/>
      <c r="F466" s="203"/>
      <c r="G466" s="203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5">C267</f>
        <v>221166313.39999998</v>
      </c>
      <c r="C468" s="179">
        <f>E195</f>
        <v>221166313.39999998</v>
      </c>
      <c r="D468" s="179"/>
    </row>
    <row r="469" spans="1:7" ht="12.6" customHeight="1" x14ac:dyDescent="0.25">
      <c r="A469" s="179" t="s">
        <v>333</v>
      </c>
      <c r="B469" s="179">
        <f t="shared" si="15"/>
        <v>14690429.800000001</v>
      </c>
      <c r="C469" s="179">
        <f>E196</f>
        <v>14690429.800000001</v>
      </c>
      <c r="D469" s="179"/>
    </row>
    <row r="470" spans="1:7" ht="12.6" customHeight="1" x14ac:dyDescent="0.25">
      <c r="A470" s="179" t="s">
        <v>334</v>
      </c>
      <c r="B470" s="179">
        <f t="shared" si="15"/>
        <v>1263137456.23</v>
      </c>
      <c r="C470" s="179">
        <f>E197</f>
        <v>1263137456.23</v>
      </c>
      <c r="D470" s="179"/>
    </row>
    <row r="471" spans="1:7" ht="12.6" customHeight="1" x14ac:dyDescent="0.25">
      <c r="A471" s="179" t="s">
        <v>494</v>
      </c>
      <c r="B471" s="179">
        <f t="shared" si="15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5"/>
        <v>64003493.440000005</v>
      </c>
      <c r="C472" s="179">
        <f>E199</f>
        <v>64003493.440000005</v>
      </c>
      <c r="D472" s="179"/>
    </row>
    <row r="473" spans="1:7" ht="12.6" customHeight="1" x14ac:dyDescent="0.25">
      <c r="A473" s="179" t="s">
        <v>495</v>
      </c>
      <c r="B473" s="179">
        <f t="shared" si="15"/>
        <v>553610758.65000021</v>
      </c>
      <c r="C473" s="179">
        <f>SUM(E200:E201)</f>
        <v>553610758.65000021</v>
      </c>
      <c r="D473" s="179"/>
    </row>
    <row r="474" spans="1:7" ht="12.6" customHeight="1" x14ac:dyDescent="0.25">
      <c r="A474" s="179" t="s">
        <v>339</v>
      </c>
      <c r="B474" s="179">
        <f t="shared" si="15"/>
        <v>72392192.900000021</v>
      </c>
      <c r="C474" s="179">
        <f>E202</f>
        <v>72392192.900000021</v>
      </c>
      <c r="D474" s="179"/>
    </row>
    <row r="475" spans="1:7" ht="12.6" customHeight="1" x14ac:dyDescent="0.25">
      <c r="A475" s="179" t="s">
        <v>340</v>
      </c>
      <c r="B475" s="179">
        <f t="shared" si="15"/>
        <v>195531702.63001275</v>
      </c>
      <c r="C475" s="179">
        <f>E203</f>
        <v>195531702.63001275</v>
      </c>
      <c r="D475" s="179"/>
    </row>
    <row r="476" spans="1:7" ht="12.6" customHeight="1" x14ac:dyDescent="0.25">
      <c r="A476" s="179" t="s">
        <v>203</v>
      </c>
      <c r="B476" s="179">
        <f>D275</f>
        <v>2384532347.0500135</v>
      </c>
      <c r="C476" s="179">
        <f>E204</f>
        <v>2384532347.0500135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854452482.42000031</v>
      </c>
      <c r="C478" s="179">
        <f>E217</f>
        <v>854452482.42000031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3878355665.8700132</v>
      </c>
    </row>
    <row r="482" spans="1:12" ht="12.6" customHeight="1" x14ac:dyDescent="0.25">
      <c r="A482" s="180" t="s">
        <v>499</v>
      </c>
      <c r="C482" s="180">
        <f>D339</f>
        <v>3878355665.8100023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014</v>
      </c>
      <c r="B493" s="254" t="str">
        <f>RIGHT('Prior Year'!C82,4)</f>
        <v>2018</v>
      </c>
      <c r="C493" s="254" t="str">
        <f>RIGHT(C82,4)</f>
        <v>2019</v>
      </c>
      <c r="D493" s="254" t="str">
        <f>RIGHT('Prior Year'!C82,4)</f>
        <v>2018</v>
      </c>
      <c r="E493" s="254" t="str">
        <f>RIGHT(C82,4)</f>
        <v>2019</v>
      </c>
      <c r="F493" s="254" t="str">
        <f>RIGHT('Prior Year'!C82,4)</f>
        <v>2018</v>
      </c>
      <c r="G493" s="254" t="str">
        <f>RIGHT(C82,4)</f>
        <v>2019</v>
      </c>
      <c r="H493" s="254"/>
      <c r="K493" s="254"/>
      <c r="L493" s="254"/>
    </row>
    <row r="494" spans="1:12" ht="12.6" customHeight="1" x14ac:dyDescent="0.25">
      <c r="A494" s="198"/>
      <c r="B494" s="181" t="s">
        <v>505</v>
      </c>
      <c r="C494" s="181" t="s">
        <v>505</v>
      </c>
      <c r="D494" s="255" t="s">
        <v>506</v>
      </c>
      <c r="E494" s="255" t="s">
        <v>506</v>
      </c>
      <c r="F494" s="254" t="s">
        <v>507</v>
      </c>
      <c r="G494" s="254" t="s">
        <v>507</v>
      </c>
      <c r="H494" s="254" t="s">
        <v>508</v>
      </c>
      <c r="K494" s="254"/>
      <c r="L494" s="254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4" t="s">
        <v>510</v>
      </c>
      <c r="G495" s="254" t="s">
        <v>510</v>
      </c>
      <c r="H495" s="254" t="s">
        <v>511</v>
      </c>
      <c r="K495" s="254"/>
      <c r="L495" s="254"/>
    </row>
    <row r="496" spans="1:12" ht="12.6" customHeight="1" x14ac:dyDescent="0.25">
      <c r="A496" s="180" t="s">
        <v>512</v>
      </c>
      <c r="B496" s="233">
        <f>'Prior Year'!C71</f>
        <v>65782806.509999998</v>
      </c>
      <c r="C496" s="233">
        <f>C71</f>
        <v>57268229.249999993</v>
      </c>
      <c r="D496" s="233">
        <f>'Prior Year'!C59</f>
        <v>26349</v>
      </c>
      <c r="E496" s="180">
        <f>C59</f>
        <v>26349</v>
      </c>
      <c r="F496" s="256">
        <f t="shared" ref="F496:G511" si="16">IF(B496=0,"",IF(D496=0,"",B496/D496))</f>
        <v>2496.595943299556</v>
      </c>
      <c r="G496" s="257">
        <f t="shared" si="16"/>
        <v>2173.4498178298982</v>
      </c>
      <c r="H496" s="258" t="str">
        <f t="shared" ref="H496:H540" si="17">IF(B496=0,"",IF(C496=0,"",IF(D496=0,"",IF(E496=0,"",IF(G496/F496-1&lt;-0.25,G496/F496-1,IF(G496/F496-1&gt;0.25,G496/F496-1,""))))))</f>
        <v/>
      </c>
      <c r="I496" s="260"/>
      <c r="K496" s="254"/>
      <c r="L496" s="254"/>
    </row>
    <row r="497" spans="1:12" ht="12.6" customHeight="1" x14ac:dyDescent="0.25">
      <c r="A497" s="180" t="s">
        <v>513</v>
      </c>
      <c r="B497" s="233">
        <f>'Prior Year'!D71</f>
        <v>0</v>
      </c>
      <c r="C497" s="233">
        <f>D71</f>
        <v>0</v>
      </c>
      <c r="D497" s="233">
        <f>'Prior Year'!D59</f>
        <v>0</v>
      </c>
      <c r="E497" s="180">
        <f>D59</f>
        <v>0</v>
      </c>
      <c r="F497" s="256" t="str">
        <f t="shared" si="16"/>
        <v/>
      </c>
      <c r="G497" s="256" t="str">
        <f t="shared" si="16"/>
        <v/>
      </c>
      <c r="H497" s="258" t="str">
        <f t="shared" si="17"/>
        <v/>
      </c>
      <c r="I497" s="260"/>
      <c r="K497" s="254"/>
      <c r="L497" s="254"/>
    </row>
    <row r="498" spans="1:12" ht="12.6" customHeight="1" x14ac:dyDescent="0.25">
      <c r="A498" s="180" t="s">
        <v>514</v>
      </c>
      <c r="B498" s="233">
        <f>'Prior Year'!E71</f>
        <v>79637942.729999989</v>
      </c>
      <c r="C498" s="233">
        <f>E71</f>
        <v>58266713.960000016</v>
      </c>
      <c r="D498" s="233">
        <f>'Prior Year'!E59</f>
        <v>64221</v>
      </c>
      <c r="E498" s="180">
        <f>E59</f>
        <v>64221</v>
      </c>
      <c r="F498" s="256">
        <f t="shared" si="16"/>
        <v>1240.0607703087774</v>
      </c>
      <c r="G498" s="256">
        <f t="shared" si="16"/>
        <v>907.28443904641813</v>
      </c>
      <c r="H498" s="258">
        <f t="shared" si="17"/>
        <v>-0.26835485746355592</v>
      </c>
      <c r="I498" s="260"/>
      <c r="K498" s="254"/>
      <c r="L498" s="254"/>
    </row>
    <row r="499" spans="1:12" ht="12.6" customHeight="1" x14ac:dyDescent="0.25">
      <c r="A499" s="180" t="s">
        <v>515</v>
      </c>
      <c r="B499" s="233">
        <f>'Prior Year'!F71</f>
        <v>0</v>
      </c>
      <c r="C499" s="233">
        <f>F71</f>
        <v>0</v>
      </c>
      <c r="D499" s="233">
        <f>'Prior Year'!F59</f>
        <v>0</v>
      </c>
      <c r="E499" s="180">
        <f>F59</f>
        <v>0</v>
      </c>
      <c r="F499" s="256" t="str">
        <f t="shared" si="16"/>
        <v/>
      </c>
      <c r="G499" s="256" t="str">
        <f t="shared" si="16"/>
        <v/>
      </c>
      <c r="H499" s="258" t="str">
        <f t="shared" si="17"/>
        <v/>
      </c>
      <c r="I499" s="260"/>
      <c r="K499" s="254"/>
      <c r="L499" s="254"/>
    </row>
    <row r="500" spans="1:12" ht="12.6" customHeight="1" x14ac:dyDescent="0.25">
      <c r="A500" s="180" t="s">
        <v>516</v>
      </c>
      <c r="B500" s="233">
        <f>'Prior Year'!G71</f>
        <v>4845693.3</v>
      </c>
      <c r="C500" s="233">
        <f>G71</f>
        <v>3705956.9700000007</v>
      </c>
      <c r="D500" s="233">
        <f>'Prior Year'!G59</f>
        <v>3304</v>
      </c>
      <c r="E500" s="180">
        <f>G59</f>
        <v>3304</v>
      </c>
      <c r="F500" s="256">
        <f t="shared" si="16"/>
        <v>1466.6141949152541</v>
      </c>
      <c r="G500" s="256">
        <f t="shared" si="16"/>
        <v>1121.6576785714287</v>
      </c>
      <c r="H500" s="258" t="str">
        <f t="shared" si="17"/>
        <v/>
      </c>
      <c r="I500" s="260"/>
      <c r="K500" s="254"/>
      <c r="L500" s="254"/>
    </row>
    <row r="501" spans="1:12" ht="12.6" customHeight="1" x14ac:dyDescent="0.25">
      <c r="A501" s="180" t="s">
        <v>517</v>
      </c>
      <c r="B501" s="233">
        <f>'Prior Year'!H71</f>
        <v>15541781.479999999</v>
      </c>
      <c r="C501" s="233">
        <f>H71</f>
        <v>9812719.129999999</v>
      </c>
      <c r="D501" s="233">
        <f>'Prior Year'!H59</f>
        <v>12292</v>
      </c>
      <c r="E501" s="180">
        <f>H59</f>
        <v>12292</v>
      </c>
      <c r="F501" s="256">
        <f t="shared" si="16"/>
        <v>1264.3818320859093</v>
      </c>
      <c r="G501" s="256">
        <f t="shared" si="16"/>
        <v>798.30126342336473</v>
      </c>
      <c r="H501" s="258">
        <f t="shared" si="17"/>
        <v>-0.36862327252332461</v>
      </c>
      <c r="I501" s="260"/>
      <c r="K501" s="254"/>
      <c r="L501" s="254"/>
    </row>
    <row r="502" spans="1:12" ht="12.6" customHeight="1" x14ac:dyDescent="0.25">
      <c r="A502" s="180" t="s">
        <v>518</v>
      </c>
      <c r="B502" s="233">
        <f>'Prior Year'!I71</f>
        <v>0</v>
      </c>
      <c r="C502" s="233">
        <f>I71</f>
        <v>0</v>
      </c>
      <c r="D502" s="233">
        <f>'Prior Year'!I59</f>
        <v>0</v>
      </c>
      <c r="E502" s="180">
        <f>I59</f>
        <v>0</v>
      </c>
      <c r="F502" s="256" t="str">
        <f t="shared" si="16"/>
        <v/>
      </c>
      <c r="G502" s="256" t="str">
        <f t="shared" si="16"/>
        <v/>
      </c>
      <c r="H502" s="258" t="str">
        <f t="shared" si="17"/>
        <v/>
      </c>
      <c r="I502" s="260"/>
      <c r="K502" s="254"/>
      <c r="L502" s="254"/>
    </row>
    <row r="503" spans="1:12" ht="12.6" customHeight="1" x14ac:dyDescent="0.25">
      <c r="A503" s="180" t="s">
        <v>519</v>
      </c>
      <c r="B503" s="233">
        <f>'Prior Year'!J71</f>
        <v>0</v>
      </c>
      <c r="C503" s="233">
        <f>J71</f>
        <v>0</v>
      </c>
      <c r="D503" s="233">
        <f>'Prior Year'!J59</f>
        <v>0</v>
      </c>
      <c r="E503" s="180">
        <f>J59</f>
        <v>0</v>
      </c>
      <c r="F503" s="256" t="str">
        <f t="shared" si="16"/>
        <v/>
      </c>
      <c r="G503" s="256" t="str">
        <f t="shared" si="16"/>
        <v/>
      </c>
      <c r="H503" s="258" t="str">
        <f t="shared" si="17"/>
        <v/>
      </c>
      <c r="I503" s="260"/>
      <c r="K503" s="254"/>
      <c r="L503" s="254"/>
    </row>
    <row r="504" spans="1:12" ht="12.6" customHeight="1" x14ac:dyDescent="0.25">
      <c r="A504" s="180" t="s">
        <v>520</v>
      </c>
      <c r="B504" s="233">
        <f>'Prior Year'!K71</f>
        <v>0</v>
      </c>
      <c r="C504" s="233">
        <f>K71</f>
        <v>0</v>
      </c>
      <c r="D504" s="233">
        <f>'Prior Year'!K59</f>
        <v>0</v>
      </c>
      <c r="E504" s="180">
        <f>K59</f>
        <v>0</v>
      </c>
      <c r="F504" s="256" t="str">
        <f t="shared" si="16"/>
        <v/>
      </c>
      <c r="G504" s="256" t="str">
        <f t="shared" si="16"/>
        <v/>
      </c>
      <c r="H504" s="258" t="str">
        <f t="shared" si="17"/>
        <v/>
      </c>
      <c r="I504" s="260"/>
      <c r="K504" s="254"/>
      <c r="L504" s="254"/>
    </row>
    <row r="505" spans="1:12" ht="12.6" customHeight="1" x14ac:dyDescent="0.25">
      <c r="A505" s="180" t="s">
        <v>521</v>
      </c>
      <c r="B505" s="233">
        <f>'Prior Year'!L71</f>
        <v>0</v>
      </c>
      <c r="C505" s="233">
        <f>L71</f>
        <v>0</v>
      </c>
      <c r="D505" s="233">
        <f>'Prior Year'!L59</f>
        <v>0</v>
      </c>
      <c r="E505" s="180">
        <f>L59</f>
        <v>0</v>
      </c>
      <c r="F505" s="256" t="str">
        <f t="shared" si="16"/>
        <v/>
      </c>
      <c r="G505" s="256" t="str">
        <f t="shared" si="16"/>
        <v/>
      </c>
      <c r="H505" s="258" t="str">
        <f t="shared" si="17"/>
        <v/>
      </c>
      <c r="I505" s="260"/>
      <c r="K505" s="254"/>
      <c r="L505" s="254"/>
    </row>
    <row r="506" spans="1:12" ht="12.6" customHeight="1" x14ac:dyDescent="0.25">
      <c r="A506" s="180" t="s">
        <v>522</v>
      </c>
      <c r="B506" s="233">
        <f>'Prior Year'!M71</f>
        <v>0</v>
      </c>
      <c r="C506" s="233">
        <f>M71</f>
        <v>0</v>
      </c>
      <c r="D506" s="233">
        <f>'Prior Year'!M59</f>
        <v>0</v>
      </c>
      <c r="E506" s="180">
        <f>M59</f>
        <v>0</v>
      </c>
      <c r="F506" s="256" t="str">
        <f t="shared" si="16"/>
        <v/>
      </c>
      <c r="G506" s="256" t="str">
        <f t="shared" si="16"/>
        <v/>
      </c>
      <c r="H506" s="258" t="str">
        <f t="shared" si="17"/>
        <v/>
      </c>
      <c r="I506" s="260"/>
      <c r="K506" s="254"/>
      <c r="L506" s="254"/>
    </row>
    <row r="507" spans="1:12" ht="12.6" customHeight="1" x14ac:dyDescent="0.25">
      <c r="A507" s="180" t="s">
        <v>523</v>
      </c>
      <c r="B507" s="233">
        <f>'Prior Year'!N71</f>
        <v>0</v>
      </c>
      <c r="C507" s="233">
        <f>N71</f>
        <v>0</v>
      </c>
      <c r="D507" s="233">
        <f>'Prior Year'!N59</f>
        <v>0</v>
      </c>
      <c r="E507" s="180">
        <f>N59</f>
        <v>0</v>
      </c>
      <c r="F507" s="256" t="str">
        <f t="shared" si="16"/>
        <v/>
      </c>
      <c r="G507" s="256" t="str">
        <f t="shared" si="16"/>
        <v/>
      </c>
      <c r="H507" s="258" t="str">
        <f t="shared" si="17"/>
        <v/>
      </c>
      <c r="I507" s="260"/>
      <c r="K507" s="254"/>
      <c r="L507" s="254"/>
    </row>
    <row r="508" spans="1:12" ht="12.6" customHeight="1" x14ac:dyDescent="0.25">
      <c r="A508" s="180" t="s">
        <v>524</v>
      </c>
      <c r="B508" s="233">
        <f>'Prior Year'!O71</f>
        <v>0</v>
      </c>
      <c r="C508" s="233">
        <f>O71</f>
        <v>0</v>
      </c>
      <c r="D508" s="233">
        <f>'Prior Year'!O59</f>
        <v>0</v>
      </c>
      <c r="E508" s="180">
        <f>O59</f>
        <v>0</v>
      </c>
      <c r="F508" s="256" t="str">
        <f t="shared" si="16"/>
        <v/>
      </c>
      <c r="G508" s="256" t="str">
        <f t="shared" si="16"/>
        <v/>
      </c>
      <c r="H508" s="258" t="str">
        <f t="shared" si="17"/>
        <v/>
      </c>
      <c r="I508" s="260"/>
      <c r="K508" s="254"/>
      <c r="L508" s="254"/>
    </row>
    <row r="509" spans="1:12" ht="12.6" customHeight="1" x14ac:dyDescent="0.25">
      <c r="A509" s="180" t="s">
        <v>525</v>
      </c>
      <c r="B509" s="233">
        <f>'Prior Year'!P71</f>
        <v>55536479.859999999</v>
      </c>
      <c r="C509" s="233">
        <f>P71</f>
        <v>46626925.059999987</v>
      </c>
      <c r="D509" s="233">
        <f>'Prior Year'!P59</f>
        <v>1629865</v>
      </c>
      <c r="E509" s="180">
        <f>P59</f>
        <v>1629865</v>
      </c>
      <c r="F509" s="256">
        <f t="shared" si="16"/>
        <v>34.074282139931832</v>
      </c>
      <c r="G509" s="256">
        <f t="shared" si="16"/>
        <v>28.607844858316479</v>
      </c>
      <c r="H509" s="258" t="str">
        <f t="shared" si="17"/>
        <v/>
      </c>
      <c r="I509" s="260"/>
      <c r="K509" s="254"/>
      <c r="L509" s="254"/>
    </row>
    <row r="510" spans="1:12" ht="12.6" customHeight="1" x14ac:dyDescent="0.25">
      <c r="A510" s="180" t="s">
        <v>526</v>
      </c>
      <c r="B510" s="233">
        <f>'Prior Year'!Q71</f>
        <v>10438281.83</v>
      </c>
      <c r="C510" s="233">
        <f>Q71</f>
        <v>8735851.120000001</v>
      </c>
      <c r="D510" s="233">
        <f>'Prior Year'!Q59</f>
        <v>1304740</v>
      </c>
      <c r="E510" s="180">
        <f>Q59</f>
        <v>1304740</v>
      </c>
      <c r="F510" s="256">
        <f t="shared" si="16"/>
        <v>8.0002773196192347</v>
      </c>
      <c r="G510" s="256">
        <f t="shared" si="16"/>
        <v>6.6954727531922078</v>
      </c>
      <c r="H510" s="258" t="str">
        <f t="shared" si="17"/>
        <v/>
      </c>
      <c r="I510" s="260"/>
      <c r="K510" s="254"/>
      <c r="L510" s="254"/>
    </row>
    <row r="511" spans="1:12" ht="12.6" customHeight="1" x14ac:dyDescent="0.25">
      <c r="A511" s="180" t="s">
        <v>527</v>
      </c>
      <c r="B511" s="233">
        <f>'Prior Year'!R71</f>
        <v>6002749.1499999994</v>
      </c>
      <c r="C511" s="233">
        <f>R71</f>
        <v>4918021.8100000005</v>
      </c>
      <c r="D511" s="233">
        <f>'Prior Year'!R59</f>
        <v>2289260</v>
      </c>
      <c r="E511" s="180">
        <f>R59</f>
        <v>2289260</v>
      </c>
      <c r="F511" s="256">
        <f t="shared" si="16"/>
        <v>2.6221351659488215</v>
      </c>
      <c r="G511" s="256">
        <f t="shared" si="16"/>
        <v>2.1483019884154708</v>
      </c>
      <c r="H511" s="258" t="str">
        <f t="shared" si="17"/>
        <v/>
      </c>
      <c r="I511" s="260"/>
      <c r="K511" s="254"/>
      <c r="L511" s="254"/>
    </row>
    <row r="512" spans="1:12" ht="12.6" customHeight="1" x14ac:dyDescent="0.25">
      <c r="A512" s="180" t="s">
        <v>528</v>
      </c>
      <c r="B512" s="233">
        <f>'Prior Year'!S71</f>
        <v>13874850.32</v>
      </c>
      <c r="C512" s="233">
        <f>S71</f>
        <v>10324900.540000001</v>
      </c>
      <c r="D512" s="181" t="s">
        <v>529</v>
      </c>
      <c r="E512" s="181" t="s">
        <v>529</v>
      </c>
      <c r="F512" s="256" t="str">
        <f t="shared" ref="F512:G527" si="18">IF(B512=0,"",IF(D512=0,"",B512/D512))</f>
        <v/>
      </c>
      <c r="G512" s="256" t="str">
        <f t="shared" si="18"/>
        <v/>
      </c>
      <c r="H512" s="258" t="str">
        <f t="shared" si="17"/>
        <v/>
      </c>
      <c r="I512" s="260"/>
      <c r="K512" s="254"/>
      <c r="L512" s="254"/>
    </row>
    <row r="513" spans="1:12" ht="12.6" customHeight="1" x14ac:dyDescent="0.25">
      <c r="A513" s="180" t="s">
        <v>983</v>
      </c>
      <c r="B513" s="233">
        <f>'Prior Year'!T71</f>
        <v>620921.94999999995</v>
      </c>
      <c r="C513" s="233">
        <f>T71</f>
        <v>829953.58000000019</v>
      </c>
      <c r="D513" s="181" t="s">
        <v>529</v>
      </c>
      <c r="E513" s="181" t="s">
        <v>529</v>
      </c>
      <c r="F513" s="256" t="str">
        <f t="shared" si="18"/>
        <v/>
      </c>
      <c r="G513" s="256" t="str">
        <f t="shared" si="18"/>
        <v/>
      </c>
      <c r="H513" s="258" t="str">
        <f t="shared" si="17"/>
        <v/>
      </c>
      <c r="I513" s="260"/>
      <c r="K513" s="254"/>
      <c r="L513" s="254"/>
    </row>
    <row r="514" spans="1:12" ht="12.6" customHeight="1" x14ac:dyDescent="0.25">
      <c r="A514" s="180" t="s">
        <v>530</v>
      </c>
      <c r="B514" s="233">
        <f>'Prior Year'!U71</f>
        <v>46251131.060000002</v>
      </c>
      <c r="C514" s="233">
        <f>U71</f>
        <v>36931054.660000004</v>
      </c>
      <c r="D514" s="233">
        <f>'Prior Year'!U59</f>
        <v>1348167</v>
      </c>
      <c r="E514" s="180">
        <f>U59</f>
        <v>1348167</v>
      </c>
      <c r="F514" s="256">
        <f t="shared" si="18"/>
        <v>34.306677926399331</v>
      </c>
      <c r="G514" s="256">
        <f t="shared" si="18"/>
        <v>27.393531112985265</v>
      </c>
      <c r="H514" s="258" t="str">
        <f t="shared" si="17"/>
        <v/>
      </c>
      <c r="I514" s="260"/>
      <c r="K514" s="254"/>
      <c r="L514" s="254"/>
    </row>
    <row r="515" spans="1:12" ht="12.6" customHeight="1" x14ac:dyDescent="0.25">
      <c r="A515" s="180" t="s">
        <v>531</v>
      </c>
      <c r="B515" s="233">
        <f>'Prior Year'!V71</f>
        <v>8597659.1999999993</v>
      </c>
      <c r="C515" s="233">
        <f>V71</f>
        <v>6703729.79</v>
      </c>
      <c r="D515" s="233">
        <f>'Prior Year'!V59</f>
        <v>38896</v>
      </c>
      <c r="E515" s="180">
        <f>V59</f>
        <v>38896</v>
      </c>
      <c r="F515" s="256">
        <f t="shared" si="18"/>
        <v>221.0422459893048</v>
      </c>
      <c r="G515" s="256">
        <f t="shared" si="18"/>
        <v>172.3501077231592</v>
      </c>
      <c r="H515" s="258" t="str">
        <f t="shared" si="17"/>
        <v/>
      </c>
      <c r="I515" s="260"/>
      <c r="K515" s="254"/>
      <c r="L515" s="254"/>
    </row>
    <row r="516" spans="1:12" ht="12.6" customHeight="1" x14ac:dyDescent="0.25">
      <c r="A516" s="180" t="s">
        <v>532</v>
      </c>
      <c r="B516" s="233">
        <f>'Prior Year'!W71</f>
        <v>1965808.73</v>
      </c>
      <c r="C516" s="233">
        <f>W71</f>
        <v>1919016.84</v>
      </c>
      <c r="D516" s="233">
        <f>'Prior Year'!W59</f>
        <v>177339</v>
      </c>
      <c r="E516" s="180">
        <f>W59</f>
        <v>177339</v>
      </c>
      <c r="F516" s="256">
        <f t="shared" si="18"/>
        <v>11.085033354197328</v>
      </c>
      <c r="G516" s="256">
        <f t="shared" si="18"/>
        <v>10.821177744320201</v>
      </c>
      <c r="H516" s="258" t="str">
        <f t="shared" si="17"/>
        <v/>
      </c>
      <c r="I516" s="260"/>
      <c r="K516" s="254"/>
      <c r="L516" s="254"/>
    </row>
    <row r="517" spans="1:12" ht="12.6" customHeight="1" x14ac:dyDescent="0.25">
      <c r="A517" s="180" t="s">
        <v>533</v>
      </c>
      <c r="B517" s="233">
        <f>'Prior Year'!X71</f>
        <v>2147815.1900000004</v>
      </c>
      <c r="C517" s="233">
        <f>X71</f>
        <v>1881862.6900000002</v>
      </c>
      <c r="D517" s="233">
        <f>'Prior Year'!X59</f>
        <v>70089</v>
      </c>
      <c r="E517" s="180">
        <f>X59</f>
        <v>70089</v>
      </c>
      <c r="F517" s="256">
        <f t="shared" si="18"/>
        <v>30.644112342878348</v>
      </c>
      <c r="G517" s="256">
        <f t="shared" si="18"/>
        <v>26.849615346202686</v>
      </c>
      <c r="H517" s="258" t="str">
        <f t="shared" si="17"/>
        <v/>
      </c>
      <c r="I517" s="260"/>
      <c r="K517" s="254"/>
      <c r="L517" s="254"/>
    </row>
    <row r="518" spans="1:12" ht="12.6" customHeight="1" x14ac:dyDescent="0.25">
      <c r="A518" s="180" t="s">
        <v>534</v>
      </c>
      <c r="B518" s="233">
        <f>'Prior Year'!Y71</f>
        <v>22289402.43</v>
      </c>
      <c r="C518" s="233">
        <f>Y71</f>
        <v>17842009.470000003</v>
      </c>
      <c r="D518" s="233">
        <f>'Prior Year'!Y59</f>
        <v>169839</v>
      </c>
      <c r="E518" s="180">
        <f>Y59</f>
        <v>169839</v>
      </c>
      <c r="F518" s="256">
        <f t="shared" si="18"/>
        <v>131.23842244714112</v>
      </c>
      <c r="G518" s="256">
        <f t="shared" si="18"/>
        <v>105.05248776782719</v>
      </c>
      <c r="H518" s="258" t="str">
        <f t="shared" si="17"/>
        <v/>
      </c>
      <c r="I518" s="260"/>
      <c r="K518" s="254"/>
      <c r="L518" s="254"/>
    </row>
    <row r="519" spans="1:12" ht="12.6" customHeight="1" x14ac:dyDescent="0.25">
      <c r="A519" s="180" t="s">
        <v>535</v>
      </c>
      <c r="B519" s="233">
        <f>'Prior Year'!Z71</f>
        <v>1073724</v>
      </c>
      <c r="C519" s="233">
        <f>Z71</f>
        <v>749230.07999999996</v>
      </c>
      <c r="D519" s="233">
        <f>'Prior Year'!Z59</f>
        <v>0</v>
      </c>
      <c r="E519" s="180">
        <f>Z59</f>
        <v>0</v>
      </c>
      <c r="F519" s="256" t="str">
        <f t="shared" si="18"/>
        <v/>
      </c>
      <c r="G519" s="256" t="str">
        <f t="shared" si="18"/>
        <v/>
      </c>
      <c r="H519" s="258" t="str">
        <f t="shared" si="17"/>
        <v/>
      </c>
      <c r="I519" s="260"/>
      <c r="K519" s="254"/>
      <c r="L519" s="254"/>
    </row>
    <row r="520" spans="1:12" ht="12.6" customHeight="1" x14ac:dyDescent="0.25">
      <c r="A520" s="180" t="s">
        <v>536</v>
      </c>
      <c r="B520" s="233">
        <f>'Prior Year'!AA71</f>
        <v>1446741.8299999998</v>
      </c>
      <c r="C520" s="233">
        <f>AA71</f>
        <v>1428755.8299999998</v>
      </c>
      <c r="D520" s="233">
        <f>'Prior Year'!AA59</f>
        <v>6140</v>
      </c>
      <c r="E520" s="180">
        <f>AA59</f>
        <v>6140</v>
      </c>
      <c r="F520" s="256">
        <f t="shared" si="18"/>
        <v>235.62570521172637</v>
      </c>
      <c r="G520" s="256">
        <f t="shared" si="18"/>
        <v>232.69638925081432</v>
      </c>
      <c r="H520" s="258" t="str">
        <f t="shared" si="17"/>
        <v/>
      </c>
      <c r="I520" s="260"/>
      <c r="K520" s="254"/>
      <c r="L520" s="254"/>
    </row>
    <row r="521" spans="1:12" ht="12.6" customHeight="1" x14ac:dyDescent="0.25">
      <c r="A521" s="180" t="s">
        <v>537</v>
      </c>
      <c r="B521" s="233">
        <f>'Prior Year'!AB71</f>
        <v>101539739</v>
      </c>
      <c r="C521" s="233">
        <f>AB71</f>
        <v>105864034.55</v>
      </c>
      <c r="D521" s="181" t="s">
        <v>529</v>
      </c>
      <c r="E521" s="181" t="s">
        <v>529</v>
      </c>
      <c r="F521" s="256" t="str">
        <f t="shared" si="18"/>
        <v/>
      </c>
      <c r="G521" s="256" t="str">
        <f t="shared" si="18"/>
        <v/>
      </c>
      <c r="H521" s="258" t="str">
        <f t="shared" si="17"/>
        <v/>
      </c>
      <c r="I521" s="260"/>
      <c r="K521" s="254"/>
      <c r="L521" s="254"/>
    </row>
    <row r="522" spans="1:12" ht="12.6" customHeight="1" x14ac:dyDescent="0.25">
      <c r="A522" s="180" t="s">
        <v>538</v>
      </c>
      <c r="B522" s="233">
        <f>'Prior Year'!AC71</f>
        <v>16431917.619999999</v>
      </c>
      <c r="C522" s="233">
        <f>AC71</f>
        <v>16984973.240000002</v>
      </c>
      <c r="D522" s="233">
        <f>'Prior Year'!AC59</f>
        <v>211798</v>
      </c>
      <c r="E522" s="180">
        <f>AC59</f>
        <v>211798</v>
      </c>
      <c r="F522" s="256">
        <f t="shared" si="18"/>
        <v>77.582968772131935</v>
      </c>
      <c r="G522" s="256">
        <f t="shared" si="18"/>
        <v>80.194209765909036</v>
      </c>
      <c r="H522" s="258" t="str">
        <f t="shared" si="17"/>
        <v/>
      </c>
      <c r="I522" s="260"/>
      <c r="K522" s="254"/>
      <c r="L522" s="254"/>
    </row>
    <row r="523" spans="1:12" ht="12.6" customHeight="1" x14ac:dyDescent="0.25">
      <c r="A523" s="180" t="s">
        <v>539</v>
      </c>
      <c r="B523" s="233">
        <f>'Prior Year'!AD71</f>
        <v>6580869.5199999996</v>
      </c>
      <c r="C523" s="233">
        <f>AD71</f>
        <v>5288274.1400000006</v>
      </c>
      <c r="D523" s="233">
        <f>'Prior Year'!AD59</f>
        <v>12851</v>
      </c>
      <c r="E523" s="180">
        <f>AD59</f>
        <v>12851</v>
      </c>
      <c r="F523" s="256">
        <f t="shared" si="18"/>
        <v>512.0900723679091</v>
      </c>
      <c r="G523" s="256">
        <f t="shared" si="18"/>
        <v>411.5068197027469</v>
      </c>
      <c r="H523" s="258" t="str">
        <f t="shared" si="17"/>
        <v/>
      </c>
      <c r="I523" s="260"/>
      <c r="K523" s="254"/>
      <c r="L523" s="254"/>
    </row>
    <row r="524" spans="1:12" ht="12.6" customHeight="1" x14ac:dyDescent="0.25">
      <c r="A524" s="180" t="s">
        <v>540</v>
      </c>
      <c r="B524" s="233">
        <f>'Prior Year'!AE71</f>
        <v>6863290.4500000002</v>
      </c>
      <c r="C524" s="233">
        <f>AE71</f>
        <v>5869466.4799999995</v>
      </c>
      <c r="D524" s="233">
        <f>'Prior Year'!AE59</f>
        <v>168042</v>
      </c>
      <c r="E524" s="180">
        <f>AE59</f>
        <v>168042</v>
      </c>
      <c r="F524" s="256">
        <f t="shared" si="18"/>
        <v>40.842708668071076</v>
      </c>
      <c r="G524" s="256">
        <f t="shared" si="18"/>
        <v>34.928568334106949</v>
      </c>
      <c r="H524" s="258" t="str">
        <f t="shared" si="17"/>
        <v/>
      </c>
      <c r="I524" s="260"/>
      <c r="K524" s="254"/>
      <c r="L524" s="254"/>
    </row>
    <row r="525" spans="1:12" ht="12.6" customHeight="1" x14ac:dyDescent="0.25">
      <c r="A525" s="180" t="s">
        <v>541</v>
      </c>
      <c r="B525" s="233">
        <f>'Prior Year'!AF71</f>
        <v>13877055.49</v>
      </c>
      <c r="C525" s="233">
        <f>AF71</f>
        <v>12089081.949999999</v>
      </c>
      <c r="D525" s="233">
        <f>'Prior Year'!AF59</f>
        <v>46771</v>
      </c>
      <c r="E525" s="180">
        <f>AF59</f>
        <v>46771</v>
      </c>
      <c r="F525" s="256">
        <f t="shared" si="18"/>
        <v>296.70213358705183</v>
      </c>
      <c r="G525" s="256">
        <f t="shared" si="18"/>
        <v>258.47388232024116</v>
      </c>
      <c r="H525" s="258" t="str">
        <f t="shared" si="17"/>
        <v/>
      </c>
      <c r="I525" s="260"/>
      <c r="K525" s="254"/>
      <c r="L525" s="254"/>
    </row>
    <row r="526" spans="1:12" ht="12.6" customHeight="1" x14ac:dyDescent="0.25">
      <c r="A526" s="180" t="s">
        <v>542</v>
      </c>
      <c r="B526" s="233">
        <f>'Prior Year'!AG71</f>
        <v>17875645.880000003</v>
      </c>
      <c r="C526" s="233">
        <f>AG71</f>
        <v>14662994.209999999</v>
      </c>
      <c r="D526" s="233">
        <f>'Prior Year'!AG59</f>
        <v>50644</v>
      </c>
      <c r="E526" s="180">
        <f>AG59</f>
        <v>50644</v>
      </c>
      <c r="F526" s="256">
        <f t="shared" si="18"/>
        <v>352.96670642129379</v>
      </c>
      <c r="G526" s="256">
        <f t="shared" si="18"/>
        <v>289.53072841797643</v>
      </c>
      <c r="H526" s="258" t="str">
        <f t="shared" si="17"/>
        <v/>
      </c>
      <c r="I526" s="260"/>
      <c r="K526" s="254"/>
      <c r="L526" s="254"/>
    </row>
    <row r="527" spans="1:12" ht="12.6" customHeight="1" x14ac:dyDescent="0.25">
      <c r="A527" s="180" t="s">
        <v>543</v>
      </c>
      <c r="B527" s="233">
        <f>'Prior Year'!AH71</f>
        <v>1951498.2599999998</v>
      </c>
      <c r="C527" s="233">
        <f>AH71</f>
        <v>2979993.1000000006</v>
      </c>
      <c r="D527" s="233">
        <f>'Prior Year'!AH59</f>
        <v>568</v>
      </c>
      <c r="E527" s="180">
        <f>AH59</f>
        <v>568</v>
      </c>
      <c r="F527" s="256">
        <f t="shared" si="18"/>
        <v>3435.736373239436</v>
      </c>
      <c r="G527" s="256">
        <f t="shared" si="18"/>
        <v>5246.4667253521138</v>
      </c>
      <c r="H527" s="258">
        <f t="shared" si="17"/>
        <v>0.52702831515719684</v>
      </c>
      <c r="I527" s="260"/>
      <c r="K527" s="254"/>
      <c r="L527" s="254"/>
    </row>
    <row r="528" spans="1:12" ht="12.6" customHeight="1" x14ac:dyDescent="0.25">
      <c r="A528" s="180" t="s">
        <v>544</v>
      </c>
      <c r="B528" s="233">
        <f>'Prior Year'!AI71</f>
        <v>0</v>
      </c>
      <c r="C528" s="233">
        <f>AI71</f>
        <v>0</v>
      </c>
      <c r="D528" s="233">
        <f>'Prior Year'!AI59</f>
        <v>0</v>
      </c>
      <c r="E528" s="180">
        <f>AI59</f>
        <v>0</v>
      </c>
      <c r="F528" s="256" t="str">
        <f t="shared" ref="F528:G540" si="19">IF(B528=0,"",IF(D528=0,"",B528/D528))</f>
        <v/>
      </c>
      <c r="G528" s="256" t="str">
        <f t="shared" si="19"/>
        <v/>
      </c>
      <c r="H528" s="258" t="str">
        <f t="shared" si="17"/>
        <v/>
      </c>
      <c r="I528" s="260"/>
      <c r="K528" s="254"/>
      <c r="L528" s="254"/>
    </row>
    <row r="529" spans="1:12" ht="12.6" customHeight="1" x14ac:dyDescent="0.25">
      <c r="A529" s="180" t="s">
        <v>545</v>
      </c>
      <c r="B529" s="233">
        <f>'Prior Year'!AJ71</f>
        <v>115222617.31</v>
      </c>
      <c r="C529" s="233">
        <f>AJ71</f>
        <v>94080352.48999998</v>
      </c>
      <c r="D529" s="233">
        <f>'Prior Year'!AJ59</f>
        <v>326826</v>
      </c>
      <c r="E529" s="180">
        <f>AJ59</f>
        <v>326826</v>
      </c>
      <c r="F529" s="256">
        <f t="shared" si="19"/>
        <v>352.55033966085932</v>
      </c>
      <c r="G529" s="256">
        <f t="shared" si="19"/>
        <v>287.86067353882487</v>
      </c>
      <c r="H529" s="258" t="str">
        <f t="shared" si="17"/>
        <v/>
      </c>
      <c r="I529" s="260"/>
      <c r="K529" s="254"/>
      <c r="L529" s="254"/>
    </row>
    <row r="530" spans="1:12" ht="12.6" customHeight="1" x14ac:dyDescent="0.25">
      <c r="A530" s="180" t="s">
        <v>546</v>
      </c>
      <c r="B530" s="233">
        <f>'Prior Year'!AK71</f>
        <v>2725534.66</v>
      </c>
      <c r="C530" s="233">
        <f>AK71</f>
        <v>2298489.3199999998</v>
      </c>
      <c r="D530" s="233">
        <f>'Prior Year'!AK59</f>
        <v>67850</v>
      </c>
      <c r="E530" s="180">
        <f>AK59</f>
        <v>67850</v>
      </c>
      <c r="F530" s="256">
        <f t="shared" si="19"/>
        <v>40.170002358142966</v>
      </c>
      <c r="G530" s="256">
        <f t="shared" si="19"/>
        <v>33.876040088430358</v>
      </c>
      <c r="H530" s="258" t="str">
        <f t="shared" si="17"/>
        <v/>
      </c>
      <c r="I530" s="260"/>
      <c r="K530" s="254"/>
      <c r="L530" s="254"/>
    </row>
    <row r="531" spans="1:12" ht="12.6" customHeight="1" x14ac:dyDescent="0.25">
      <c r="A531" s="180" t="s">
        <v>547</v>
      </c>
      <c r="B531" s="233">
        <f>'Prior Year'!AL71</f>
        <v>2433979.35</v>
      </c>
      <c r="C531" s="233">
        <f>AL71</f>
        <v>1838505.56</v>
      </c>
      <c r="D531" s="233">
        <f>'Prior Year'!AL59</f>
        <v>50189</v>
      </c>
      <c r="E531" s="180">
        <f>AL59</f>
        <v>50189</v>
      </c>
      <c r="F531" s="256">
        <f t="shared" si="19"/>
        <v>48.496271095259921</v>
      </c>
      <c r="G531" s="256">
        <f t="shared" si="19"/>
        <v>36.631643587240234</v>
      </c>
      <c r="H531" s="258" t="str">
        <f t="shared" si="17"/>
        <v/>
      </c>
      <c r="I531" s="260"/>
      <c r="K531" s="254"/>
      <c r="L531" s="254"/>
    </row>
    <row r="532" spans="1:12" ht="12.6" customHeight="1" x14ac:dyDescent="0.25">
      <c r="A532" s="180" t="s">
        <v>548</v>
      </c>
      <c r="B532" s="233">
        <f>'Prior Year'!AM71</f>
        <v>2804808.54</v>
      </c>
      <c r="C532" s="233">
        <f>AM71</f>
        <v>2026493.6300000001</v>
      </c>
      <c r="D532" s="233">
        <f>'Prior Year'!AM59</f>
        <v>0</v>
      </c>
      <c r="E532" s="180">
        <f>AM59</f>
        <v>0</v>
      </c>
      <c r="F532" s="256" t="str">
        <f t="shared" si="19"/>
        <v/>
      </c>
      <c r="G532" s="256" t="str">
        <f t="shared" si="19"/>
        <v/>
      </c>
      <c r="H532" s="258" t="str">
        <f t="shared" si="17"/>
        <v/>
      </c>
      <c r="I532" s="260"/>
      <c r="K532" s="254"/>
      <c r="L532" s="254"/>
    </row>
    <row r="533" spans="1:12" ht="12.6" customHeight="1" x14ac:dyDescent="0.25">
      <c r="A533" s="180" t="s">
        <v>984</v>
      </c>
      <c r="B533" s="233">
        <f>'Prior Year'!AN71</f>
        <v>0</v>
      </c>
      <c r="C533" s="233">
        <f>AN71</f>
        <v>0</v>
      </c>
      <c r="D533" s="233">
        <f>'Prior Year'!AN59</f>
        <v>0</v>
      </c>
      <c r="E533" s="180">
        <f>AN59</f>
        <v>0</v>
      </c>
      <c r="F533" s="256" t="str">
        <f t="shared" si="19"/>
        <v/>
      </c>
      <c r="G533" s="256" t="str">
        <f t="shared" si="19"/>
        <v/>
      </c>
      <c r="H533" s="258" t="str">
        <f t="shared" si="17"/>
        <v/>
      </c>
      <c r="I533" s="260"/>
      <c r="K533" s="254"/>
      <c r="L533" s="254"/>
    </row>
    <row r="534" spans="1:12" ht="12.6" customHeight="1" x14ac:dyDescent="0.25">
      <c r="A534" s="180" t="s">
        <v>549</v>
      </c>
      <c r="B534" s="233">
        <f>'Prior Year'!AO71</f>
        <v>0</v>
      </c>
      <c r="C534" s="233">
        <f>AO71</f>
        <v>0</v>
      </c>
      <c r="D534" s="233">
        <f>'Prior Year'!AO59</f>
        <v>0</v>
      </c>
      <c r="E534" s="180">
        <f>AO59</f>
        <v>0</v>
      </c>
      <c r="F534" s="256" t="str">
        <f t="shared" si="19"/>
        <v/>
      </c>
      <c r="G534" s="256" t="str">
        <f t="shared" si="19"/>
        <v/>
      </c>
      <c r="H534" s="258" t="str">
        <f t="shared" si="17"/>
        <v/>
      </c>
      <c r="I534" s="260"/>
      <c r="K534" s="254"/>
      <c r="L534" s="254"/>
    </row>
    <row r="535" spans="1:12" ht="12.6" customHeight="1" x14ac:dyDescent="0.25">
      <c r="A535" s="180" t="s">
        <v>550</v>
      </c>
      <c r="B535" s="233">
        <f>'Prior Year'!AP71</f>
        <v>0</v>
      </c>
      <c r="C535" s="233">
        <f>AP71</f>
        <v>0</v>
      </c>
      <c r="D535" s="233">
        <f>'Prior Year'!AP59</f>
        <v>0</v>
      </c>
      <c r="E535" s="180">
        <f>AP59</f>
        <v>0</v>
      </c>
      <c r="F535" s="256" t="str">
        <f t="shared" si="19"/>
        <v/>
      </c>
      <c r="G535" s="256" t="str">
        <f t="shared" si="19"/>
        <v/>
      </c>
      <c r="H535" s="258" t="str">
        <f t="shared" si="17"/>
        <v/>
      </c>
      <c r="I535" s="260"/>
      <c r="K535" s="254"/>
      <c r="L535" s="254"/>
    </row>
    <row r="536" spans="1:12" ht="12.6" customHeight="1" x14ac:dyDescent="0.25">
      <c r="A536" s="180" t="s">
        <v>551</v>
      </c>
      <c r="B536" s="233">
        <f>'Prior Year'!AQ71</f>
        <v>0</v>
      </c>
      <c r="C536" s="233">
        <f>AQ71</f>
        <v>19370.080000000002</v>
      </c>
      <c r="D536" s="233">
        <f>'Prior Year'!AQ59</f>
        <v>0</v>
      </c>
      <c r="E536" s="180">
        <f>AQ59</f>
        <v>0</v>
      </c>
      <c r="F536" s="256" t="str">
        <f t="shared" si="19"/>
        <v/>
      </c>
      <c r="G536" s="256" t="str">
        <f t="shared" si="19"/>
        <v/>
      </c>
      <c r="H536" s="258" t="str">
        <f t="shared" si="17"/>
        <v/>
      </c>
      <c r="I536" s="260"/>
      <c r="K536" s="254"/>
      <c r="L536" s="254"/>
    </row>
    <row r="537" spans="1:12" ht="12.6" customHeight="1" x14ac:dyDescent="0.25">
      <c r="A537" s="180" t="s">
        <v>552</v>
      </c>
      <c r="B537" s="233">
        <f>'Prior Year'!AR71</f>
        <v>14545626.630000001</v>
      </c>
      <c r="C537" s="233">
        <f>AR71</f>
        <v>13213407.359999999</v>
      </c>
      <c r="D537" s="233">
        <f>'Prior Year'!AR59</f>
        <v>55812</v>
      </c>
      <c r="E537" s="180">
        <f>AR59</f>
        <v>55812</v>
      </c>
      <c r="F537" s="256">
        <f t="shared" si="19"/>
        <v>260.61826542678995</v>
      </c>
      <c r="G537" s="256">
        <f t="shared" si="19"/>
        <v>236.74850139754889</v>
      </c>
      <c r="H537" s="258" t="str">
        <f t="shared" si="17"/>
        <v/>
      </c>
      <c r="I537" s="260"/>
      <c r="K537" s="254"/>
      <c r="L537" s="254"/>
    </row>
    <row r="538" spans="1:12" ht="12.6" customHeight="1" x14ac:dyDescent="0.25">
      <c r="A538" s="180" t="s">
        <v>553</v>
      </c>
      <c r="B538" s="233">
        <f>'Prior Year'!AS71</f>
        <v>0</v>
      </c>
      <c r="C538" s="233">
        <f>AS71</f>
        <v>0</v>
      </c>
      <c r="D538" s="233">
        <f>'Prior Year'!AS59</f>
        <v>0</v>
      </c>
      <c r="E538" s="180">
        <f>AS59</f>
        <v>0</v>
      </c>
      <c r="F538" s="256" t="str">
        <f t="shared" si="19"/>
        <v/>
      </c>
      <c r="G538" s="256" t="str">
        <f t="shared" si="19"/>
        <v/>
      </c>
      <c r="H538" s="258" t="str">
        <f t="shared" si="17"/>
        <v/>
      </c>
      <c r="I538" s="260"/>
      <c r="K538" s="254"/>
      <c r="L538" s="254"/>
    </row>
    <row r="539" spans="1:12" ht="12.6" customHeight="1" x14ac:dyDescent="0.25">
      <c r="A539" s="180" t="s">
        <v>554</v>
      </c>
      <c r="B539" s="233">
        <f>'Prior Year'!AT71</f>
        <v>4037220</v>
      </c>
      <c r="C539" s="233">
        <f>AT71</f>
        <v>3790453.36</v>
      </c>
      <c r="D539" s="233">
        <f>'Prior Year'!AT59</f>
        <v>62</v>
      </c>
      <c r="E539" s="180">
        <f>AT59</f>
        <v>62</v>
      </c>
      <c r="F539" s="256">
        <f t="shared" si="19"/>
        <v>65116.451612903227</v>
      </c>
      <c r="G539" s="256">
        <f t="shared" si="19"/>
        <v>61136.344516129029</v>
      </c>
      <c r="H539" s="258" t="str">
        <f t="shared" si="17"/>
        <v/>
      </c>
      <c r="I539" s="260"/>
      <c r="K539" s="254"/>
      <c r="L539" s="254"/>
    </row>
    <row r="540" spans="1:12" ht="12.6" customHeight="1" x14ac:dyDescent="0.25">
      <c r="A540" s="180" t="s">
        <v>555</v>
      </c>
      <c r="B540" s="233">
        <f>'Prior Year'!AU71</f>
        <v>0</v>
      </c>
      <c r="C540" s="233">
        <f>AU71</f>
        <v>0</v>
      </c>
      <c r="D540" s="233">
        <f>'Prior Year'!AU59</f>
        <v>0</v>
      </c>
      <c r="E540" s="180">
        <f>AU59</f>
        <v>0</v>
      </c>
      <c r="F540" s="256" t="str">
        <f t="shared" si="19"/>
        <v/>
      </c>
      <c r="G540" s="256" t="str">
        <f t="shared" si="19"/>
        <v/>
      </c>
      <c r="H540" s="258" t="str">
        <f t="shared" si="17"/>
        <v/>
      </c>
      <c r="I540" s="260"/>
      <c r="K540" s="254"/>
      <c r="L540" s="254"/>
    </row>
    <row r="541" spans="1:12" ht="12.6" customHeight="1" x14ac:dyDescent="0.25">
      <c r="A541" s="180" t="s">
        <v>556</v>
      </c>
      <c r="B541" s="233">
        <f>'Prior Year'!AV71</f>
        <v>4757874.2200000007</v>
      </c>
      <c r="C541" s="233">
        <f>AV71</f>
        <v>3854565.92</v>
      </c>
      <c r="D541" s="181" t="s">
        <v>529</v>
      </c>
      <c r="E541" s="181" t="s">
        <v>529</v>
      </c>
      <c r="F541" s="256"/>
      <c r="G541" s="256"/>
      <c r="H541" s="258"/>
      <c r="I541" s="260"/>
      <c r="K541" s="254"/>
      <c r="L541" s="254"/>
    </row>
    <row r="542" spans="1:12" ht="12.6" customHeight="1" x14ac:dyDescent="0.25">
      <c r="A542" s="180" t="s">
        <v>985</v>
      </c>
      <c r="B542" s="233">
        <f>'Prior Year'!AW71</f>
        <v>92814569.969999999</v>
      </c>
      <c r="C542" s="233">
        <f>AW71</f>
        <v>64860412.960000038</v>
      </c>
      <c r="D542" s="181" t="s">
        <v>529</v>
      </c>
      <c r="E542" s="181" t="s">
        <v>529</v>
      </c>
      <c r="F542" s="256"/>
      <c r="G542" s="256"/>
      <c r="H542" s="258"/>
      <c r="I542" s="260"/>
      <c r="K542" s="254"/>
      <c r="L542" s="254"/>
    </row>
    <row r="543" spans="1:12" ht="12.6" customHeight="1" x14ac:dyDescent="0.25">
      <c r="A543" s="180" t="s">
        <v>557</v>
      </c>
      <c r="B543" s="233">
        <f>'Prior Year'!AX71</f>
        <v>1995515</v>
      </c>
      <c r="C543" s="233">
        <f>AX71</f>
        <v>3838169.9099999997</v>
      </c>
      <c r="D543" s="181" t="s">
        <v>529</v>
      </c>
      <c r="E543" s="181" t="s">
        <v>529</v>
      </c>
      <c r="F543" s="256"/>
      <c r="G543" s="256"/>
      <c r="H543" s="258"/>
      <c r="I543" s="260"/>
      <c r="K543" s="254"/>
      <c r="L543" s="254"/>
    </row>
    <row r="544" spans="1:12" ht="12.6" customHeight="1" x14ac:dyDescent="0.25">
      <c r="A544" s="180" t="s">
        <v>558</v>
      </c>
      <c r="B544" s="233">
        <f>'Prior Year'!AY71</f>
        <v>14999152</v>
      </c>
      <c r="C544" s="233">
        <f>AY71</f>
        <v>10782466.449999996</v>
      </c>
      <c r="D544" s="233">
        <f>'Prior Year'!AY59</f>
        <v>1092264</v>
      </c>
      <c r="E544" s="180">
        <f>AY59</f>
        <v>1092264</v>
      </c>
      <c r="F544" s="256">
        <f t="shared" ref="F544:G550" si="20">IF(B544=0,"",IF(D544=0,"",B544/D544))</f>
        <v>13.732167314861609</v>
      </c>
      <c r="G544" s="256">
        <f t="shared" si="20"/>
        <v>9.8716669687914234</v>
      </c>
      <c r="H544" s="258">
        <f>IF(B544=0,"",IF(C544=0,"",IF(D544=0,"",IF(E544=0,"",IF(G544/F544-1&lt;-0.25,G544/F544-1,IF(G544/F544-1&gt;0.25,G544/F544-1,""))))))</f>
        <v>-0.28112826311780859</v>
      </c>
      <c r="I544" s="260"/>
      <c r="K544" s="254"/>
      <c r="L544" s="254"/>
    </row>
    <row r="545" spans="1:13" ht="12.6" customHeight="1" x14ac:dyDescent="0.25">
      <c r="A545" s="180" t="s">
        <v>559</v>
      </c>
      <c r="B545" s="233">
        <f>'Prior Year'!AZ71</f>
        <v>557815.19999999995</v>
      </c>
      <c r="C545" s="233">
        <f>AZ71</f>
        <v>47271.510000000038</v>
      </c>
      <c r="D545" s="233">
        <f>'Prior Year'!AZ59</f>
        <v>1092264</v>
      </c>
      <c r="E545" s="180">
        <f>AZ59</f>
        <v>1092264</v>
      </c>
      <c r="F545" s="256">
        <f t="shared" si="20"/>
        <v>0.51069631517655067</v>
      </c>
      <c r="G545" s="256">
        <f t="shared" si="20"/>
        <v>4.3278465645668118E-2</v>
      </c>
      <c r="H545" s="258">
        <f>IF(B545=0,"",IF(C545=0,"",IF(D545=0,"",IF(E545=0,"",IF(G545/F545-1&lt;-0.25,G545/F545-1,IF(G545/F545-1&gt;0.25,G545/F545-1,""))))))</f>
        <v>-0.91525596649212848</v>
      </c>
      <c r="I545" s="260"/>
      <c r="K545" s="254"/>
      <c r="L545" s="254"/>
    </row>
    <row r="546" spans="1:13" ht="12.6" customHeight="1" x14ac:dyDescent="0.25">
      <c r="A546" s="180" t="s">
        <v>560</v>
      </c>
      <c r="B546" s="233">
        <f>'Prior Year'!BA71</f>
        <v>3521252</v>
      </c>
      <c r="C546" s="233">
        <f>BA71</f>
        <v>3309863.99</v>
      </c>
      <c r="D546" s="233">
        <f>'Prior Year'!BA59</f>
        <v>0</v>
      </c>
      <c r="E546" s="180">
        <f>BA59</f>
        <v>0</v>
      </c>
      <c r="F546" s="256" t="str">
        <f t="shared" si="20"/>
        <v/>
      </c>
      <c r="G546" s="256" t="str">
        <f t="shared" si="20"/>
        <v/>
      </c>
      <c r="H546" s="258" t="str">
        <f>IF(B546=0,"",IF(C546=0,"",IF(D546=0,"",IF(E546=0,"",IF(G546/F546-1&lt;-0.25,G546/F546-1,IF(G546/F546-1&gt;0.25,G546/F546-1,""))))))</f>
        <v/>
      </c>
      <c r="I546" s="260"/>
      <c r="K546" s="254"/>
      <c r="L546" s="254"/>
    </row>
    <row r="547" spans="1:13" ht="12.6" customHeight="1" x14ac:dyDescent="0.25">
      <c r="A547" s="180" t="s">
        <v>561</v>
      </c>
      <c r="B547" s="233">
        <f>'Prior Year'!BB71</f>
        <v>16646579.43</v>
      </c>
      <c r="C547" s="233">
        <f>BB71</f>
        <v>13691571.279999997</v>
      </c>
      <c r="D547" s="181" t="s">
        <v>529</v>
      </c>
      <c r="E547" s="181" t="s">
        <v>529</v>
      </c>
      <c r="F547" s="256"/>
      <c r="G547" s="256"/>
      <c r="H547" s="258"/>
      <c r="I547" s="260"/>
      <c r="K547" s="254"/>
      <c r="L547" s="254"/>
    </row>
    <row r="548" spans="1:13" ht="12.6" customHeight="1" x14ac:dyDescent="0.25">
      <c r="A548" s="180" t="s">
        <v>562</v>
      </c>
      <c r="B548" s="233">
        <f>'Prior Year'!BC71</f>
        <v>285377</v>
      </c>
      <c r="C548" s="233">
        <f>BC71</f>
        <v>280047.98</v>
      </c>
      <c r="D548" s="181" t="s">
        <v>529</v>
      </c>
      <c r="E548" s="181" t="s">
        <v>529</v>
      </c>
      <c r="F548" s="256"/>
      <c r="G548" s="256"/>
      <c r="H548" s="258"/>
      <c r="I548" s="260"/>
      <c r="K548" s="254"/>
      <c r="L548" s="254"/>
    </row>
    <row r="549" spans="1:13" ht="12.6" customHeight="1" x14ac:dyDescent="0.25">
      <c r="A549" s="180" t="s">
        <v>563</v>
      </c>
      <c r="B549" s="233">
        <f>'Prior Year'!BD71</f>
        <v>3330868.93</v>
      </c>
      <c r="C549" s="233">
        <f>BD71</f>
        <v>2831195.8100000005</v>
      </c>
      <c r="D549" s="181" t="s">
        <v>529</v>
      </c>
      <c r="E549" s="181" t="s">
        <v>529</v>
      </c>
      <c r="F549" s="256"/>
      <c r="G549" s="256"/>
      <c r="H549" s="258"/>
      <c r="I549" s="260"/>
      <c r="K549" s="254"/>
      <c r="L549" s="254"/>
    </row>
    <row r="550" spans="1:13" ht="12.6" customHeight="1" x14ac:dyDescent="0.25">
      <c r="A550" s="180" t="s">
        <v>564</v>
      </c>
      <c r="B550" s="233">
        <f>'Prior Year'!BE71</f>
        <v>45137202.539999999</v>
      </c>
      <c r="C550" s="233">
        <f>BE71</f>
        <v>33735247.149999999</v>
      </c>
      <c r="D550" s="233">
        <f>'Prior Year'!BE59</f>
        <v>1387128</v>
      </c>
      <c r="E550" s="180">
        <f>BE59</f>
        <v>1380937.6146800872</v>
      </c>
      <c r="F550" s="256">
        <f t="shared" si="20"/>
        <v>32.540041394882088</v>
      </c>
      <c r="G550" s="256">
        <f t="shared" si="20"/>
        <v>24.42923329148017</v>
      </c>
      <c r="H550" s="258" t="str">
        <f>IF(B550=0,"",IF(C550=0,"",IF(D550=0,"",IF(E550=0,"",IF(G550/F550-1&lt;-0.25,G550/F550-1,IF(G550/F550-1&gt;0.25,G550/F550-1,""))))))</f>
        <v/>
      </c>
      <c r="I550" s="260"/>
      <c r="K550" s="254"/>
      <c r="L550" s="254"/>
    </row>
    <row r="551" spans="1:13" ht="12.6" customHeight="1" x14ac:dyDescent="0.25">
      <c r="A551" s="180" t="s">
        <v>565</v>
      </c>
      <c r="B551" s="233">
        <f>'Prior Year'!BF71</f>
        <v>11633646.27</v>
      </c>
      <c r="C551" s="233">
        <f>BF71</f>
        <v>10334438.9</v>
      </c>
      <c r="D551" s="181" t="s">
        <v>529</v>
      </c>
      <c r="E551" s="181" t="s">
        <v>529</v>
      </c>
      <c r="F551" s="256"/>
      <c r="G551" s="256"/>
      <c r="H551" s="258"/>
      <c r="I551" s="260"/>
      <c r="J551" s="199"/>
      <c r="M551" s="258"/>
    </row>
    <row r="552" spans="1:13" ht="12.6" customHeight="1" x14ac:dyDescent="0.25">
      <c r="A552" s="180" t="s">
        <v>566</v>
      </c>
      <c r="B552" s="233">
        <f>'Prior Year'!BG71</f>
        <v>4712246.33</v>
      </c>
      <c r="C552" s="233">
        <f>BG71</f>
        <v>3740265.2300000004</v>
      </c>
      <c r="D552" s="181" t="s">
        <v>529</v>
      </c>
      <c r="E552" s="181" t="s">
        <v>529</v>
      </c>
      <c r="F552" s="256"/>
      <c r="G552" s="256"/>
      <c r="H552" s="258"/>
      <c r="J552" s="199"/>
      <c r="M552" s="258"/>
    </row>
    <row r="553" spans="1:13" ht="12.6" customHeight="1" x14ac:dyDescent="0.25">
      <c r="A553" s="180" t="s">
        <v>567</v>
      </c>
      <c r="B553" s="233">
        <f>'Prior Year'!BH71</f>
        <v>84753659.980000004</v>
      </c>
      <c r="C553" s="233">
        <f>BH71</f>
        <v>70934961.589999989</v>
      </c>
      <c r="D553" s="181" t="s">
        <v>529</v>
      </c>
      <c r="E553" s="181" t="s">
        <v>529</v>
      </c>
      <c r="F553" s="256"/>
      <c r="G553" s="256"/>
      <c r="H553" s="258"/>
      <c r="J553" s="199"/>
      <c r="M553" s="258"/>
    </row>
    <row r="554" spans="1:13" ht="12.6" customHeight="1" x14ac:dyDescent="0.25">
      <c r="A554" s="180" t="s">
        <v>568</v>
      </c>
      <c r="B554" s="233">
        <f>'Prior Year'!BI71</f>
        <v>7086926.5299999993</v>
      </c>
      <c r="C554" s="233">
        <f>BI71</f>
        <v>7385604.410000002</v>
      </c>
      <c r="D554" s="181" t="s">
        <v>529</v>
      </c>
      <c r="E554" s="181" t="s">
        <v>529</v>
      </c>
      <c r="F554" s="256"/>
      <c r="G554" s="256"/>
      <c r="H554" s="258"/>
      <c r="J554" s="199"/>
      <c r="M554" s="258"/>
    </row>
    <row r="555" spans="1:13" ht="12.6" customHeight="1" x14ac:dyDescent="0.25">
      <c r="A555" s="180" t="s">
        <v>569</v>
      </c>
      <c r="B555" s="233">
        <f>'Prior Year'!BJ71</f>
        <v>12784579.699999999</v>
      </c>
      <c r="C555" s="233">
        <f>BJ71</f>
        <v>10500698.869999999</v>
      </c>
      <c r="D555" s="181" t="s">
        <v>529</v>
      </c>
      <c r="E555" s="181" t="s">
        <v>529</v>
      </c>
      <c r="F555" s="256"/>
      <c r="G555" s="256"/>
      <c r="H555" s="258"/>
      <c r="J555" s="199"/>
      <c r="M555" s="258"/>
    </row>
    <row r="556" spans="1:13" ht="12.6" customHeight="1" x14ac:dyDescent="0.25">
      <c r="A556" s="180" t="s">
        <v>570</v>
      </c>
      <c r="B556" s="233">
        <f>'Prior Year'!BK71</f>
        <v>11786428.050000001</v>
      </c>
      <c r="C556" s="233">
        <f>BK71</f>
        <v>9642906.2799999993</v>
      </c>
      <c r="D556" s="181" t="s">
        <v>529</v>
      </c>
      <c r="E556" s="181" t="s">
        <v>529</v>
      </c>
      <c r="F556" s="256"/>
      <c r="G556" s="256"/>
      <c r="H556" s="258"/>
      <c r="J556" s="199"/>
      <c r="M556" s="258"/>
    </row>
    <row r="557" spans="1:13" ht="12.6" customHeight="1" x14ac:dyDescent="0.25">
      <c r="A557" s="180" t="s">
        <v>571</v>
      </c>
      <c r="B557" s="233">
        <f>'Prior Year'!BL71</f>
        <v>7167072.8599999994</v>
      </c>
      <c r="C557" s="233">
        <f>BL71</f>
        <v>5832476.0900000008</v>
      </c>
      <c r="D557" s="181" t="s">
        <v>529</v>
      </c>
      <c r="E557" s="181" t="s">
        <v>529</v>
      </c>
      <c r="F557" s="256"/>
      <c r="G557" s="256"/>
      <c r="H557" s="258"/>
      <c r="J557" s="199"/>
      <c r="M557" s="258"/>
    </row>
    <row r="558" spans="1:13" ht="12.6" customHeight="1" x14ac:dyDescent="0.25">
      <c r="A558" s="180" t="s">
        <v>572</v>
      </c>
      <c r="B558" s="233">
        <f>'Prior Year'!BM71</f>
        <v>0</v>
      </c>
      <c r="C558" s="233">
        <f>BM71</f>
        <v>0</v>
      </c>
      <c r="D558" s="181" t="s">
        <v>529</v>
      </c>
      <c r="E558" s="181" t="s">
        <v>529</v>
      </c>
      <c r="F558" s="256"/>
      <c r="G558" s="256"/>
      <c r="H558" s="258"/>
      <c r="J558" s="199"/>
      <c r="M558" s="258"/>
    </row>
    <row r="559" spans="1:13" ht="12.6" customHeight="1" x14ac:dyDescent="0.25">
      <c r="A559" s="180" t="s">
        <v>573</v>
      </c>
      <c r="B559" s="233">
        <f>'Prior Year'!BN71</f>
        <v>29673474.149999999</v>
      </c>
      <c r="C559" s="233">
        <f>BN71</f>
        <v>26022049.050000004</v>
      </c>
      <c r="D559" s="181" t="s">
        <v>529</v>
      </c>
      <c r="E559" s="181" t="s">
        <v>529</v>
      </c>
      <c r="F559" s="256"/>
      <c r="G559" s="256"/>
      <c r="H559" s="258"/>
      <c r="J559" s="199"/>
      <c r="M559" s="258"/>
    </row>
    <row r="560" spans="1:13" ht="12.6" customHeight="1" x14ac:dyDescent="0.25">
      <c r="A560" s="180" t="s">
        <v>574</v>
      </c>
      <c r="B560" s="233">
        <f>'Prior Year'!BO71</f>
        <v>2178015.2199999997</v>
      </c>
      <c r="C560" s="233">
        <f>BO71</f>
        <v>2059599.1899999997</v>
      </c>
      <c r="D560" s="181" t="s">
        <v>529</v>
      </c>
      <c r="E560" s="181" t="s">
        <v>529</v>
      </c>
      <c r="F560" s="256"/>
      <c r="G560" s="256"/>
      <c r="H560" s="258"/>
      <c r="J560" s="199"/>
      <c r="M560" s="258"/>
    </row>
    <row r="561" spans="1:13" ht="12.6" customHeight="1" x14ac:dyDescent="0.25">
      <c r="A561" s="180" t="s">
        <v>575</v>
      </c>
      <c r="B561" s="233">
        <f>'Prior Year'!BP71</f>
        <v>10847611</v>
      </c>
      <c r="C561" s="233">
        <f>BP71</f>
        <v>7052418.25</v>
      </c>
      <c r="D561" s="181" t="s">
        <v>529</v>
      </c>
      <c r="E561" s="181" t="s">
        <v>529</v>
      </c>
      <c r="F561" s="256"/>
      <c r="G561" s="256"/>
      <c r="H561" s="258"/>
      <c r="J561" s="199"/>
      <c r="M561" s="258"/>
    </row>
    <row r="562" spans="1:13" ht="12.6" customHeight="1" x14ac:dyDescent="0.25">
      <c r="A562" s="180" t="s">
        <v>576</v>
      </c>
      <c r="B562" s="233">
        <f>'Prior Year'!BQ71</f>
        <v>7074078</v>
      </c>
      <c r="C562" s="233">
        <f>BQ71</f>
        <v>6684713.9099999992</v>
      </c>
      <c r="D562" s="181" t="s">
        <v>529</v>
      </c>
      <c r="E562" s="181" t="s">
        <v>529</v>
      </c>
      <c r="F562" s="256"/>
      <c r="G562" s="256"/>
      <c r="H562" s="258"/>
      <c r="J562" s="199"/>
      <c r="M562" s="258"/>
    </row>
    <row r="563" spans="1:13" ht="12.6" customHeight="1" x14ac:dyDescent="0.25">
      <c r="A563" s="180" t="s">
        <v>577</v>
      </c>
      <c r="B563" s="233">
        <f>'Prior Year'!BR71</f>
        <v>12647345.310000001</v>
      </c>
      <c r="C563" s="233">
        <f>BR71</f>
        <v>12694665.909999998</v>
      </c>
      <c r="D563" s="181" t="s">
        <v>529</v>
      </c>
      <c r="E563" s="181" t="s">
        <v>529</v>
      </c>
      <c r="F563" s="256"/>
      <c r="G563" s="256"/>
      <c r="H563" s="258"/>
      <c r="J563" s="199"/>
      <c r="M563" s="258"/>
    </row>
    <row r="564" spans="1:13" ht="12.6" customHeight="1" x14ac:dyDescent="0.25">
      <c r="A564" s="180" t="s">
        <v>986</v>
      </c>
      <c r="B564" s="233">
        <f>'Prior Year'!BS71</f>
        <v>633906.83000000007</v>
      </c>
      <c r="C564" s="233">
        <f>BS71</f>
        <v>403510.33</v>
      </c>
      <c r="D564" s="181" t="s">
        <v>529</v>
      </c>
      <c r="E564" s="181" t="s">
        <v>529</v>
      </c>
      <c r="F564" s="256"/>
      <c r="G564" s="256"/>
      <c r="H564" s="258"/>
      <c r="J564" s="199"/>
      <c r="M564" s="258"/>
    </row>
    <row r="565" spans="1:13" ht="12.6" customHeight="1" x14ac:dyDescent="0.25">
      <c r="A565" s="180" t="s">
        <v>578</v>
      </c>
      <c r="B565" s="233">
        <f>'Prior Year'!BT71</f>
        <v>941351</v>
      </c>
      <c r="C565" s="233">
        <f>BT71</f>
        <v>726702.09000000008</v>
      </c>
      <c r="D565" s="181" t="s">
        <v>529</v>
      </c>
      <c r="E565" s="181" t="s">
        <v>529</v>
      </c>
      <c r="F565" s="256"/>
      <c r="G565" s="256"/>
      <c r="H565" s="258"/>
      <c r="J565" s="199"/>
      <c r="M565" s="258"/>
    </row>
    <row r="566" spans="1:13" ht="12.6" customHeight="1" x14ac:dyDescent="0.25">
      <c r="A566" s="180" t="s">
        <v>579</v>
      </c>
      <c r="B566" s="233">
        <f>'Prior Year'!BU71</f>
        <v>1416188</v>
      </c>
      <c r="C566" s="233">
        <f>BU71</f>
        <v>1135392.01</v>
      </c>
      <c r="D566" s="181" t="s">
        <v>529</v>
      </c>
      <c r="E566" s="181" t="s">
        <v>529</v>
      </c>
      <c r="F566" s="256"/>
      <c r="G566" s="256"/>
      <c r="H566" s="258"/>
      <c r="J566" s="199"/>
      <c r="M566" s="258"/>
    </row>
    <row r="567" spans="1:13" ht="12.6" customHeight="1" x14ac:dyDescent="0.25">
      <c r="A567" s="180" t="s">
        <v>580</v>
      </c>
      <c r="B567" s="233">
        <f>'Prior Year'!BV71</f>
        <v>7071473.7299999995</v>
      </c>
      <c r="C567" s="233">
        <f>BV71</f>
        <v>4841064.51</v>
      </c>
      <c r="D567" s="181" t="s">
        <v>529</v>
      </c>
      <c r="E567" s="181" t="s">
        <v>529</v>
      </c>
      <c r="F567" s="256"/>
      <c r="G567" s="256"/>
      <c r="H567" s="258"/>
      <c r="J567" s="199"/>
      <c r="M567" s="258"/>
    </row>
    <row r="568" spans="1:13" ht="12.6" customHeight="1" x14ac:dyDescent="0.25">
      <c r="A568" s="180" t="s">
        <v>581</v>
      </c>
      <c r="B568" s="233">
        <f>'Prior Year'!BW71</f>
        <v>32488690.890000001</v>
      </c>
      <c r="C568" s="233">
        <f>BW71</f>
        <v>32362121.149999999</v>
      </c>
      <c r="D568" s="181" t="s">
        <v>529</v>
      </c>
      <c r="E568" s="181" t="s">
        <v>529</v>
      </c>
      <c r="F568" s="256"/>
      <c r="G568" s="256"/>
      <c r="H568" s="258"/>
      <c r="J568" s="199"/>
      <c r="M568" s="258"/>
    </row>
    <row r="569" spans="1:13" ht="12.6" customHeight="1" x14ac:dyDescent="0.25">
      <c r="A569" s="180" t="s">
        <v>582</v>
      </c>
      <c r="B569" s="233">
        <f>'Prior Year'!BX71</f>
        <v>14789712.49</v>
      </c>
      <c r="C569" s="233">
        <f>BX71</f>
        <v>13953497.299999997</v>
      </c>
      <c r="D569" s="181" t="s">
        <v>529</v>
      </c>
      <c r="E569" s="181" t="s">
        <v>529</v>
      </c>
      <c r="F569" s="256"/>
      <c r="G569" s="256"/>
      <c r="H569" s="258"/>
      <c r="J569" s="199"/>
      <c r="M569" s="258"/>
    </row>
    <row r="570" spans="1:13" ht="12.6" customHeight="1" x14ac:dyDescent="0.25">
      <c r="A570" s="180" t="s">
        <v>583</v>
      </c>
      <c r="B570" s="233">
        <f>'Prior Year'!BY71</f>
        <v>8014840.7999999998</v>
      </c>
      <c r="C570" s="233">
        <f>BY71</f>
        <v>6856620.3399999999</v>
      </c>
      <c r="D570" s="181" t="s">
        <v>529</v>
      </c>
      <c r="E570" s="181" t="s">
        <v>529</v>
      </c>
      <c r="F570" s="256"/>
      <c r="G570" s="256"/>
      <c r="H570" s="258"/>
      <c r="J570" s="199"/>
      <c r="M570" s="258"/>
    </row>
    <row r="571" spans="1:13" ht="12.6" customHeight="1" x14ac:dyDescent="0.25">
      <c r="A571" s="180" t="s">
        <v>584</v>
      </c>
      <c r="B571" s="233">
        <f>'Prior Year'!BZ71</f>
        <v>7313644</v>
      </c>
      <c r="C571" s="233">
        <f>BZ71</f>
        <v>6092509.0199999996</v>
      </c>
      <c r="D571" s="181" t="s">
        <v>529</v>
      </c>
      <c r="E571" s="181" t="s">
        <v>529</v>
      </c>
      <c r="F571" s="256"/>
      <c r="G571" s="256"/>
      <c r="H571" s="258"/>
      <c r="J571" s="199"/>
      <c r="M571" s="258"/>
    </row>
    <row r="572" spans="1:13" ht="12.6" customHeight="1" x14ac:dyDescent="0.25">
      <c r="A572" s="180" t="s">
        <v>585</v>
      </c>
      <c r="B572" s="233">
        <f>'Prior Year'!CA71</f>
        <v>0</v>
      </c>
      <c r="C572" s="233">
        <f>CA71</f>
        <v>0</v>
      </c>
      <c r="D572" s="181" t="s">
        <v>529</v>
      </c>
      <c r="E572" s="181" t="s">
        <v>529</v>
      </c>
      <c r="F572" s="256"/>
      <c r="G572" s="256"/>
      <c r="H572" s="258"/>
      <c r="J572" s="199"/>
      <c r="M572" s="258"/>
    </row>
    <row r="573" spans="1:13" ht="12.6" customHeight="1" x14ac:dyDescent="0.25">
      <c r="A573" s="180" t="s">
        <v>586</v>
      </c>
      <c r="B573" s="233">
        <f>'Prior Year'!CB71</f>
        <v>0</v>
      </c>
      <c r="C573" s="233">
        <f>CB71</f>
        <v>0</v>
      </c>
      <c r="D573" s="181" t="s">
        <v>529</v>
      </c>
      <c r="E573" s="181" t="s">
        <v>529</v>
      </c>
      <c r="F573" s="256"/>
      <c r="G573" s="256"/>
      <c r="H573" s="258"/>
      <c r="J573" s="199"/>
      <c r="M573" s="258"/>
    </row>
    <row r="574" spans="1:13" ht="12.6" customHeight="1" x14ac:dyDescent="0.25">
      <c r="A574" s="180" t="s">
        <v>587</v>
      </c>
      <c r="B574" s="233">
        <f>'Prior Year'!CC71</f>
        <v>21064484.50999999</v>
      </c>
      <c r="C574" s="233">
        <f>CC71</f>
        <v>47362463.57</v>
      </c>
      <c r="D574" s="181" t="s">
        <v>529</v>
      </c>
      <c r="E574" s="181" t="s">
        <v>529</v>
      </c>
      <c r="F574" s="256"/>
      <c r="G574" s="256"/>
      <c r="H574" s="258"/>
      <c r="J574" s="199"/>
      <c r="M574" s="258"/>
    </row>
    <row r="575" spans="1:13" ht="12.6" customHeight="1" x14ac:dyDescent="0.25">
      <c r="A575" s="180" t="s">
        <v>588</v>
      </c>
      <c r="B575" s="233">
        <f>'Prior Year'!CD71</f>
        <v>56889772</v>
      </c>
      <c r="C575" s="233">
        <f>CD71</f>
        <v>61949004</v>
      </c>
      <c r="D575" s="181" t="s">
        <v>529</v>
      </c>
      <c r="E575" s="181" t="s">
        <v>529</v>
      </c>
      <c r="F575" s="256"/>
      <c r="G575" s="256"/>
      <c r="H575" s="258"/>
    </row>
    <row r="576" spans="1:13" ht="12.6" customHeight="1" x14ac:dyDescent="0.25">
      <c r="M576" s="258"/>
    </row>
    <row r="577" spans="13:13" ht="12.6" customHeight="1" x14ac:dyDescent="0.25">
      <c r="M577" s="258"/>
    </row>
    <row r="578" spans="13:13" ht="12.6" customHeight="1" x14ac:dyDescent="0.25">
      <c r="M578" s="258"/>
    </row>
    <row r="612" spans="1:14" ht="12.6" customHeight="1" x14ac:dyDescent="0.25">
      <c r="A612" s="196"/>
      <c r="C612" s="181" t="s">
        <v>589</v>
      </c>
      <c r="D612" s="180">
        <f>CE76-(BE76+CD76)</f>
        <v>1229337.1276800872</v>
      </c>
      <c r="E612" s="180">
        <f>SUM(C624:D647)+SUM(C668:D713)</f>
        <v>921902017.17392969</v>
      </c>
      <c r="F612" s="180">
        <f>CE64-(AX64+BD64+BE64+BG64+BJ64+BN64+BP64+BQ64+CB64+CC64+CD64)</f>
        <v>184238665.46000004</v>
      </c>
      <c r="G612" s="180">
        <f>CE77-(AX77+AY77+BD77+BE77+BG77+BJ77+BN77+BP77+BQ77+CB77+CC77+CD77)</f>
        <v>1092264</v>
      </c>
      <c r="H612" s="197">
        <f>CE60-(AX60+AY60+AZ60+BD60+BE60+BG60+BJ60+BN60+BO60+BP60+BQ60+BR60+CB60+CC60+CD60)</f>
        <v>5972.2527301562041</v>
      </c>
      <c r="I612" s="180">
        <f>CE78-(AX78+AY78+AZ78+BD78+BE78+BF78+BG78+BJ78+BN78+BO78+BP78+BQ78+BR78+CB78+CC78+CD78)</f>
        <v>207564</v>
      </c>
      <c r="J612" s="180">
        <f>CE79-(AX79+AY79+AZ79+BA79+BD79+BE79+BF79+BG79+BJ79+BN79+BO79+BP79+BQ79+BR79+CB79+CC79+CD79)</f>
        <v>3562788</v>
      </c>
      <c r="K612" s="180">
        <f>CE75-(AW75+AX75+AY75+AZ75+BA75+BB75+BC75+BD75+BE75+BF75+BG75+BH75+BI75+BJ75+BK75+BL75+BM75+BN75+BO75+BP75+BQ75+BR75+BS75+BT75+BU75+BV75+BW75+BX75+CB75+CC75+CD75)</f>
        <v>2763539908.0699997</v>
      </c>
      <c r="L612" s="197">
        <f>CE80-(AW80+AX80+AY80+AZ80+BA80+BB80+BC80+BD80+BE80+BF80+BG80+BH80+BI80+BJ80+BK80+BL80+BM80+BN80+BO80+BP80+BQ80+BR80+BS80+BT80+BU80+BV80+BW80+BX80+BY80+BZ80+CA80+CB80+CC80+CD80)</f>
        <v>1427.4433592791634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33735247.149999999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4">
        <f>CD69-CD70</f>
        <v>61949004</v>
      </c>
      <c r="D615" s="259">
        <f>SUM(C614:C615)</f>
        <v>95684251.150000006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3838169.9099999997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10500698.869999999</v>
      </c>
      <c r="D617" s="180">
        <f>(D615/D612)*BJ76</f>
        <v>17227.782088960375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3740265.2300000004</v>
      </c>
      <c r="D618" s="180">
        <f>(D615/D612)*BG76</f>
        <v>106578.12421800598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26022049.050000004</v>
      </c>
      <c r="D619" s="180">
        <f>(D615/D612)*BN76</f>
        <v>4276953.7391356435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47362463.57</v>
      </c>
      <c r="D620" s="180">
        <f>(D615/D612)*CC76</f>
        <v>2357243.0050286003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7052418.25</v>
      </c>
      <c r="D621" s="180">
        <f>(D615/D612)*BP76</f>
        <v>621749.83054996305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6684713.9099999992</v>
      </c>
      <c r="D623" s="180">
        <f>(D615/D612)*BQ76</f>
        <v>266766.76504952117</v>
      </c>
      <c r="E623" s="180">
        <f>SUM(C616:D623)</f>
        <v>112847298.0360707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2831195.8100000005</v>
      </c>
      <c r="D624" s="180">
        <f>(D615/D612)*BD76</f>
        <v>469762.87179056375</v>
      </c>
      <c r="E624" s="180">
        <f>(E623/E612)*SUM(C624:D624)</f>
        <v>404060.58477958268</v>
      </c>
      <c r="F624" s="180">
        <f>SUM(C624:E624)</f>
        <v>3705019.2665701471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10782466.449999996</v>
      </c>
      <c r="D625" s="180">
        <f>(D615/D612)*AY76</f>
        <v>2710881.0986554665</v>
      </c>
      <c r="E625" s="180">
        <f>(E623/E612)*SUM(C625:D625)</f>
        <v>1651680.7469357459</v>
      </c>
      <c r="F625" s="180">
        <f>(F624/F612)*AY64</f>
        <v>73922.271650984927</v>
      </c>
      <c r="G625" s="180">
        <f>SUM(C625:F625)</f>
        <v>15218950.567242192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12694665.909999998</v>
      </c>
      <c r="D626" s="180">
        <f>(D615/D612)*BR76</f>
        <v>1012550.555586403</v>
      </c>
      <c r="E626" s="180">
        <f>(E623/E612)*SUM(C626:D626)</f>
        <v>1677859.8082242126</v>
      </c>
      <c r="F626" s="180">
        <f>(F624/F612)*BR64</f>
        <v>4185.2646426197389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2059599.1899999997</v>
      </c>
      <c r="D627" s="180">
        <f>(D615/D612)*BO76</f>
        <v>0</v>
      </c>
      <c r="E627" s="180">
        <f>(E623/E612)*SUM(C627:D627)</f>
        <v>252109.44254277565</v>
      </c>
      <c r="F627" s="180">
        <f>(F624/F612)*BO64</f>
        <v>14482.954433811849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47271.510000000038</v>
      </c>
      <c r="D628" s="180">
        <f>(D615/D612)*AZ76</f>
        <v>620648.47916043212</v>
      </c>
      <c r="E628" s="180">
        <f>(E623/E612)*SUM(C628:D628)</f>
        <v>81758.109513731804</v>
      </c>
      <c r="F628" s="180">
        <f>(F624/F612)*AZ64</f>
        <v>1753.2171984016277</v>
      </c>
      <c r="G628" s="180">
        <f>(G625/G612)*AZ77</f>
        <v>15218950.567242192</v>
      </c>
      <c r="H628" s="180">
        <f>SUM(C626:G628)</f>
        <v>33685835.008544587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10334438.9</v>
      </c>
      <c r="D629" s="180">
        <f>(D615/D612)*BF76</f>
        <v>495688.29433002096</v>
      </c>
      <c r="E629" s="180">
        <f>(E623/E612)*SUM(C629:D629)</f>
        <v>1325683.8237685931</v>
      </c>
      <c r="F629" s="180">
        <f>(F624/F612)*BF64</f>
        <v>21340.313248190894</v>
      </c>
      <c r="G629" s="180">
        <f>(G625/G612)*BF77</f>
        <v>0</v>
      </c>
      <c r="H629" s="180">
        <f>(H628/H612)*BF60</f>
        <v>878635.34995241649</v>
      </c>
      <c r="I629" s="180">
        <f>SUM(C629:H629)</f>
        <v>13055786.681299223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3309863.99</v>
      </c>
      <c r="D630" s="180">
        <f>(D615/D612)*BA76</f>
        <v>0</v>
      </c>
      <c r="E630" s="180">
        <f>(E623/E612)*SUM(C630:D630)</f>
        <v>405150.65720690408</v>
      </c>
      <c r="F630" s="180">
        <f>(F624/F612)*BA64</f>
        <v>1592.9063851727924</v>
      </c>
      <c r="G630" s="180">
        <f>(G625/G612)*BA77</f>
        <v>0</v>
      </c>
      <c r="H630" s="180">
        <f>(H628/H612)*BA60</f>
        <v>17830.857348034438</v>
      </c>
      <c r="I630" s="180">
        <f>(I629/I612)*BA78</f>
        <v>0</v>
      </c>
      <c r="J630" s="180">
        <f>SUM(C630:I630)</f>
        <v>3734438.4109401116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64860412.960000038</v>
      </c>
      <c r="D631" s="180">
        <f>(D615/D612)*AW76</f>
        <v>430389.4428638001</v>
      </c>
      <c r="E631" s="180">
        <f>(E623/E612)*SUM(C631:D631)</f>
        <v>7992053.9281997485</v>
      </c>
      <c r="F631" s="180">
        <f>(F624/F612)*AW64</f>
        <v>409344.05810193764</v>
      </c>
      <c r="G631" s="180">
        <f>(G625/G612)*AW77</f>
        <v>0</v>
      </c>
      <c r="H631" s="180">
        <f>(H628/H612)*AW60</f>
        <v>5898601.5314191356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13691571.279999997</v>
      </c>
      <c r="D632" s="180">
        <f>(D615/D612)*BB76</f>
        <v>1026011.6380891469</v>
      </c>
      <c r="E632" s="180">
        <f>(E623/E612)*SUM(C632:D632)</f>
        <v>1801535.7760247185</v>
      </c>
      <c r="F632" s="180">
        <f>(F624/F612)*BB64</f>
        <v>4826.1006702658287</v>
      </c>
      <c r="G632" s="180">
        <f>(G625/G612)*BB77</f>
        <v>0</v>
      </c>
      <c r="H632" s="180">
        <f>(H628/H612)*BB60</f>
        <v>682007.19830201461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280047.98</v>
      </c>
      <c r="D633" s="180">
        <f>(D615/D612)*BC76</f>
        <v>0</v>
      </c>
      <c r="E633" s="180">
        <f>(E623/E612)*SUM(C633:D633)</f>
        <v>34279.844576473341</v>
      </c>
      <c r="F633" s="180">
        <f>(F624/F612)*BC64</f>
        <v>0</v>
      </c>
      <c r="G633" s="180">
        <f>(G625/G612)*BC77</f>
        <v>0</v>
      </c>
      <c r="H633" s="180">
        <f>(H628/H612)*BC60</f>
        <v>36789.455542114847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7385604.410000002</v>
      </c>
      <c r="D634" s="180">
        <f>(D615/D612)*BI76</f>
        <v>90071.085158519592</v>
      </c>
      <c r="E634" s="180">
        <f>(E623/E612)*SUM(C634:D634)</f>
        <v>915075.31701597886</v>
      </c>
      <c r="F634" s="180">
        <f>(F624/F612)*BI64</f>
        <v>1018.7585731134274</v>
      </c>
      <c r="G634" s="180">
        <f>(G625/G612)*BI77</f>
        <v>0</v>
      </c>
      <c r="H634" s="180">
        <f>(H628/H612)*BI60</f>
        <v>254892.15886504736</v>
      </c>
      <c r="I634" s="180">
        <f>(I629/I612)*BI78</f>
        <v>0</v>
      </c>
      <c r="J634" s="180">
        <f>(J630/J612)*BI79</f>
        <v>8820.423563810431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9642906.2799999993</v>
      </c>
      <c r="D635" s="180">
        <f>(D615/D612)*BK76</f>
        <v>29945.082692173695</v>
      </c>
      <c r="E635" s="180">
        <f>(E623/E612)*SUM(C635:D635)</f>
        <v>1184025.1135695251</v>
      </c>
      <c r="F635" s="180">
        <f>(F624/F612)*BK64</f>
        <v>4648.2954594700523</v>
      </c>
      <c r="G635" s="180">
        <f>(G625/G612)*BK77</f>
        <v>0</v>
      </c>
      <c r="H635" s="180">
        <f>(H628/H612)*BK60</f>
        <v>1081394.2867821418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70934961.589999989</v>
      </c>
      <c r="D636" s="180">
        <f>(D615/D612)*BH76</f>
        <v>3832291.8719398086</v>
      </c>
      <c r="E636" s="180">
        <f>(E623/E612)*SUM(C636:D636)</f>
        <v>9152038.2617474496</v>
      </c>
      <c r="F636" s="180">
        <f>(F624/F612)*BH64</f>
        <v>23030.283837552928</v>
      </c>
      <c r="G636" s="180">
        <f>(G625/G612)*BH77</f>
        <v>0</v>
      </c>
      <c r="H636" s="180">
        <f>(H628/H612)*BH60</f>
        <v>1247763.7937351218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5832476.0900000008</v>
      </c>
      <c r="D637" s="180">
        <f>(D615/D612)*BL76</f>
        <v>88193.728584986922</v>
      </c>
      <c r="E637" s="180">
        <f>(E623/E612)*SUM(C637:D637)</f>
        <v>724731.67337150592</v>
      </c>
      <c r="F637" s="180">
        <f>(F624/F612)*BL64</f>
        <v>1192.0800828705976</v>
      </c>
      <c r="G637" s="180">
        <f>(G625/G612)*BL77</f>
        <v>0</v>
      </c>
      <c r="H637" s="180">
        <f>(H628/H612)*BL60</f>
        <v>595732.50150646584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403510.33</v>
      </c>
      <c r="D639" s="180">
        <f>(D615/D612)*BS76</f>
        <v>222071.35713967835</v>
      </c>
      <c r="E639" s="180">
        <f>(E623/E612)*SUM(C639:D639)</f>
        <v>76575.603241402234</v>
      </c>
      <c r="F639" s="180">
        <f>(F624/F612)*BS64</f>
        <v>94.569371255750582</v>
      </c>
      <c r="G639" s="180">
        <f>(G625/G612)*BS77</f>
        <v>0</v>
      </c>
      <c r="H639" s="180">
        <f>(H628/H612)*BS60</f>
        <v>32207.901811135329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726702.09000000008</v>
      </c>
      <c r="D640" s="180">
        <f>(D615/D612)*BT76</f>
        <v>127324.78237203321</v>
      </c>
      <c r="E640" s="180">
        <f>(E623/E612)*SUM(C640:D640)</f>
        <v>104538.90240181322</v>
      </c>
      <c r="F640" s="180">
        <f>(F624/F612)*BT64</f>
        <v>437.87957872699741</v>
      </c>
      <c r="G640" s="180">
        <f>(G625/G612)*BT77</f>
        <v>0</v>
      </c>
      <c r="H640" s="180">
        <f>(H628/H612)*BT60</f>
        <v>42109.886888239278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1135392.01</v>
      </c>
      <c r="D641" s="180">
        <f>(D615/D612)*BU76</f>
        <v>319795.08318997797</v>
      </c>
      <c r="E641" s="180">
        <f>(E623/E612)*SUM(C641:D641)</f>
        <v>178125.14621331129</v>
      </c>
      <c r="F641" s="180">
        <f>(F624/F612)*BU64</f>
        <v>31.636677596543688</v>
      </c>
      <c r="G641" s="180">
        <f>(G625/G612)*BU77</f>
        <v>0</v>
      </c>
      <c r="H641" s="180">
        <f>(H628/H612)*BU60</f>
        <v>16036.613671101275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4841064.51</v>
      </c>
      <c r="D642" s="180">
        <f>(D615/D612)*BV76</f>
        <v>1107498.7204670436</v>
      </c>
      <c r="E642" s="180">
        <f>(E623/E612)*SUM(C642:D642)</f>
        <v>728146.02338404453</v>
      </c>
      <c r="F642" s="180">
        <f>(F624/F612)*BV64</f>
        <v>464.08517837459749</v>
      </c>
      <c r="G642" s="180">
        <f>(G625/G612)*BV77</f>
        <v>0</v>
      </c>
      <c r="H642" s="180">
        <f>(H628/H612)*BV60</f>
        <v>309007.6854236892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32362121.149999999</v>
      </c>
      <c r="D643" s="180">
        <f>(D615/D612)*BW76</f>
        <v>3387115.2105326401</v>
      </c>
      <c r="E643" s="180">
        <f>(E623/E612)*SUM(C643:D643)</f>
        <v>4375958.2417508187</v>
      </c>
      <c r="F643" s="180">
        <f>(F624/F612)*BW64</f>
        <v>13892.47457581826</v>
      </c>
      <c r="G643" s="180">
        <f>(G625/G612)*BW77</f>
        <v>0</v>
      </c>
      <c r="H643" s="180">
        <f>(H628/H612)*BW60</f>
        <v>142162.81153685885</v>
      </c>
      <c r="I643" s="180">
        <f>(I629/I612)*BW78</f>
        <v>0</v>
      </c>
      <c r="J643" s="180">
        <f>(J630/J612)*BW79</f>
        <v>23205.627721829966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13953497.299999997</v>
      </c>
      <c r="D644" s="180">
        <f>(D615/D612)*BX76</f>
        <v>287289.26122461911</v>
      </c>
      <c r="E644" s="180">
        <f>(E623/E612)*SUM(C644:D644)</f>
        <v>1743172.5448100364</v>
      </c>
      <c r="F644" s="180">
        <f>(F624/F612)*BX64</f>
        <v>5455.3889958694053</v>
      </c>
      <c r="G644" s="180">
        <f>(G625/G612)*BX77</f>
        <v>0</v>
      </c>
      <c r="H644" s="180">
        <f>(H628/H612)*BX60</f>
        <v>577459.06611539552</v>
      </c>
      <c r="I644" s="180">
        <f>(I629/I612)*BX78</f>
        <v>0</v>
      </c>
      <c r="J644" s="180">
        <f>(J630/J612)*BX79</f>
        <v>0</v>
      </c>
      <c r="K644" s="180">
        <f>SUM(C631:J644)</f>
        <v>277421148.17454815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6856620.3399999999</v>
      </c>
      <c r="D645" s="180">
        <f>(D615/D612)*BY76</f>
        <v>387383.8115381776</v>
      </c>
      <c r="E645" s="180">
        <f>(E623/E612)*SUM(C645:D645)</f>
        <v>886717.11335342028</v>
      </c>
      <c r="F645" s="180">
        <f>(F624/F612)*BY64</f>
        <v>1345.89117860442</v>
      </c>
      <c r="G645" s="180">
        <f>(G625/G612)*BY77</f>
        <v>0</v>
      </c>
      <c r="H645" s="180">
        <f>(H628/H612)*BY60</f>
        <v>350790.88871352503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6092509.0199999996</v>
      </c>
      <c r="D646" s="180">
        <f>(D615/D612)*BZ76</f>
        <v>186252.91926347578</v>
      </c>
      <c r="E646" s="180">
        <f>(E623/E612)*SUM(C646:D646)</f>
        <v>768564.6702776727</v>
      </c>
      <c r="F646" s="180">
        <f>(F624/F612)*BZ64</f>
        <v>126.50990928776851</v>
      </c>
      <c r="G646" s="180">
        <f>(G625/G612)*BZ77</f>
        <v>0</v>
      </c>
      <c r="H646" s="180">
        <f>(H628/H612)*BZ60</f>
        <v>458633.66935890686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15988944.833593069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481943929.03999984</v>
      </c>
      <c r="L648" s="259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57268229.249999993</v>
      </c>
      <c r="D668" s="180">
        <f>(D615/D612)*C76</f>
        <v>5782100.0877510887</v>
      </c>
      <c r="E668" s="180">
        <f>(E623/E612)*SUM(C668:D668)</f>
        <v>7717804.2498059245</v>
      </c>
      <c r="F668" s="180">
        <f>(F624/F612)*C64</f>
        <v>79591.209376949686</v>
      </c>
      <c r="G668" s="180">
        <f>(G625/G612)*C77</f>
        <v>0</v>
      </c>
      <c r="H668" s="180">
        <f>(H628/H612)*C60</f>
        <v>2486708.6032100804</v>
      </c>
      <c r="I668" s="180">
        <f>(I629/I612)*C78</f>
        <v>14278.312118936441</v>
      </c>
      <c r="J668" s="180">
        <f>(J630/J612)*C79</f>
        <v>1168958.2091766109</v>
      </c>
      <c r="K668" s="180">
        <f>(K644/K612)*C75</f>
        <v>44456265.787861362</v>
      </c>
      <c r="L668" s="180">
        <f>(L647/L612)*C80</f>
        <v>3694461.1072781999</v>
      </c>
      <c r="M668" s="180">
        <f t="shared" ref="M668:M713" si="21">ROUND(SUM(D668:L668),0)</f>
        <v>65400168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1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58266713.960000016</v>
      </c>
      <c r="D670" s="180">
        <f>(D615/D612)*E76</f>
        <v>17229507.202189885</v>
      </c>
      <c r="E670" s="180">
        <f>(E623/E612)*SUM(C670:D670)</f>
        <v>9241269.0409369413</v>
      </c>
      <c r="F670" s="180">
        <f>(F624/F612)*E64</f>
        <v>85015.687260047955</v>
      </c>
      <c r="G670" s="180">
        <f>(G625/G612)*E77</f>
        <v>0</v>
      </c>
      <c r="H670" s="180">
        <f>(H628/H612)*E60</f>
        <v>3175656.6964204665</v>
      </c>
      <c r="I670" s="180">
        <f>(I629/I612)*E78</f>
        <v>1403803.391499663</v>
      </c>
      <c r="J670" s="180">
        <f>(J630/J612)*E79</f>
        <v>1666458.3989997881</v>
      </c>
      <c r="K670" s="180">
        <f>(K644/K612)*E75</f>
        <v>39797464.141438432</v>
      </c>
      <c r="L670" s="180">
        <f>(L647/L612)*E80</f>
        <v>4727792.7689527767</v>
      </c>
      <c r="M670" s="180">
        <f t="shared" si="21"/>
        <v>77326967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1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3705956.9700000007</v>
      </c>
      <c r="D672" s="180">
        <f>(D615/D612)*G76</f>
        <v>931080.90802908968</v>
      </c>
      <c r="E672" s="180">
        <f>(E623/E612)*SUM(C672:D672)</f>
        <v>567606.08576450718</v>
      </c>
      <c r="F672" s="180">
        <f>(F624/F612)*G64</f>
        <v>3485.9764047706713</v>
      </c>
      <c r="G672" s="180">
        <f>(G625/G612)*G77</f>
        <v>0</v>
      </c>
      <c r="H672" s="180">
        <f>(H628/H612)*G60</f>
        <v>197242.65888627141</v>
      </c>
      <c r="I672" s="180">
        <f>(I629/I612)*G78</f>
        <v>13146.111157963509</v>
      </c>
      <c r="J672" s="180">
        <f>(J630/J612)*G79</f>
        <v>39906.258576517022</v>
      </c>
      <c r="K672" s="180">
        <f>(K644/K612)*G75</f>
        <v>2179597.2279456663</v>
      </c>
      <c r="L672" s="180">
        <f>(L647/L612)*G80</f>
        <v>263052.64776459534</v>
      </c>
      <c r="M672" s="180">
        <f t="shared" si="21"/>
        <v>4195118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9812719.129999999</v>
      </c>
      <c r="D673" s="180">
        <f>(D615/D612)*H76</f>
        <v>4791189.2578694886</v>
      </c>
      <c r="E673" s="180">
        <f>(E623/E612)*SUM(C673:D673)</f>
        <v>1787621.2131407678</v>
      </c>
      <c r="F673" s="180">
        <f>(F624/F612)*H64</f>
        <v>5676.0857863081792</v>
      </c>
      <c r="G673" s="180">
        <f>(G625/G612)*H77</f>
        <v>0</v>
      </c>
      <c r="H673" s="180">
        <f>(H628/H612)*H60</f>
        <v>766263.87762637308</v>
      </c>
      <c r="I673" s="180">
        <f>(I629/I612)*H78</f>
        <v>136367.31574385113</v>
      </c>
      <c r="J673" s="180">
        <f>(J630/J612)*H79</f>
        <v>241867.22963152194</v>
      </c>
      <c r="K673" s="180">
        <f>(K644/K612)*H75</f>
        <v>8977714.791989198</v>
      </c>
      <c r="L673" s="180">
        <f>(L647/L612)*H80</f>
        <v>396572.67613802018</v>
      </c>
      <c r="M673" s="180">
        <f t="shared" si="21"/>
        <v>17103272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1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1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1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1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1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1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1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46626925.059999987</v>
      </c>
      <c r="D681" s="180">
        <f>(D615/D612)*P76</f>
        <v>7761785.4133761683</v>
      </c>
      <c r="E681" s="180">
        <f>(E623/E612)*SUM(C681:D681)</f>
        <v>6657561.1141424496</v>
      </c>
      <c r="F681" s="180">
        <f>(F624/F612)*P64</f>
        <v>475020.77458468371</v>
      </c>
      <c r="G681" s="180">
        <f>(G625/G612)*P77</f>
        <v>0</v>
      </c>
      <c r="H681" s="180">
        <f>(H628/H612)*P60</f>
        <v>1115319.142557157</v>
      </c>
      <c r="I681" s="180">
        <f>(I629/I612)*P78</f>
        <v>310097.26319980907</v>
      </c>
      <c r="J681" s="180">
        <f>(J630/J612)*P79</f>
        <v>0</v>
      </c>
      <c r="K681" s="180">
        <f>(K644/K612)*P75</f>
        <v>30200608.96191375</v>
      </c>
      <c r="L681" s="180">
        <f>(L647/L612)*P80</f>
        <v>826357.65467235865</v>
      </c>
      <c r="M681" s="180">
        <f t="shared" si="21"/>
        <v>47346750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8735851.120000001</v>
      </c>
      <c r="D682" s="180">
        <f>(D615/D612)*Q76</f>
        <v>763068.39146077912</v>
      </c>
      <c r="E682" s="180">
        <f>(E623/E612)*SUM(C682:D682)</f>
        <v>1162734.6303205104</v>
      </c>
      <c r="F682" s="180">
        <f>(F624/F612)*Q64</f>
        <v>7119.0395603106463</v>
      </c>
      <c r="G682" s="180">
        <f>(G625/G612)*Q77</f>
        <v>0</v>
      </c>
      <c r="H682" s="180">
        <f>(H628/H612)*Q60</f>
        <v>393762.03042171581</v>
      </c>
      <c r="I682" s="180">
        <f>(I629/I612)*Q78</f>
        <v>72586.661609042523</v>
      </c>
      <c r="J682" s="180">
        <f>(J630/J612)*Q79</f>
        <v>0</v>
      </c>
      <c r="K682" s="180">
        <f>(K644/K612)*Q75</f>
        <v>3377204.6104668556</v>
      </c>
      <c r="L682" s="180">
        <f>(L647/L612)*Q80</f>
        <v>588329.5411858079</v>
      </c>
      <c r="M682" s="180">
        <f t="shared" si="21"/>
        <v>6364805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4918021.8100000005</v>
      </c>
      <c r="D683" s="180">
        <f>(D615/D612)*R76</f>
        <v>591474.26460690959</v>
      </c>
      <c r="E683" s="180">
        <f>(E623/E612)*SUM(C683:D683)</f>
        <v>674401.1120244998</v>
      </c>
      <c r="F683" s="180">
        <f>(F624/F612)*R64</f>
        <v>34349.446232591195</v>
      </c>
      <c r="G683" s="180">
        <f>(G625/G612)*R77</f>
        <v>0</v>
      </c>
      <c r="H683" s="180">
        <f>(H628/H612)*R60</f>
        <v>126780.38560346249</v>
      </c>
      <c r="I683" s="180">
        <f>(I629/I612)*R78</f>
        <v>586542.997837367</v>
      </c>
      <c r="J683" s="180">
        <f>(J630/J612)*R79</f>
        <v>0</v>
      </c>
      <c r="K683" s="180">
        <f>(K644/K612)*R75</f>
        <v>8680353.1895730421</v>
      </c>
      <c r="L683" s="180">
        <f>(L647/L612)*R80</f>
        <v>10926.304460430601</v>
      </c>
      <c r="M683" s="180">
        <f t="shared" si="21"/>
        <v>10704828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10324900.540000001</v>
      </c>
      <c r="D684" s="180">
        <f>(D615/D612)*S76</f>
        <v>2620975.5604712362</v>
      </c>
      <c r="E684" s="180">
        <f>(E623/E612)*SUM(C684:D684)</f>
        <v>1584666.3869185376</v>
      </c>
      <c r="F684" s="180">
        <f>(F624/F612)*S64</f>
        <v>19325.089925840064</v>
      </c>
      <c r="G684" s="180">
        <f>(G625/G612)*S77</f>
        <v>0</v>
      </c>
      <c r="H684" s="180">
        <f>(H628/H612)*S60</f>
        <v>526405.40597770538</v>
      </c>
      <c r="I684" s="180">
        <f>(I629/I612)*S78</f>
        <v>273929.73250206257</v>
      </c>
      <c r="J684" s="180">
        <f>(J630/J612)*S79</f>
        <v>30516.673991298503</v>
      </c>
      <c r="K684" s="180">
        <f>(K644/K612)*S75</f>
        <v>1890395.7531346316</v>
      </c>
      <c r="L684" s="180">
        <f>(L647/L612)*S80</f>
        <v>0</v>
      </c>
      <c r="M684" s="180">
        <f t="shared" si="21"/>
        <v>6946215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829953.58000000019</v>
      </c>
      <c r="D685" s="180">
        <f>(D615/D612)*T76</f>
        <v>37178.976553870532</v>
      </c>
      <c r="E685" s="180">
        <f>(E623/E612)*SUM(C685:D685)</f>
        <v>106143.13042310346</v>
      </c>
      <c r="F685" s="180">
        <f>(F624/F612)*T64</f>
        <v>3201.1169998101104</v>
      </c>
      <c r="G685" s="180">
        <f>(G625/G612)*T77</f>
        <v>0</v>
      </c>
      <c r="H685" s="180">
        <f>(H628/H612)*T60</f>
        <v>82873.110938430531</v>
      </c>
      <c r="I685" s="180">
        <f>(I629/I612)*T78</f>
        <v>5723.9048582520536</v>
      </c>
      <c r="J685" s="180">
        <f>(J630/J612)*T79</f>
        <v>0</v>
      </c>
      <c r="K685" s="180">
        <f>(K644/K612)*T75</f>
        <v>0</v>
      </c>
      <c r="L685" s="180">
        <f>(L647/L612)*T80</f>
        <v>154300.88652654324</v>
      </c>
      <c r="M685" s="180">
        <f t="shared" si="21"/>
        <v>389421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36931054.660000004</v>
      </c>
      <c r="D686" s="180">
        <f>(D615/D612)*U76</f>
        <v>3440526.7833898496</v>
      </c>
      <c r="E686" s="180">
        <f>(E623/E612)*SUM(C686:D686)</f>
        <v>4941765.8259339686</v>
      </c>
      <c r="F686" s="180">
        <f>(F624/F612)*U64</f>
        <v>185334.96690331172</v>
      </c>
      <c r="G686" s="180">
        <f>(G625/G612)*U77</f>
        <v>0</v>
      </c>
      <c r="H686" s="180">
        <f>(H628/H612)*U60</f>
        <v>1215245.8918582902</v>
      </c>
      <c r="I686" s="180">
        <f>(I629/I612)*U78</f>
        <v>7583544.9366500974</v>
      </c>
      <c r="J686" s="180">
        <f>(J630/J612)*U79</f>
        <v>0</v>
      </c>
      <c r="K686" s="180">
        <f>(K644/K612)*U75</f>
        <v>18039178.115889862</v>
      </c>
      <c r="L686" s="180">
        <f>(L647/L612)*U80</f>
        <v>0</v>
      </c>
      <c r="M686" s="180">
        <f t="shared" si="21"/>
        <v>35405597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6703729.79</v>
      </c>
      <c r="D687" s="180">
        <f>(D615/D612)*V76</f>
        <v>425963.33345623338</v>
      </c>
      <c r="E687" s="180">
        <f>(E623/E612)*SUM(C687:D687)</f>
        <v>872724.63864952873</v>
      </c>
      <c r="F687" s="180">
        <f>(F624/F612)*V64</f>
        <v>5280.6149487691318</v>
      </c>
      <c r="G687" s="180">
        <f>(G625/G612)*V77</f>
        <v>0</v>
      </c>
      <c r="H687" s="180">
        <f>(H628/H612)*V60</f>
        <v>320321.93963933428</v>
      </c>
      <c r="I687" s="180">
        <f>(I629/I612)*V78</f>
        <v>475964.70398234384</v>
      </c>
      <c r="J687" s="180">
        <f>(J630/J612)*V79</f>
        <v>51839.772809907605</v>
      </c>
      <c r="K687" s="180">
        <f>(K644/K612)*V75</f>
        <v>6642297.1990384161</v>
      </c>
      <c r="L687" s="180">
        <f>(L647/L612)*V80</f>
        <v>612.69513057700988</v>
      </c>
      <c r="M687" s="180">
        <f t="shared" si="21"/>
        <v>8795005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1919016.84</v>
      </c>
      <c r="D688" s="180">
        <f>(D615/D612)*W76</f>
        <v>0</v>
      </c>
      <c r="E688" s="180">
        <f>(E623/E612)*SUM(C688:D688)</f>
        <v>234901.173059113</v>
      </c>
      <c r="F688" s="180">
        <f>(F624/F612)*W64</f>
        <v>1626.6332847192496</v>
      </c>
      <c r="G688" s="180">
        <f>(G625/G612)*W77</f>
        <v>0</v>
      </c>
      <c r="H688" s="180">
        <f>(H628/H612)*W60</f>
        <v>52817.889596275076</v>
      </c>
      <c r="I688" s="180">
        <f>(I629/I612)*W78</f>
        <v>0</v>
      </c>
      <c r="J688" s="180">
        <f>(J630/J612)*W79</f>
        <v>0</v>
      </c>
      <c r="K688" s="180">
        <f>(K644/K612)*W75</f>
        <v>4033679.0059239804</v>
      </c>
      <c r="L688" s="180">
        <f>(L647/L612)*W80</f>
        <v>52.505185876737819</v>
      </c>
      <c r="M688" s="180">
        <f t="shared" si="21"/>
        <v>4323077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1881862.6900000002</v>
      </c>
      <c r="D689" s="180">
        <f>(D615/D612)*X76</f>
        <v>323943.5689464389</v>
      </c>
      <c r="E689" s="180">
        <f>(E623/E612)*SUM(C689:D689)</f>
        <v>270006.21722926211</v>
      </c>
      <c r="F689" s="180">
        <f>(F624/F612)*X64</f>
        <v>1325.8741964560165</v>
      </c>
      <c r="G689" s="180">
        <f>(G625/G612)*X77</f>
        <v>0</v>
      </c>
      <c r="H689" s="180">
        <f>(H628/H612)*X60</f>
        <v>58218.871173777203</v>
      </c>
      <c r="I689" s="180">
        <f>(I629/I612)*X78</f>
        <v>0</v>
      </c>
      <c r="J689" s="180">
        <f>(J630/J612)*X79</f>
        <v>0</v>
      </c>
      <c r="K689" s="180">
        <f>(K644/K612)*X75</f>
        <v>2466598.1057086391</v>
      </c>
      <c r="L689" s="180">
        <f>(L647/L612)*X80</f>
        <v>0</v>
      </c>
      <c r="M689" s="180">
        <f t="shared" si="21"/>
        <v>3120093</v>
      </c>
      <c r="N689" s="198" t="s">
        <v>699</v>
      </c>
    </row>
    <row r="690" spans="1:14" ht="12.6" customHeight="1" x14ac:dyDescent="0.25">
      <c r="A690" s="196">
        <v>7140</v>
      </c>
      <c r="B690" s="198" t="s">
        <v>987</v>
      </c>
      <c r="C690" s="180">
        <f>Y71</f>
        <v>17842009.470000003</v>
      </c>
      <c r="D690" s="180">
        <f>(D615/D612)*Y76</f>
        <v>4062435.6211613123</v>
      </c>
      <c r="E690" s="180">
        <f>(E623/E612)*SUM(C690:D690)</f>
        <v>2681258.3088758732</v>
      </c>
      <c r="F690" s="180">
        <f>(F624/F612)*Y64</f>
        <v>102519.86567411099</v>
      </c>
      <c r="G690" s="180">
        <f>(G625/G612)*Y77</f>
        <v>0</v>
      </c>
      <c r="H690" s="180">
        <f>(H628/H612)*Y60</f>
        <v>586064.74199943768</v>
      </c>
      <c r="I690" s="180">
        <f>(I629/I612)*Y78</f>
        <v>259840.1205432883</v>
      </c>
      <c r="J690" s="180">
        <f>(J630/J612)*Y79</f>
        <v>291593.87422935088</v>
      </c>
      <c r="K690" s="180">
        <f>(K644/K612)*Y75</f>
        <v>12631176.549253477</v>
      </c>
      <c r="L690" s="180">
        <f>(L647/L612)*Y80</f>
        <v>248633.66665936133</v>
      </c>
      <c r="M690" s="180">
        <f t="shared" si="21"/>
        <v>20863523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749230.07999999996</v>
      </c>
      <c r="D691" s="180">
        <f>(D615/D612)*Z76</f>
        <v>30237.666168798583</v>
      </c>
      <c r="E691" s="180">
        <f>(E623/E612)*SUM(C691:D691)</f>
        <v>95412.340381960224</v>
      </c>
      <c r="F691" s="180">
        <f>(F624/F612)*Z64</f>
        <v>46.838346622888423</v>
      </c>
      <c r="G691" s="180">
        <f>(G625/G612)*Z77</f>
        <v>0</v>
      </c>
      <c r="H691" s="180">
        <f>(H628/H612)*Z60</f>
        <v>253.72886679792688</v>
      </c>
      <c r="I691" s="180">
        <f>(I629/I612)*Z78</f>
        <v>13083.211104576123</v>
      </c>
      <c r="J691" s="180">
        <f>(J630/J612)*Z79</f>
        <v>0</v>
      </c>
      <c r="K691" s="180">
        <f>(K644/K612)*Z75</f>
        <v>172069.68133440058</v>
      </c>
      <c r="L691" s="180">
        <f>(L647/L612)*Z80</f>
        <v>503.87366425226651</v>
      </c>
      <c r="M691" s="180">
        <f t="shared" si="21"/>
        <v>311607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1428755.8299999998</v>
      </c>
      <c r="D692" s="180">
        <f>(D615/D612)*AA76</f>
        <v>172795.72491847724</v>
      </c>
      <c r="E692" s="180">
        <f>(E623/E612)*SUM(C692:D692)</f>
        <v>196041.18688452817</v>
      </c>
      <c r="F692" s="180">
        <f>(F624/F612)*AA64</f>
        <v>13745.656292078314</v>
      </c>
      <c r="G692" s="180">
        <f>(G625/G612)*AA77</f>
        <v>0</v>
      </c>
      <c r="H692" s="180">
        <f>(H628/H612)*AA60</f>
        <v>23102.752108757733</v>
      </c>
      <c r="I692" s="180">
        <f>(I629/I612)*AA78</f>
        <v>422625.45870984119</v>
      </c>
      <c r="J692" s="180">
        <f>(J630/J612)*AA79</f>
        <v>0</v>
      </c>
      <c r="K692" s="180">
        <f>(K644/K612)*AA75</f>
        <v>491291.36303074734</v>
      </c>
      <c r="L692" s="180">
        <f>(L647/L612)*AA80</f>
        <v>0</v>
      </c>
      <c r="M692" s="180">
        <f t="shared" si="21"/>
        <v>1319602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105864034.55</v>
      </c>
      <c r="D693" s="180">
        <f>(D615/D612)*AB76</f>
        <v>1302630.1664445687</v>
      </c>
      <c r="E693" s="180">
        <f>(E623/E612)*SUM(C693:D693)</f>
        <v>13117954.324322388</v>
      </c>
      <c r="F693" s="180">
        <f>(F624/F612)*AB64</f>
        <v>1721591.9932961378</v>
      </c>
      <c r="G693" s="180">
        <f>(G625/G612)*AB77</f>
        <v>0</v>
      </c>
      <c r="H693" s="180">
        <f>(H628/H612)*AB60</f>
        <v>1065662.068468926</v>
      </c>
      <c r="I693" s="180">
        <f>(I629/I612)*AB78</f>
        <v>460491.29084904707</v>
      </c>
      <c r="J693" s="180">
        <f>(J630/J612)*AB79</f>
        <v>14922.919819128831</v>
      </c>
      <c r="K693" s="180">
        <f>(K644/K612)*AB75</f>
        <v>42198963.780538402</v>
      </c>
      <c r="L693" s="180">
        <f>(L647/L612)*AB80</f>
        <v>0</v>
      </c>
      <c r="M693" s="180">
        <f t="shared" si="21"/>
        <v>59882217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16984973.240000002</v>
      </c>
      <c r="D694" s="180">
        <f>(D615/D612)*AC76</f>
        <v>395488.66808883927</v>
      </c>
      <c r="E694" s="180">
        <f>(E623/E612)*SUM(C694:D694)</f>
        <v>2127490.9137948463</v>
      </c>
      <c r="F694" s="180">
        <f>(F624/F612)*AC64</f>
        <v>76648.113525318171</v>
      </c>
      <c r="G694" s="180">
        <f>(G625/G612)*AC77</f>
        <v>0</v>
      </c>
      <c r="H694" s="180">
        <f>(H628/H612)*AC60</f>
        <v>723194.30406662752</v>
      </c>
      <c r="I694" s="180">
        <f>(I629/I612)*AC78</f>
        <v>2138.6018151710969</v>
      </c>
      <c r="J694" s="180">
        <f>(J630/J612)*AC79</f>
        <v>0</v>
      </c>
      <c r="K694" s="180">
        <f>(K644/K612)*AC75</f>
        <v>10495920.471640455</v>
      </c>
      <c r="L694" s="180">
        <f>(L647/L612)*AC80</f>
        <v>0</v>
      </c>
      <c r="M694" s="180">
        <f t="shared" si="21"/>
        <v>13820881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5288274.1400000006</v>
      </c>
      <c r="D695" s="180">
        <f>(D615/D612)*AD76</f>
        <v>376475.3735704908</v>
      </c>
      <c r="E695" s="180">
        <f>(E623/E612)*SUM(C695:D695)</f>
        <v>693405.22609679028</v>
      </c>
      <c r="F695" s="180">
        <f>(F624/F612)*AD64</f>
        <v>24557.949517009634</v>
      </c>
      <c r="G695" s="180">
        <f>(G625/G612)*AD77</f>
        <v>0</v>
      </c>
      <c r="H695" s="180">
        <f>(H628/H612)*AD60</f>
        <v>193504.03805374316</v>
      </c>
      <c r="I695" s="180">
        <f>(I629/I612)*AD78</f>
        <v>36041.730590971725</v>
      </c>
      <c r="J695" s="180">
        <f>(J630/J612)*AD79</f>
        <v>0</v>
      </c>
      <c r="K695" s="180">
        <f>(K644/K612)*AD75</f>
        <v>3620927.2897596196</v>
      </c>
      <c r="L695" s="180">
        <f>(L647/L612)*AD80</f>
        <v>257278.89723352058</v>
      </c>
      <c r="M695" s="180">
        <f t="shared" si="21"/>
        <v>5202191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5869466.4799999995</v>
      </c>
      <c r="D696" s="180">
        <f>(D615/D612)*AE76</f>
        <v>879285.48077274393</v>
      </c>
      <c r="E696" s="180">
        <f>(E623/E612)*SUM(C696:D696)</f>
        <v>826094.75812130258</v>
      </c>
      <c r="F696" s="180">
        <f>(F624/F612)*AE64</f>
        <v>3446.5529767293897</v>
      </c>
      <c r="G696" s="180">
        <f>(G625/G612)*AE77</f>
        <v>0</v>
      </c>
      <c r="H696" s="180">
        <f>(H628/H612)*AE60</f>
        <v>384207.31710599572</v>
      </c>
      <c r="I696" s="180">
        <f>(I629/I612)*AE78</f>
        <v>141273.51990806716</v>
      </c>
      <c r="J696" s="180">
        <f>(J630/J612)*AE79</f>
        <v>0</v>
      </c>
      <c r="K696" s="180">
        <f>(K644/K612)*AE75</f>
        <v>2305661.3364046072</v>
      </c>
      <c r="L696" s="180">
        <f>(L647/L612)*AE80</f>
        <v>0</v>
      </c>
      <c r="M696" s="180">
        <f t="shared" si="21"/>
        <v>4539969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12089081.949999999</v>
      </c>
      <c r="D697" s="180">
        <f>(D615/D612)*AF76</f>
        <v>837836.21852027078</v>
      </c>
      <c r="E697" s="180">
        <f>(E623/E612)*SUM(C697:D697)</f>
        <v>1582345.8025644901</v>
      </c>
      <c r="F697" s="180">
        <f>(F624/F612)*AF64</f>
        <v>5190.5429532770777</v>
      </c>
      <c r="G697" s="180">
        <f>(G625/G612)*AF77</f>
        <v>0</v>
      </c>
      <c r="H697" s="180">
        <f>(H628/H612)*AF60</f>
        <v>631240.77130350261</v>
      </c>
      <c r="I697" s="180">
        <f>(I629/I612)*AF78</f>
        <v>0</v>
      </c>
      <c r="J697" s="180">
        <f>(J630/J612)*AF79</f>
        <v>0</v>
      </c>
      <c r="K697" s="180">
        <f>(K644/K612)*AF75</f>
        <v>1280039.6642060932</v>
      </c>
      <c r="L697" s="180">
        <f>(L647/L612)*AF80</f>
        <v>90830.562323721722</v>
      </c>
      <c r="M697" s="180">
        <f t="shared" si="21"/>
        <v>4427484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14662994.209999999</v>
      </c>
      <c r="D698" s="180">
        <f>(D615/D612)*AG76</f>
        <v>2592101.2463857844</v>
      </c>
      <c r="E698" s="180">
        <f>(E623/E612)*SUM(C698:D698)</f>
        <v>2112145.1773982304</v>
      </c>
      <c r="F698" s="180">
        <f>(F624/F612)*AG64</f>
        <v>33425.731020837033</v>
      </c>
      <c r="G698" s="180">
        <f>(G625/G612)*AG77</f>
        <v>0</v>
      </c>
      <c r="H698" s="180">
        <f>(H628/H612)*AG60</f>
        <v>699778.92862892803</v>
      </c>
      <c r="I698" s="180">
        <f>(I629/I612)*AG78</f>
        <v>0</v>
      </c>
      <c r="J698" s="180">
        <f>(J630/J612)*AG79</f>
        <v>89216.776239725339</v>
      </c>
      <c r="K698" s="180">
        <f>(K644/K612)*AG75</f>
        <v>10576505.578789504</v>
      </c>
      <c r="L698" s="180">
        <f>(L647/L612)*AG80</f>
        <v>809654.75677060045</v>
      </c>
      <c r="M698" s="180">
        <f t="shared" si="21"/>
        <v>16912828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2979993.1000000006</v>
      </c>
      <c r="D699" s="180">
        <f>(D615/D612)*AH76</f>
        <v>16550.626110944853</v>
      </c>
      <c r="E699" s="180">
        <f>(E623/E612)*SUM(C699:D699)</f>
        <v>366798.05081146996</v>
      </c>
      <c r="F699" s="180">
        <f>(F624/F612)*AH64</f>
        <v>1508.2115731249128</v>
      </c>
      <c r="G699" s="180">
        <f>(G625/G612)*AH77</f>
        <v>0</v>
      </c>
      <c r="H699" s="180">
        <f>(H628/H612)*AH60</f>
        <v>147374.46658830525</v>
      </c>
      <c r="I699" s="180">
        <f>(I629/I612)*AH78</f>
        <v>0</v>
      </c>
      <c r="J699" s="180">
        <f>(J630/J612)*AH79</f>
        <v>0</v>
      </c>
      <c r="K699" s="180">
        <f>(K644/K612)*AH75</f>
        <v>83257.667701569415</v>
      </c>
      <c r="L699" s="180">
        <f>(L647/L612)*AH80</f>
        <v>197176.10890810838</v>
      </c>
      <c r="M699" s="180">
        <f t="shared" si="21"/>
        <v>812665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1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94080352.48999998</v>
      </c>
      <c r="D701" s="180">
        <f>(D615/D612)*AJ76</f>
        <v>14751066.587111659</v>
      </c>
      <c r="E701" s="180">
        <f>(E623/E612)*SUM(C701:D701)</f>
        <v>13321731.979642998</v>
      </c>
      <c r="F701" s="180">
        <f>(F624/F612)*AJ64</f>
        <v>79881.596588429311</v>
      </c>
      <c r="G701" s="180">
        <f>(G625/G612)*AJ77</f>
        <v>0</v>
      </c>
      <c r="H701" s="180">
        <f>(H628/H612)*AJ60</f>
        <v>4991627.7323489478</v>
      </c>
      <c r="I701" s="180">
        <f>(I629/I612)*AJ78</f>
        <v>782225.06392552238</v>
      </c>
      <c r="J701" s="180">
        <f>(J630/J612)*AJ79</f>
        <v>107132.2461806223</v>
      </c>
      <c r="K701" s="180">
        <f>(K644/K612)*AJ75</f>
        <v>12863232.857456146</v>
      </c>
      <c r="L701" s="180">
        <f>(L647/L612)*AJ80</f>
        <v>3532587.0398139134</v>
      </c>
      <c r="M701" s="180">
        <f t="shared" si="21"/>
        <v>50429485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2298489.3199999998</v>
      </c>
      <c r="D702" s="180">
        <f>(D615/D612)*AK76</f>
        <v>291503.97343261226</v>
      </c>
      <c r="E702" s="180">
        <f>(E623/E612)*SUM(C702:D702)</f>
        <v>317033.41532039706</v>
      </c>
      <c r="F702" s="180">
        <f>(F624/F612)*AK64</f>
        <v>2595.8060980599212</v>
      </c>
      <c r="G702" s="180">
        <f>(G625/G612)*AK77</f>
        <v>0</v>
      </c>
      <c r="H702" s="180">
        <f>(H628/H612)*AK60</f>
        <v>131375.8332731394</v>
      </c>
      <c r="I702" s="180">
        <f>(I629/I612)*AK78</f>
        <v>0</v>
      </c>
      <c r="J702" s="180">
        <f>(J630/J612)*AK79</f>
        <v>0</v>
      </c>
      <c r="K702" s="180">
        <f>(K644/K612)*AK75</f>
        <v>846503.96518723818</v>
      </c>
      <c r="L702" s="180">
        <f>(L647/L612)*AK80</f>
        <v>0</v>
      </c>
      <c r="M702" s="180">
        <f t="shared" si="21"/>
        <v>1589013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1838505.56</v>
      </c>
      <c r="D703" s="180">
        <f>(D615/D612)*AL76</f>
        <v>218058.23504468062</v>
      </c>
      <c r="E703" s="180">
        <f>(E623/E612)*SUM(C703:D703)</f>
        <v>251737.88882795666</v>
      </c>
      <c r="F703" s="180">
        <f>(F624/F612)*AL64</f>
        <v>684.41637101608842</v>
      </c>
      <c r="G703" s="180">
        <f>(G625/G612)*AL77</f>
        <v>0</v>
      </c>
      <c r="H703" s="180">
        <f>(H628/H612)*AL60</f>
        <v>108438.23373109137</v>
      </c>
      <c r="I703" s="180">
        <f>(I629/I612)*AL78</f>
        <v>0</v>
      </c>
      <c r="J703" s="180">
        <f>(J630/J612)*AL79</f>
        <v>0</v>
      </c>
      <c r="K703" s="180">
        <f>(K644/K612)*AL75</f>
        <v>756037.74430681986</v>
      </c>
      <c r="L703" s="180">
        <f>(L647/L612)*AL80</f>
        <v>0</v>
      </c>
      <c r="M703" s="180">
        <f t="shared" si="21"/>
        <v>1334957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2026493.6300000001</v>
      </c>
      <c r="D704" s="180">
        <f>(D615/D612)*AM76</f>
        <v>521337.7174329214</v>
      </c>
      <c r="E704" s="180">
        <f>(E623/E612)*SUM(C704:D704)</f>
        <v>311872.49626677262</v>
      </c>
      <c r="F704" s="180">
        <f>(F624/F612)*AM64</f>
        <v>191.9340171991864</v>
      </c>
      <c r="G704" s="180">
        <f>(G625/G612)*AM77</f>
        <v>0</v>
      </c>
      <c r="H704" s="180">
        <f>(H628/H612)*AM60</f>
        <v>163193.36486290285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1"/>
        <v>996596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1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1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1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19370.080000000002</v>
      </c>
      <c r="D708" s="180">
        <f>(D615/D612)*AQ76</f>
        <v>0</v>
      </c>
      <c r="E708" s="180">
        <f>(E623/E612)*SUM(C708:D708)</f>
        <v>2371.0341771929757</v>
      </c>
      <c r="F708" s="180">
        <f>(F624/F612)*AQ64</f>
        <v>190.95647545409011</v>
      </c>
      <c r="G708" s="180">
        <f>(G625/G612)*AQ77</f>
        <v>0</v>
      </c>
      <c r="H708" s="180">
        <f>(H628/H612)*AQ60</f>
        <v>397.12446645581042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419.64974232173046</v>
      </c>
      <c r="M708" s="180">
        <f t="shared" si="21"/>
        <v>3379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13213407.359999999</v>
      </c>
      <c r="D709" s="180">
        <f>(D615/D612)*AR76</f>
        <v>0</v>
      </c>
      <c r="E709" s="180">
        <f>(E623/E612)*SUM(C709:D709)</f>
        <v>1617414.0967788054</v>
      </c>
      <c r="F709" s="180">
        <f>(F624/F612)*AR64</f>
        <v>132456.0288649509</v>
      </c>
      <c r="G709" s="180">
        <f>(G625/G612)*AR77</f>
        <v>0</v>
      </c>
      <c r="H709" s="180">
        <f>(H628/H612)*AR60</f>
        <v>370636.17315172346</v>
      </c>
      <c r="I709" s="180">
        <f>(I629/I612)*AR78</f>
        <v>0</v>
      </c>
      <c r="J709" s="180">
        <f>(J630/J612)*AR79</f>
        <v>0</v>
      </c>
      <c r="K709" s="180">
        <f>(K644/K612)*AR75</f>
        <v>6634612.4480670542</v>
      </c>
      <c r="L709" s="180">
        <f>(L647/L612)*AR80</f>
        <v>69855.357678854969</v>
      </c>
      <c r="M709" s="180">
        <f t="shared" si="21"/>
        <v>8824974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1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3790453.36</v>
      </c>
      <c r="D711" s="180">
        <f>(D615/D612)*AT76</f>
        <v>7709.4597267169293</v>
      </c>
      <c r="E711" s="180">
        <f>(E623/E612)*SUM(C711:D711)</f>
        <v>464921.87208910269</v>
      </c>
      <c r="F711" s="180">
        <f>(F624/F612)*AT64</f>
        <v>272.50509523658565</v>
      </c>
      <c r="G711" s="180">
        <f>(G625/G612)*AT77</f>
        <v>0</v>
      </c>
      <c r="H711" s="180">
        <f>(H628/H612)*AT60</f>
        <v>24320.155093164078</v>
      </c>
      <c r="I711" s="180">
        <f>(I629/I612)*AT78</f>
        <v>62082.352693349196</v>
      </c>
      <c r="J711" s="180">
        <f>(J630/J612)*AT79</f>
        <v>0</v>
      </c>
      <c r="K711" s="180">
        <f>(K644/K612)*AT75</f>
        <v>647285.05477271928</v>
      </c>
      <c r="L711" s="180">
        <f>(L647/L612)*AT80</f>
        <v>39297.028352000423</v>
      </c>
      <c r="M711" s="180">
        <f t="shared" si="21"/>
        <v>1245888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1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3854565.92</v>
      </c>
      <c r="D713" s="180">
        <f>(D615/D612)*AV76</f>
        <v>52260.096358501236</v>
      </c>
      <c r="E713" s="180">
        <f>(E623/E612)*SUM(C713:D713)</f>
        <v>478223.01245697943</v>
      </c>
      <c r="F713" s="180">
        <f>(F624/F612)*AV64</f>
        <v>16527.112670059283</v>
      </c>
      <c r="G713" s="180">
        <f>(G625/G612)*AV77</f>
        <v>0</v>
      </c>
      <c r="H713" s="180">
        <f>(H628/H612)*AV60</f>
        <v>301791.11354546098</v>
      </c>
      <c r="I713" s="180">
        <f>(I629/I612)*AV78</f>
        <v>0</v>
      </c>
      <c r="J713" s="180">
        <f>(J630/J612)*AV79</f>
        <v>0</v>
      </c>
      <c r="K713" s="180">
        <f>(K644/K612)*AV75</f>
        <v>1076305.8312155167</v>
      </c>
      <c r="L713" s="180">
        <f>(L647/L612)*AV80</f>
        <v>80249.1051512298</v>
      </c>
      <c r="M713" s="180">
        <f t="shared" si="21"/>
        <v>2005356</v>
      </c>
      <c r="N713" s="199" t="s">
        <v>741</v>
      </c>
    </row>
    <row r="715" spans="1:15" ht="12.6" customHeight="1" x14ac:dyDescent="0.25">
      <c r="C715" s="180">
        <f>SUM(C614:C647)+SUM(C668:C713)</f>
        <v>1034749315.2099998</v>
      </c>
      <c r="D715" s="180">
        <f>SUM(D616:D647)+SUM(D668:D713)</f>
        <v>95684251.150000021</v>
      </c>
      <c r="E715" s="180">
        <f>SUM(E624:E647)+SUM(E668:E713)</f>
        <v>112847298.03607066</v>
      </c>
      <c r="F715" s="180">
        <f>SUM(F625:F648)+SUM(F668:F713)</f>
        <v>3705019.2665701453</v>
      </c>
      <c r="G715" s="180">
        <f>SUM(G626:G647)+SUM(G668:G713)</f>
        <v>15218950.567242192</v>
      </c>
      <c r="H715" s="180">
        <f>SUM(H629:H647)+SUM(H668:H713)</f>
        <v>33685835.008544602</v>
      </c>
      <c r="I715" s="180">
        <f>SUM(I630:I647)+SUM(I668:I713)</f>
        <v>13055786.681299221</v>
      </c>
      <c r="J715" s="180">
        <f>SUM(J631:J647)+SUM(J668:J713)</f>
        <v>3734438.4109401116</v>
      </c>
      <c r="K715" s="180">
        <f>SUM(K668:K713)</f>
        <v>277421148.17454827</v>
      </c>
      <c r="L715" s="180">
        <f>SUM(L668:L713)</f>
        <v>15988944.833593069</v>
      </c>
      <c r="M715" s="180">
        <f>SUM(M668:M713)</f>
        <v>481943931</v>
      </c>
      <c r="N715" s="198" t="s">
        <v>742</v>
      </c>
    </row>
    <row r="716" spans="1:15" ht="12.6" customHeight="1" x14ac:dyDescent="0.25">
      <c r="C716" s="180">
        <f>CE71</f>
        <v>1034749315.2100002</v>
      </c>
      <c r="D716" s="180">
        <f>D615</f>
        <v>95684251.150000006</v>
      </c>
      <c r="E716" s="180">
        <f>E623</f>
        <v>112847298.0360707</v>
      </c>
      <c r="F716" s="180">
        <f>F624</f>
        <v>3705019.2665701471</v>
      </c>
      <c r="G716" s="180">
        <f>G625</f>
        <v>15218950.567242192</v>
      </c>
      <c r="H716" s="180">
        <f>H628</f>
        <v>33685835.008544587</v>
      </c>
      <c r="I716" s="180">
        <f>I629</f>
        <v>13055786.681299223</v>
      </c>
      <c r="J716" s="180">
        <f>J630</f>
        <v>3734438.4109401116</v>
      </c>
      <c r="K716" s="180">
        <f>K644</f>
        <v>277421148.17454815</v>
      </c>
      <c r="L716" s="180">
        <f>L647</f>
        <v>15988944.833593069</v>
      </c>
      <c r="M716" s="180">
        <f>C648</f>
        <v>481943929.03999984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151" transitionEvaluation="1" transitionEntry="1" codeName="Sheet10">
    <pageSetUpPr autoPageBreaks="0" fitToPage="1"/>
  </sheetPr>
  <dimension ref="A1:CF719"/>
  <sheetViews>
    <sheetView showGridLines="0" topLeftCell="A151" zoomScale="75" workbookViewId="0">
      <selection activeCell="C171" sqref="C171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26" t="s">
        <v>969</v>
      </c>
      <c r="B1" s="227"/>
      <c r="C1" s="227"/>
      <c r="D1" s="227"/>
      <c r="E1" s="227"/>
      <c r="F1" s="227"/>
    </row>
    <row r="2" spans="1:6" ht="12.75" customHeight="1" x14ac:dyDescent="0.25">
      <c r="A2" s="227" t="s">
        <v>970</v>
      </c>
      <c r="B2" s="227"/>
      <c r="C2" s="228"/>
      <c r="D2" s="227"/>
      <c r="E2" s="227"/>
      <c r="F2" s="227"/>
    </row>
    <row r="3" spans="1:6" ht="12.75" customHeight="1" x14ac:dyDescent="0.25">
      <c r="A3" s="199"/>
      <c r="C3" s="229"/>
    </row>
    <row r="4" spans="1:6" ht="12.75" customHeight="1" x14ac:dyDescent="0.25">
      <c r="C4" s="229"/>
    </row>
    <row r="5" spans="1:6" ht="12.75" customHeight="1" x14ac:dyDescent="0.25">
      <c r="A5" s="199" t="s">
        <v>994</v>
      </c>
      <c r="C5" s="229"/>
    </row>
    <row r="6" spans="1:6" ht="12.75" customHeight="1" x14ac:dyDescent="0.25">
      <c r="A6" s="199" t="s">
        <v>0</v>
      </c>
      <c r="C6" s="229"/>
    </row>
    <row r="7" spans="1:6" ht="12.75" customHeight="1" x14ac:dyDescent="0.25">
      <c r="A7" s="199" t="s">
        <v>1</v>
      </c>
      <c r="C7" s="229"/>
    </row>
    <row r="8" spans="1:6" ht="12.75" customHeight="1" x14ac:dyDescent="0.25">
      <c r="C8" s="229"/>
    </row>
    <row r="9" spans="1:6" ht="12.75" customHeight="1" x14ac:dyDescent="0.25">
      <c r="C9" s="229"/>
    </row>
    <row r="10" spans="1:6" ht="12.75" customHeight="1" x14ac:dyDescent="0.25">
      <c r="A10" s="198" t="s">
        <v>965</v>
      </c>
      <c r="C10" s="229"/>
    </row>
    <row r="11" spans="1:6" ht="12.75" customHeight="1" x14ac:dyDescent="0.25">
      <c r="A11" s="198" t="s">
        <v>968</v>
      </c>
      <c r="C11" s="229"/>
    </row>
    <row r="12" spans="1:6" ht="12.75" customHeight="1" x14ac:dyDescent="0.25">
      <c r="C12" s="229"/>
    </row>
    <row r="13" spans="1:6" ht="12.75" customHeight="1" x14ac:dyDescent="0.25">
      <c r="C13" s="229"/>
    </row>
    <row r="14" spans="1:6" ht="12.75" customHeight="1" x14ac:dyDescent="0.25">
      <c r="A14" s="199" t="s">
        <v>2</v>
      </c>
      <c r="C14" s="229"/>
    </row>
    <row r="15" spans="1:6" ht="12.75" customHeight="1" x14ac:dyDescent="0.25">
      <c r="A15" s="199"/>
      <c r="C15" s="229"/>
    </row>
    <row r="16" spans="1:6" ht="12.75" customHeight="1" x14ac:dyDescent="0.25">
      <c r="A16" s="180" t="s">
        <v>996</v>
      </c>
      <c r="C16" s="229"/>
      <c r="F16" s="268" t="s">
        <v>995</v>
      </c>
    </row>
    <row r="17" spans="1:6" ht="12.75" customHeight="1" x14ac:dyDescent="0.25">
      <c r="A17" s="180" t="s">
        <v>967</v>
      </c>
      <c r="C17" s="268" t="s">
        <v>995</v>
      </c>
    </row>
    <row r="18" spans="1:6" ht="12.75" customHeight="1" x14ac:dyDescent="0.25">
      <c r="A18" s="223"/>
      <c r="C18" s="229"/>
    </row>
    <row r="19" spans="1:6" ht="12.75" customHeight="1" x14ac:dyDescent="0.25">
      <c r="C19" s="229"/>
    </row>
    <row r="20" spans="1:6" ht="12.75" customHeight="1" x14ac:dyDescent="0.25">
      <c r="A20" s="264" t="s">
        <v>971</v>
      </c>
      <c r="B20" s="264"/>
      <c r="C20" s="269"/>
      <c r="D20" s="264"/>
      <c r="E20" s="264"/>
      <c r="F20" s="264"/>
    </row>
    <row r="21" spans="1:6" ht="22.5" customHeight="1" x14ac:dyDescent="0.25">
      <c r="A21" s="199"/>
      <c r="C21" s="229"/>
    </row>
    <row r="22" spans="1:6" ht="12.6" customHeight="1" x14ac:dyDescent="0.25">
      <c r="A22" s="230" t="s">
        <v>991</v>
      </c>
      <c r="B22" s="231"/>
      <c r="C22" s="232"/>
      <c r="D22" s="230"/>
      <c r="E22" s="230"/>
    </row>
    <row r="23" spans="1:6" ht="12.6" customHeight="1" x14ac:dyDescent="0.25">
      <c r="B23" s="199"/>
      <c r="C23" s="229"/>
    </row>
    <row r="24" spans="1:6" ht="12.6" customHeight="1" x14ac:dyDescent="0.25">
      <c r="A24" s="233" t="s">
        <v>3</v>
      </c>
      <c r="C24" s="229"/>
    </row>
    <row r="25" spans="1:6" ht="12.6" customHeight="1" x14ac:dyDescent="0.25">
      <c r="A25" s="198" t="s">
        <v>972</v>
      </c>
      <c r="C25" s="229"/>
    </row>
    <row r="26" spans="1:6" ht="12.6" customHeight="1" x14ac:dyDescent="0.25">
      <c r="A26" s="199" t="s">
        <v>4</v>
      </c>
      <c r="C26" s="229"/>
    </row>
    <row r="27" spans="1:6" ht="12.6" customHeight="1" x14ac:dyDescent="0.25">
      <c r="A27" s="198" t="s">
        <v>973</v>
      </c>
      <c r="C27" s="229"/>
    </row>
    <row r="28" spans="1:6" ht="12.6" customHeight="1" x14ac:dyDescent="0.25">
      <c r="A28" s="199" t="s">
        <v>5</v>
      </c>
      <c r="C28" s="229"/>
    </row>
    <row r="29" spans="1:6" ht="12.6" customHeight="1" x14ac:dyDescent="0.25">
      <c r="A29" s="198"/>
      <c r="C29" s="229"/>
    </row>
    <row r="30" spans="1:6" ht="12.6" customHeight="1" x14ac:dyDescent="0.25">
      <c r="A30" s="180" t="s">
        <v>6</v>
      </c>
      <c r="C30" s="229"/>
    </row>
    <row r="31" spans="1:6" ht="12.6" customHeight="1" x14ac:dyDescent="0.25">
      <c r="A31" s="199" t="s">
        <v>7</v>
      </c>
      <c r="C31" s="229"/>
    </row>
    <row r="32" spans="1:6" ht="12.6" customHeight="1" x14ac:dyDescent="0.25">
      <c r="A32" s="199" t="s">
        <v>8</v>
      </c>
      <c r="C32" s="229"/>
    </row>
    <row r="33" spans="1:83" ht="12.6" customHeight="1" x14ac:dyDescent="0.25">
      <c r="A33" s="198" t="s">
        <v>974</v>
      </c>
      <c r="C33" s="229"/>
    </row>
    <row r="34" spans="1:83" ht="12.6" customHeight="1" x14ac:dyDescent="0.25">
      <c r="A34" s="199" t="s">
        <v>9</v>
      </c>
      <c r="C34" s="229"/>
    </row>
    <row r="35" spans="1:83" ht="12.6" customHeight="1" x14ac:dyDescent="0.25">
      <c r="A35" s="199"/>
      <c r="C35" s="229"/>
    </row>
    <row r="36" spans="1:83" ht="12.6" customHeight="1" x14ac:dyDescent="0.25">
      <c r="A36" s="198" t="s">
        <v>975</v>
      </c>
      <c r="C36" s="229"/>
    </row>
    <row r="37" spans="1:83" ht="12.6" customHeight="1" x14ac:dyDescent="0.25">
      <c r="A37" s="199" t="s">
        <v>966</v>
      </c>
      <c r="C37" s="229"/>
    </row>
    <row r="38" spans="1:83" ht="12" customHeight="1" x14ac:dyDescent="0.25">
      <c r="A38" s="198"/>
      <c r="C38" s="229"/>
    </row>
    <row r="39" spans="1:83" ht="12.6" customHeight="1" x14ac:dyDescent="0.25">
      <c r="A39" s="199"/>
      <c r="C39" s="229"/>
    </row>
    <row r="40" spans="1:83" ht="12" customHeight="1" x14ac:dyDescent="0.25">
      <c r="A40" s="199"/>
      <c r="C40" s="229"/>
    </row>
    <row r="41" spans="1:83" ht="12" customHeight="1" x14ac:dyDescent="0.25">
      <c r="A41" s="199"/>
      <c r="C41" s="234"/>
      <c r="D41" s="235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R41" s="234"/>
      <c r="S41" s="234"/>
      <c r="T41" s="234"/>
      <c r="U41" s="234"/>
      <c r="V41" s="234"/>
      <c r="W41" s="234"/>
      <c r="X41" s="234"/>
      <c r="Y41" s="234"/>
      <c r="Z41" s="234"/>
      <c r="AA41" s="234"/>
      <c r="AB41" s="234"/>
      <c r="AC41" s="234"/>
      <c r="AD41" s="234"/>
      <c r="AE41" s="234"/>
      <c r="AF41" s="234"/>
      <c r="AG41" s="234"/>
      <c r="AH41" s="234"/>
      <c r="AI41" s="234"/>
      <c r="AJ41" s="234"/>
      <c r="AK41" s="234"/>
      <c r="AL41" s="234"/>
      <c r="AM41" s="234"/>
      <c r="AN41" s="234"/>
      <c r="AO41" s="234"/>
      <c r="AP41" s="234"/>
      <c r="AQ41" s="234"/>
      <c r="AR41" s="234"/>
      <c r="AS41" s="234"/>
      <c r="AT41" s="234"/>
      <c r="AU41" s="234"/>
      <c r="AV41" s="234"/>
      <c r="AW41" s="234"/>
      <c r="AX41" s="234"/>
      <c r="AY41" s="234"/>
      <c r="AZ41" s="234"/>
      <c r="BA41" s="234"/>
      <c r="BB41" s="234"/>
      <c r="BC41" s="234"/>
      <c r="BD41" s="234"/>
      <c r="BE41" s="234"/>
      <c r="BF41" s="234"/>
      <c r="BG41" s="234"/>
      <c r="BH41" s="234"/>
      <c r="BI41" s="234"/>
      <c r="BJ41" s="234"/>
      <c r="BK41" s="234"/>
      <c r="BL41" s="234"/>
      <c r="BM41" s="234"/>
      <c r="BN41" s="234"/>
      <c r="BO41" s="234"/>
      <c r="BP41" s="234"/>
      <c r="BQ41" s="234"/>
      <c r="BR41" s="234"/>
      <c r="BS41" s="234"/>
      <c r="BT41" s="234"/>
      <c r="BU41" s="234"/>
      <c r="BV41" s="234"/>
      <c r="BW41" s="234"/>
      <c r="BX41" s="234"/>
      <c r="BY41" s="234"/>
      <c r="BZ41" s="234"/>
      <c r="CA41" s="234"/>
      <c r="CB41" s="234"/>
      <c r="CC41" s="234"/>
    </row>
    <row r="42" spans="1:83" ht="12" customHeight="1" x14ac:dyDescent="0.25">
      <c r="A42" s="199"/>
      <c r="C42" s="234"/>
      <c r="D42" s="235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34"/>
      <c r="Y42" s="234"/>
      <c r="Z42" s="234"/>
      <c r="AA42" s="234"/>
      <c r="AB42" s="234"/>
      <c r="AC42" s="234"/>
      <c r="AD42" s="234"/>
      <c r="AE42" s="234"/>
      <c r="AF42" s="234"/>
      <c r="AG42" s="234"/>
      <c r="AH42" s="234"/>
      <c r="AI42" s="234"/>
      <c r="AJ42" s="234"/>
      <c r="AK42" s="234"/>
      <c r="AL42" s="234"/>
      <c r="AM42" s="234"/>
      <c r="AN42" s="234"/>
      <c r="AO42" s="234"/>
      <c r="AP42" s="234"/>
      <c r="AQ42" s="234"/>
      <c r="AR42" s="234"/>
      <c r="AS42" s="234"/>
      <c r="AT42" s="234"/>
      <c r="AU42" s="234"/>
      <c r="AV42" s="234"/>
      <c r="AW42" s="234"/>
      <c r="AX42" s="234"/>
      <c r="AY42" s="234"/>
      <c r="AZ42" s="234"/>
      <c r="BA42" s="234"/>
      <c r="BB42" s="234"/>
      <c r="BC42" s="234"/>
      <c r="BD42" s="234"/>
      <c r="BE42" s="234"/>
      <c r="BF42" s="234"/>
      <c r="BG42" s="234"/>
      <c r="BH42" s="234"/>
      <c r="BI42" s="234"/>
      <c r="BJ42" s="234"/>
      <c r="BK42" s="234"/>
      <c r="BL42" s="234"/>
      <c r="BM42" s="234"/>
      <c r="BN42" s="234"/>
      <c r="BO42" s="234"/>
      <c r="BP42" s="234"/>
      <c r="BQ42" s="234"/>
      <c r="BR42" s="234"/>
      <c r="BS42" s="234"/>
      <c r="BT42" s="234"/>
      <c r="BU42" s="234"/>
      <c r="BV42" s="234"/>
      <c r="BW42" s="234"/>
      <c r="BX42" s="234"/>
      <c r="BY42" s="234"/>
      <c r="BZ42" s="234"/>
      <c r="CA42" s="234"/>
      <c r="CB42" s="234"/>
      <c r="CC42" s="234"/>
      <c r="CD42" s="236"/>
    </row>
    <row r="43" spans="1:83" ht="12" customHeight="1" x14ac:dyDescent="0.25">
      <c r="A43" s="199"/>
      <c r="C43" s="229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37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931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151142020</v>
      </c>
      <c r="C48" s="238">
        <f>ROUND(((B48/CE61)*C61),0)</f>
        <v>9462669</v>
      </c>
      <c r="D48" s="238">
        <f>ROUND(((B48/CE61)*D61),0)</f>
        <v>0</v>
      </c>
      <c r="E48" s="195">
        <f>ROUND(((B48/CE61)*E61),0)</f>
        <v>12468672</v>
      </c>
      <c r="F48" s="195">
        <f>ROUND(((B48/CE61)*F61),0)</f>
        <v>0</v>
      </c>
      <c r="G48" s="195">
        <f>ROUND(((B48/CE61)*G61),0)</f>
        <v>805336</v>
      </c>
      <c r="H48" s="195">
        <f>ROUND(((B48/CE61)*H61),0)</f>
        <v>2305420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4487598</v>
      </c>
      <c r="Q48" s="195">
        <f>ROUND(((B48/CE61)*Q61),0)</f>
        <v>1777300</v>
      </c>
      <c r="R48" s="195">
        <f>ROUND(((B48/CE61)*R61),0)</f>
        <v>364122</v>
      </c>
      <c r="S48" s="195">
        <f>ROUND(((B48/CE61)*S61),0)</f>
        <v>1231189</v>
      </c>
      <c r="T48" s="195">
        <f>ROUND(((B48/CE61)*T61),0)</f>
        <v>104295</v>
      </c>
      <c r="U48" s="195">
        <f>ROUND(((B48/CE61)*U61),0)</f>
        <v>4763619</v>
      </c>
      <c r="V48" s="195">
        <f>ROUND(((B48/CE61)*V61),0)</f>
        <v>1401415</v>
      </c>
      <c r="W48" s="195">
        <f>ROUND(((B48/CE61)*W61),0)</f>
        <v>291315</v>
      </c>
      <c r="X48" s="195">
        <f>ROUND(((B48/CE61)*X61),0)</f>
        <v>282350</v>
      </c>
      <c r="Y48" s="195">
        <f>ROUND(((B48/CE61)*Y61),0)</f>
        <v>2279195</v>
      </c>
      <c r="Z48" s="195">
        <f>ROUND(((B48/CE61)*Z61),0)</f>
        <v>0</v>
      </c>
      <c r="AA48" s="195">
        <f>ROUND(((B48/CE61)*AA61),0)</f>
        <v>119806</v>
      </c>
      <c r="AB48" s="195">
        <f>ROUND(((B48/CE61)*AB61),0)</f>
        <v>5111660</v>
      </c>
      <c r="AC48" s="195">
        <f>ROUND(((B48/CE61)*AC61),0)</f>
        <v>2403234</v>
      </c>
      <c r="AD48" s="195">
        <f>ROUND(((B48/CE61)*AD61),0)</f>
        <v>972693</v>
      </c>
      <c r="AE48" s="195">
        <f>ROUND(((B48/CE61)*AE61),0)</f>
        <v>1239135</v>
      </c>
      <c r="AF48" s="195">
        <f>ROUND(((B48/CE61)*AF61),0)</f>
        <v>2359696</v>
      </c>
      <c r="AG48" s="195">
        <f>ROUND(((B48/CE61)*AG61),0)</f>
        <v>2831894</v>
      </c>
      <c r="AH48" s="195">
        <f>ROUND(((B48/CE61)*AH61),0)</f>
        <v>491891</v>
      </c>
      <c r="AI48" s="195">
        <f>ROUND(((B48/CE61)*AI61),0)</f>
        <v>0</v>
      </c>
      <c r="AJ48" s="195">
        <f>ROUND(((B48/CE61)*AJ61),0)</f>
        <v>19597099</v>
      </c>
      <c r="AK48" s="195">
        <f>ROUND(((B48/CE61)*AK61),0)</f>
        <v>494964</v>
      </c>
      <c r="AL48" s="195">
        <f>ROUND(((B48/CE61)*AL61),0)</f>
        <v>451925</v>
      </c>
      <c r="AM48" s="195">
        <f>ROUND(((B48/CE61)*AM61),0)</f>
        <v>487170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1349846</v>
      </c>
      <c r="AS48" s="195">
        <f>ROUND(((B48/CE61)*AS61),0)</f>
        <v>0</v>
      </c>
      <c r="AT48" s="195">
        <f>ROUND(((B48/CE61)*AT61),0)</f>
        <v>102984</v>
      </c>
      <c r="AU48" s="195">
        <f>ROUND(((B48/CE61)*AU61),0)</f>
        <v>0</v>
      </c>
      <c r="AV48" s="195">
        <f>ROUND(((B48/CE61)*AV61),0)</f>
        <v>1066437</v>
      </c>
      <c r="AW48" s="195">
        <f>ROUND(((B48/CE61)*AW61),0)</f>
        <v>15478079</v>
      </c>
      <c r="AX48" s="195">
        <f>ROUND(((B48/CE61)*AX61),0)</f>
        <v>0</v>
      </c>
      <c r="AY48" s="195">
        <f>ROUND(((B48/CE61)*AY61),0)</f>
        <v>2841086</v>
      </c>
      <c r="AZ48" s="195">
        <f>ROUND(((B48/CE61)*AZ61),0)</f>
        <v>28966</v>
      </c>
      <c r="BA48" s="195">
        <f>ROUND(((B48/CE61)*BA61),0)</f>
        <v>45561</v>
      </c>
      <c r="BB48" s="195">
        <f>ROUND(((B48/CE61)*BB61),0)</f>
        <v>2323032</v>
      </c>
      <c r="BC48" s="195">
        <f>ROUND(((B48/CE61)*BC61),0)</f>
        <v>58782</v>
      </c>
      <c r="BD48" s="195">
        <f>ROUND(((B48/CE61)*BD61),0)</f>
        <v>471984</v>
      </c>
      <c r="BE48" s="195">
        <f>ROUND(((B48/CE61)*BE61),0)</f>
        <v>3610759</v>
      </c>
      <c r="BF48" s="195">
        <f>ROUND(((B48/CE61)*BF61),0)</f>
        <v>1736977</v>
      </c>
      <c r="BG48" s="195">
        <f>ROUND(((B48/CE61)*BG61),0)</f>
        <v>447496</v>
      </c>
      <c r="BH48" s="195">
        <f>ROUND(((B48/CE61)*BH61),0)</f>
        <v>7666592</v>
      </c>
      <c r="BI48" s="195">
        <f>ROUND(((B48/CE61)*BI61),0)</f>
        <v>1367658</v>
      </c>
      <c r="BJ48" s="195">
        <f>ROUND(((B48/CE61)*BJ61),0)</f>
        <v>1357816</v>
      </c>
      <c r="BK48" s="195">
        <f>ROUND(((B48/CE61)*BK61),0)</f>
        <v>3340402</v>
      </c>
      <c r="BL48" s="195">
        <f>ROUND(((B48/CE61)*BL61),0)</f>
        <v>1443593</v>
      </c>
      <c r="BM48" s="195">
        <f>ROUND(((B48/CE61)*BM61),0)</f>
        <v>0</v>
      </c>
      <c r="BN48" s="195">
        <f>ROUND(((B48/CE61)*BN61),0)</f>
        <v>3780784</v>
      </c>
      <c r="BO48" s="195">
        <f>ROUND(((B48/CE61)*BO61),0)</f>
        <v>325687</v>
      </c>
      <c r="BP48" s="195">
        <f>ROUND(((B48/CE61)*BP61),0)</f>
        <v>828754</v>
      </c>
      <c r="BQ48" s="195">
        <f>ROUND(((B48/CE61)*BQ61),0)</f>
        <v>1027806</v>
      </c>
      <c r="BR48" s="195">
        <f>ROUND(((B48/CE61)*BR61),0)</f>
        <v>1852625</v>
      </c>
      <c r="BS48" s="195">
        <f>ROUND(((B48/CE61)*BS61),0)</f>
        <v>91850</v>
      </c>
      <c r="BT48" s="195">
        <f>ROUND(((B48/CE61)*BT61),0)</f>
        <v>167895</v>
      </c>
      <c r="BU48" s="195">
        <f>ROUND(((B48/CE61)*BU61),0)</f>
        <v>62619</v>
      </c>
      <c r="BV48" s="195">
        <f>ROUND(((B48/CE61)*BV61),0)</f>
        <v>1038036</v>
      </c>
      <c r="BW48" s="195">
        <f>ROUND(((B48/CE61)*BW61),0)</f>
        <v>540469</v>
      </c>
      <c r="BX48" s="195">
        <f>ROUND(((B48/CE61)*BX61),0)</f>
        <v>2419150</v>
      </c>
      <c r="BY48" s="195">
        <f>ROUND(((B48/CE61)*BY61),0)</f>
        <v>1433696</v>
      </c>
      <c r="BZ48" s="195">
        <f>ROUND(((B48/CE61)*BZ61),0)</f>
        <v>1468784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12780155</v>
      </c>
      <c r="CD48" s="195"/>
      <c r="CE48" s="195">
        <f>SUM(C48:CD48)</f>
        <v>151142022</v>
      </c>
    </row>
    <row r="49" spans="1:84" ht="12.6" customHeight="1" x14ac:dyDescent="0.25">
      <c r="A49" s="175" t="s">
        <v>206</v>
      </c>
      <c r="B49" s="195">
        <f>B47+B48</f>
        <v>151142020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87171809.010000005</v>
      </c>
      <c r="C52" s="195">
        <f>ROUND((B52/(CE76+CF76)*C76),0)</f>
        <v>4668482</v>
      </c>
      <c r="D52" s="195">
        <f>ROUND((B52/(CE76+CF76)*D76),0)</f>
        <v>0</v>
      </c>
      <c r="E52" s="195">
        <f>ROUND((B52/(CE76+CF76)*E76),0)</f>
        <v>13911146</v>
      </c>
      <c r="F52" s="195">
        <f>ROUND((B52/(CE76+CF76)*F76),0)</f>
        <v>0</v>
      </c>
      <c r="G52" s="195">
        <f>ROUND((B52/(CE76+CF76)*G76),0)</f>
        <v>751757</v>
      </c>
      <c r="H52" s="195">
        <f>ROUND((B52/(CE76+CF76)*H76),0)</f>
        <v>3868418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6266884</v>
      </c>
      <c r="Q52" s="195">
        <f>ROUND((B52/(CE76+CF76)*Q76),0)</f>
        <v>616103</v>
      </c>
      <c r="R52" s="195">
        <f>ROUND((B52/(CE76+CF76)*R76),0)</f>
        <v>477558</v>
      </c>
      <c r="S52" s="195">
        <f>ROUND((B52/(CE76+CF76)*S76),0)</f>
        <v>2116182</v>
      </c>
      <c r="T52" s="195">
        <f>ROUND((B52/(CE76+CF76)*T76),0)</f>
        <v>30018</v>
      </c>
      <c r="U52" s="195">
        <f>ROUND((B52/(CE76+CF76)*U76),0)</f>
        <v>2777890</v>
      </c>
      <c r="V52" s="195">
        <f>ROUND((B52/(CE76+CF76)*V76),0)</f>
        <v>343924</v>
      </c>
      <c r="W52" s="195">
        <f>ROUND((B52/(CE76+CF76)*W76),0)</f>
        <v>0</v>
      </c>
      <c r="X52" s="195">
        <f>ROUND((B52/(CE76+CF76)*X76),0)</f>
        <v>261553</v>
      </c>
      <c r="Y52" s="195">
        <f>ROUND((B52/(CE76+CF76)*Y76),0)</f>
        <v>3280020</v>
      </c>
      <c r="Z52" s="195">
        <f>ROUND((B52/(CE76+CF76)*Z76),0)</f>
        <v>24414</v>
      </c>
      <c r="AA52" s="195">
        <f>ROUND((B52/(CE76+CF76)*AA76),0)</f>
        <v>139516</v>
      </c>
      <c r="AB52" s="195">
        <f>ROUND((B52/(CE76+CF76)*AB76),0)</f>
        <v>1051747</v>
      </c>
      <c r="AC52" s="195">
        <f>ROUND((B52/(CE76+CF76)*AC76),0)</f>
        <v>319319</v>
      </c>
      <c r="AD52" s="195">
        <f>ROUND((B52/(CE76+CF76)*AD76),0)</f>
        <v>303967</v>
      </c>
      <c r="AE52" s="195">
        <f>ROUND((B52/(CE76+CF76)*AE76),0)</f>
        <v>709937</v>
      </c>
      <c r="AF52" s="195">
        <f>ROUND((B52/(CE76+CF76)*AF76),0)</f>
        <v>676471</v>
      </c>
      <c r="AG52" s="195">
        <f>ROUND((B52/(CE76+CF76)*AG76),0)</f>
        <v>2092869</v>
      </c>
      <c r="AH52" s="195">
        <f>ROUND((B52/(CE76+CF76)*AH76),0)</f>
        <v>13363</v>
      </c>
      <c r="AI52" s="195">
        <f>ROUND((B52/(CE76+CF76)*AI76),0)</f>
        <v>0</v>
      </c>
      <c r="AJ52" s="195">
        <f>ROUND((B52/(CE76+CF76)*AJ76),0)</f>
        <v>11910047</v>
      </c>
      <c r="AK52" s="195">
        <f>ROUND((B52/(CE76+CF76)*AK76),0)</f>
        <v>235361</v>
      </c>
      <c r="AL52" s="195">
        <f>ROUND((B52/(CE76+CF76)*AL76),0)</f>
        <v>176061</v>
      </c>
      <c r="AM52" s="195">
        <f>ROUND((B52/(CE76+CF76)*AM76),0)</f>
        <v>420929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6225</v>
      </c>
      <c r="AU52" s="195">
        <f>ROUND((B52/(CE76+CF76)*AU76),0)</f>
        <v>0</v>
      </c>
      <c r="AV52" s="195">
        <f>ROUND((B52/(CE76+CF76)*AV76),0)</f>
        <v>42195</v>
      </c>
      <c r="AW52" s="195">
        <f>ROUND((B52/(CE76+CF76)*AW76),0)</f>
        <v>347497</v>
      </c>
      <c r="AX52" s="195">
        <f>ROUND((B52/(CE76+CF76)*AX76),0)</f>
        <v>0</v>
      </c>
      <c r="AY52" s="195">
        <f>ROUND((B52/(CE76+CF76)*AY76),0)</f>
        <v>2188772</v>
      </c>
      <c r="AZ52" s="195">
        <f>ROUND((B52/(CE76+CF76)*AZ76),0)</f>
        <v>501113</v>
      </c>
      <c r="BA52" s="195">
        <f>ROUND((B52/(CE76+CF76)*BA76),0)</f>
        <v>0</v>
      </c>
      <c r="BB52" s="195">
        <f>ROUND((B52/(CE76+CF76)*BB76),0)</f>
        <v>828404</v>
      </c>
      <c r="BC52" s="195">
        <f>ROUND((B52/(CE76+CF76)*BC76),0)</f>
        <v>0</v>
      </c>
      <c r="BD52" s="195">
        <f>ROUND((B52/(CE76+CF76)*BD76),0)</f>
        <v>379288</v>
      </c>
      <c r="BE52" s="195">
        <f>ROUND((B52/(CE76+CF76)*BE76),0)</f>
        <v>9527087</v>
      </c>
      <c r="BF52" s="195">
        <f>ROUND((B52/(CE76+CF76)*BF76),0)</f>
        <v>400220</v>
      </c>
      <c r="BG52" s="195">
        <f>ROUND((B52/(CE76+CF76)*BG76),0)</f>
        <v>86051</v>
      </c>
      <c r="BH52" s="195">
        <f>ROUND((B52/(CE76+CF76)*BH76),0)</f>
        <v>3094202</v>
      </c>
      <c r="BI52" s="195">
        <f>ROUND((B52/(CE76+CF76)*BI76),0)</f>
        <v>72724</v>
      </c>
      <c r="BJ52" s="195">
        <f>ROUND((B52/(CE76+CF76)*BJ76),0)</f>
        <v>13910</v>
      </c>
      <c r="BK52" s="195">
        <f>ROUND((B52/(CE76+CF76)*BK76),0)</f>
        <v>24178</v>
      </c>
      <c r="BL52" s="195">
        <f>ROUND((B52/(CE76+CF76)*BL76),0)</f>
        <v>71208</v>
      </c>
      <c r="BM52" s="195">
        <f>ROUND((B52/(CE76+CF76)*BM76),0)</f>
        <v>0</v>
      </c>
      <c r="BN52" s="195">
        <f>ROUND((B52/(CE76+CF76)*BN76),0)</f>
        <v>3453223</v>
      </c>
      <c r="BO52" s="195">
        <f>ROUND((B52/(CE76+CF76)*BO76),0)</f>
        <v>0</v>
      </c>
      <c r="BP52" s="195">
        <f>ROUND((B52/(CE76+CF76)*BP76),0)</f>
        <v>502002</v>
      </c>
      <c r="BQ52" s="195">
        <f>ROUND((B52/(CE76+CF76)*BQ76),0)</f>
        <v>215388</v>
      </c>
      <c r="BR52" s="195">
        <f>ROUND((B52/(CE76+CF76)*BR76),0)</f>
        <v>817536</v>
      </c>
      <c r="BS52" s="195">
        <f>ROUND((B52/(CE76+CF76)*BS76),0)</f>
        <v>179301</v>
      </c>
      <c r="BT52" s="195">
        <f>ROUND((B52/(CE76+CF76)*BT76),0)</f>
        <v>102802</v>
      </c>
      <c r="BU52" s="195">
        <f>ROUND((B52/(CE76+CF76)*BU76),0)</f>
        <v>258203</v>
      </c>
      <c r="BV52" s="195">
        <f>ROUND((B52/(CE76+CF76)*BV76),0)</f>
        <v>894197</v>
      </c>
      <c r="BW52" s="195">
        <f>ROUND((B52/(CE76+CF76)*BW76),0)</f>
        <v>2734765</v>
      </c>
      <c r="BX52" s="195">
        <f>ROUND((B52/(CE76+CF76)*BX76),0)</f>
        <v>231958</v>
      </c>
      <c r="BY52" s="195">
        <f>ROUND((B52/(CE76+CF76)*BY76),0)</f>
        <v>312775</v>
      </c>
      <c r="BZ52" s="195">
        <f>ROUND((B52/(CE76+CF76)*BZ76),0)</f>
        <v>150381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2292244</v>
      </c>
      <c r="CD52" s="195"/>
      <c r="CE52" s="195">
        <f>SUM(C52:CD52)</f>
        <v>87171785</v>
      </c>
    </row>
    <row r="53" spans="1:84" ht="12.6" customHeight="1" x14ac:dyDescent="0.25">
      <c r="A53" s="175" t="s">
        <v>206</v>
      </c>
      <c r="B53" s="195">
        <f>B51+B52</f>
        <v>87171809.010000005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39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931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37" t="s">
        <v>220</v>
      </c>
      <c r="S58" s="240" t="s">
        <v>221</v>
      </c>
      <c r="T58" s="240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0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949</v>
      </c>
      <c r="AU58" s="170" t="s">
        <v>228</v>
      </c>
      <c r="AV58" s="240" t="s">
        <v>221</v>
      </c>
      <c r="AW58" s="240" t="s">
        <v>221</v>
      </c>
      <c r="AX58" s="240" t="s">
        <v>221</v>
      </c>
      <c r="AY58" s="170" t="s">
        <v>231</v>
      </c>
      <c r="AZ58" s="170" t="s">
        <v>231</v>
      </c>
      <c r="BA58" s="240" t="s">
        <v>221</v>
      </c>
      <c r="BB58" s="240" t="s">
        <v>221</v>
      </c>
      <c r="BC58" s="240" t="s">
        <v>221</v>
      </c>
      <c r="BD58" s="240" t="s">
        <v>221</v>
      </c>
      <c r="BE58" s="170" t="s">
        <v>232</v>
      </c>
      <c r="BF58" s="240" t="s">
        <v>221</v>
      </c>
      <c r="BG58" s="240" t="s">
        <v>221</v>
      </c>
      <c r="BH58" s="240" t="s">
        <v>221</v>
      </c>
      <c r="BI58" s="240" t="s">
        <v>221</v>
      </c>
      <c r="BJ58" s="240" t="s">
        <v>221</v>
      </c>
      <c r="BK58" s="240" t="s">
        <v>221</v>
      </c>
      <c r="BL58" s="240" t="s">
        <v>221</v>
      </c>
      <c r="BM58" s="240" t="s">
        <v>221</v>
      </c>
      <c r="BN58" s="240" t="s">
        <v>221</v>
      </c>
      <c r="BO58" s="240" t="s">
        <v>221</v>
      </c>
      <c r="BP58" s="240" t="s">
        <v>221</v>
      </c>
      <c r="BQ58" s="240" t="s">
        <v>221</v>
      </c>
      <c r="BR58" s="240" t="s">
        <v>221</v>
      </c>
      <c r="BS58" s="240" t="s">
        <v>221</v>
      </c>
      <c r="BT58" s="240" t="s">
        <v>221</v>
      </c>
      <c r="BU58" s="240" t="s">
        <v>221</v>
      </c>
      <c r="BV58" s="240" t="s">
        <v>221</v>
      </c>
      <c r="BW58" s="240" t="s">
        <v>221</v>
      </c>
      <c r="BX58" s="240" t="s">
        <v>221</v>
      </c>
      <c r="BY58" s="240" t="s">
        <v>221</v>
      </c>
      <c r="BZ58" s="240" t="s">
        <v>221</v>
      </c>
      <c r="CA58" s="240" t="s">
        <v>221</v>
      </c>
      <c r="CB58" s="240" t="s">
        <v>221</v>
      </c>
      <c r="CC58" s="240" t="s">
        <v>221</v>
      </c>
      <c r="CD58" s="240" t="s">
        <v>221</v>
      </c>
      <c r="CE58" s="240" t="s">
        <v>221</v>
      </c>
    </row>
    <row r="59" spans="1:84" ht="12.6" customHeight="1" x14ac:dyDescent="0.25">
      <c r="A59" s="171" t="s">
        <v>233</v>
      </c>
      <c r="B59" s="175"/>
      <c r="C59" s="184">
        <v>26349</v>
      </c>
      <c r="D59" s="184"/>
      <c r="E59" s="184">
        <v>64221</v>
      </c>
      <c r="F59" s="184"/>
      <c r="G59" s="184">
        <v>3304</v>
      </c>
      <c r="H59" s="184">
        <v>12292</v>
      </c>
      <c r="I59" s="184"/>
      <c r="J59" s="184"/>
      <c r="K59" s="184"/>
      <c r="L59" s="184"/>
      <c r="M59" s="184"/>
      <c r="N59" s="184"/>
      <c r="O59" s="184"/>
      <c r="P59" s="185">
        <v>1629865</v>
      </c>
      <c r="Q59" s="185">
        <v>1304740</v>
      </c>
      <c r="R59" s="185">
        <v>2289260</v>
      </c>
      <c r="S59" s="241"/>
      <c r="T59" s="241"/>
      <c r="U59" s="220">
        <v>1348167</v>
      </c>
      <c r="V59" s="185">
        <v>38896</v>
      </c>
      <c r="W59" s="185">
        <v>177339</v>
      </c>
      <c r="X59" s="185">
        <v>70089</v>
      </c>
      <c r="Y59" s="185">
        <v>169839</v>
      </c>
      <c r="Z59" s="185">
        <v>0</v>
      </c>
      <c r="AA59" s="185">
        <v>6140</v>
      </c>
      <c r="AB59" s="241"/>
      <c r="AC59" s="185">
        <v>211798</v>
      </c>
      <c r="AD59" s="185">
        <v>12851</v>
      </c>
      <c r="AE59" s="185">
        <v>168042</v>
      </c>
      <c r="AF59" s="185">
        <v>46771</v>
      </c>
      <c r="AG59" s="185">
        <v>50644</v>
      </c>
      <c r="AH59" s="185">
        <v>568</v>
      </c>
      <c r="AI59" s="185"/>
      <c r="AJ59" s="185">
        <v>326826</v>
      </c>
      <c r="AK59" s="185">
        <v>67850</v>
      </c>
      <c r="AL59" s="185">
        <v>50189</v>
      </c>
      <c r="AM59" s="185">
        <v>0</v>
      </c>
      <c r="AN59" s="185"/>
      <c r="AO59" s="185"/>
      <c r="AP59" s="185"/>
      <c r="AQ59" s="185"/>
      <c r="AR59" s="185">
        <v>55812</v>
      </c>
      <c r="AS59" s="185"/>
      <c r="AT59" s="185">
        <v>62</v>
      </c>
      <c r="AU59" s="185"/>
      <c r="AV59" s="241"/>
      <c r="AW59" s="241"/>
      <c r="AX59" s="241"/>
      <c r="AY59" s="185">
        <v>1092264</v>
      </c>
      <c r="AZ59" s="185">
        <v>1092264</v>
      </c>
      <c r="BA59" s="241"/>
      <c r="BB59" s="241"/>
      <c r="BC59" s="241"/>
      <c r="BD59" s="241"/>
      <c r="BE59" s="185">
        <v>1387128</v>
      </c>
      <c r="BF59" s="241"/>
      <c r="BG59" s="241"/>
      <c r="BH59" s="241"/>
      <c r="BI59" s="241"/>
      <c r="BJ59" s="241"/>
      <c r="BK59" s="241"/>
      <c r="BL59" s="241"/>
      <c r="BM59" s="241"/>
      <c r="BN59" s="241"/>
      <c r="BO59" s="241"/>
      <c r="BP59" s="241"/>
      <c r="BQ59" s="241"/>
      <c r="BR59" s="241"/>
      <c r="BS59" s="241"/>
      <c r="BT59" s="241"/>
      <c r="BU59" s="241"/>
      <c r="BV59" s="241"/>
      <c r="BW59" s="241"/>
      <c r="BX59" s="241"/>
      <c r="BY59" s="241"/>
      <c r="BZ59" s="241"/>
      <c r="CA59" s="241"/>
      <c r="CB59" s="241"/>
      <c r="CC59" s="241"/>
      <c r="CD59" s="242"/>
      <c r="CE59" s="195"/>
    </row>
    <row r="60" spans="1:84" ht="12.6" customHeight="1" x14ac:dyDescent="0.25">
      <c r="A60" s="243" t="s">
        <v>234</v>
      </c>
      <c r="B60" s="175"/>
      <c r="C60" s="186">
        <v>400.06</v>
      </c>
      <c r="D60" s="187"/>
      <c r="E60" s="187">
        <v>538.78</v>
      </c>
      <c r="F60" s="219"/>
      <c r="G60" s="187">
        <v>31.19</v>
      </c>
      <c r="H60" s="187">
        <v>126.15</v>
      </c>
      <c r="I60" s="187"/>
      <c r="J60" s="219"/>
      <c r="K60" s="187"/>
      <c r="L60" s="187"/>
      <c r="M60" s="187"/>
      <c r="N60" s="187"/>
      <c r="O60" s="187"/>
      <c r="P60" s="217">
        <v>194.78</v>
      </c>
      <c r="Q60" s="217">
        <v>66.290000000000006</v>
      </c>
      <c r="R60" s="217">
        <v>21.56</v>
      </c>
      <c r="S60" s="217">
        <v>79.62</v>
      </c>
      <c r="T60" s="217">
        <v>11.17</v>
      </c>
      <c r="U60" s="217">
        <v>196.53</v>
      </c>
      <c r="V60" s="217">
        <v>59.96</v>
      </c>
      <c r="W60" s="217">
        <v>9.08</v>
      </c>
      <c r="X60" s="217">
        <v>9.8000000000000007</v>
      </c>
      <c r="Y60" s="217">
        <v>93.98</v>
      </c>
      <c r="Z60" s="217">
        <v>0</v>
      </c>
      <c r="AA60" s="217">
        <v>3.85</v>
      </c>
      <c r="AB60" s="217">
        <v>188.2</v>
      </c>
      <c r="AC60" s="217">
        <v>109.2</v>
      </c>
      <c r="AD60" s="217">
        <v>35.92</v>
      </c>
      <c r="AE60" s="217">
        <v>56.71</v>
      </c>
      <c r="AF60" s="217">
        <v>108.45</v>
      </c>
      <c r="AG60" s="217">
        <v>114.32</v>
      </c>
      <c r="AH60" s="217">
        <v>16.21</v>
      </c>
      <c r="AI60" s="217"/>
      <c r="AJ60" s="217">
        <v>804.91</v>
      </c>
      <c r="AK60" s="217">
        <v>21.17</v>
      </c>
      <c r="AL60" s="217">
        <v>18.95</v>
      </c>
      <c r="AM60" s="217">
        <v>27.18</v>
      </c>
      <c r="AN60" s="217"/>
      <c r="AO60" s="217"/>
      <c r="AP60" s="217"/>
      <c r="AQ60" s="217"/>
      <c r="AR60" s="217">
        <v>64.92</v>
      </c>
      <c r="AS60" s="217"/>
      <c r="AT60" s="217">
        <v>3.39</v>
      </c>
      <c r="AU60" s="217"/>
      <c r="AV60" s="217">
        <v>49.7</v>
      </c>
      <c r="AW60" s="217">
        <v>801.56</v>
      </c>
      <c r="AX60" s="217">
        <v>0</v>
      </c>
      <c r="AY60" s="217">
        <v>172.5</v>
      </c>
      <c r="AZ60" s="217">
        <v>2.62</v>
      </c>
      <c r="BA60" s="217">
        <v>3.91</v>
      </c>
      <c r="BB60" s="217">
        <v>114.02</v>
      </c>
      <c r="BC60" s="217">
        <v>5.23</v>
      </c>
      <c r="BD60" s="217">
        <v>24.64</v>
      </c>
      <c r="BE60" s="217">
        <v>194.72</v>
      </c>
      <c r="BF60" s="217">
        <v>150.58000000000001</v>
      </c>
      <c r="BG60" s="217">
        <v>24.39</v>
      </c>
      <c r="BH60" s="217">
        <v>254.57</v>
      </c>
      <c r="BI60" s="217">
        <v>40.21</v>
      </c>
      <c r="BJ60" s="217">
        <v>54.5</v>
      </c>
      <c r="BK60" s="217">
        <v>182.16</v>
      </c>
      <c r="BL60" s="217">
        <v>101.95</v>
      </c>
      <c r="BM60" s="217"/>
      <c r="BN60" s="217">
        <v>77.709999999999994</v>
      </c>
      <c r="BO60" s="217">
        <v>13.13</v>
      </c>
      <c r="BP60" s="217">
        <v>37.72</v>
      </c>
      <c r="BQ60" s="217">
        <v>37.5</v>
      </c>
      <c r="BR60" s="217">
        <v>63.95</v>
      </c>
      <c r="BS60" s="217">
        <v>5.32</v>
      </c>
      <c r="BT60" s="217">
        <v>6.84</v>
      </c>
      <c r="BU60" s="217">
        <v>2.79</v>
      </c>
      <c r="BV60" s="217">
        <v>60.45</v>
      </c>
      <c r="BW60" s="217">
        <v>24.41</v>
      </c>
      <c r="BX60" s="217">
        <v>90.03</v>
      </c>
      <c r="BY60" s="217">
        <v>48.26</v>
      </c>
      <c r="BZ60" s="217">
        <v>84.67</v>
      </c>
      <c r="CA60" s="217"/>
      <c r="CB60" s="217"/>
      <c r="CC60" s="217">
        <v>225.44</v>
      </c>
      <c r="CD60" s="242" t="s">
        <v>221</v>
      </c>
      <c r="CE60" s="244">
        <f t="shared" ref="CE60:CE70" si="0">SUM(C60:CD60)</f>
        <v>6367.8099999999986</v>
      </c>
    </row>
    <row r="61" spans="1:84" ht="12.6" customHeight="1" x14ac:dyDescent="0.25">
      <c r="A61" s="171" t="s">
        <v>235</v>
      </c>
      <c r="B61" s="175"/>
      <c r="C61" s="184">
        <v>36477349</v>
      </c>
      <c r="D61" s="184"/>
      <c r="E61" s="184">
        <v>48065097</v>
      </c>
      <c r="F61" s="185"/>
      <c r="G61" s="184">
        <v>3104464</v>
      </c>
      <c r="H61" s="184">
        <v>8887094</v>
      </c>
      <c r="I61" s="185"/>
      <c r="J61" s="185"/>
      <c r="K61" s="185"/>
      <c r="L61" s="185"/>
      <c r="M61" s="184"/>
      <c r="N61" s="184"/>
      <c r="O61" s="184"/>
      <c r="P61" s="185">
        <v>17299101</v>
      </c>
      <c r="Q61" s="185">
        <v>6851259</v>
      </c>
      <c r="R61" s="185">
        <v>1403642</v>
      </c>
      <c r="S61" s="185">
        <v>4746071</v>
      </c>
      <c r="T61" s="185">
        <v>402042</v>
      </c>
      <c r="U61" s="185">
        <v>18363126</v>
      </c>
      <c r="V61" s="185">
        <v>5402271</v>
      </c>
      <c r="W61" s="185">
        <v>1122980</v>
      </c>
      <c r="X61" s="185">
        <v>1088423</v>
      </c>
      <c r="Y61" s="185">
        <v>8786000</v>
      </c>
      <c r="Z61" s="185">
        <v>0</v>
      </c>
      <c r="AA61" s="185">
        <v>461835</v>
      </c>
      <c r="AB61" s="185">
        <v>19704779</v>
      </c>
      <c r="AC61" s="185">
        <v>9264152</v>
      </c>
      <c r="AD61" s="185">
        <v>3749603</v>
      </c>
      <c r="AE61" s="185">
        <v>4776703</v>
      </c>
      <c r="AF61" s="185">
        <v>9096320</v>
      </c>
      <c r="AG61" s="185">
        <v>10916579</v>
      </c>
      <c r="AH61" s="185">
        <v>1896174</v>
      </c>
      <c r="AI61" s="185"/>
      <c r="AJ61" s="185">
        <v>75544251</v>
      </c>
      <c r="AK61" s="185">
        <v>1908021</v>
      </c>
      <c r="AL61" s="185">
        <v>1742113</v>
      </c>
      <c r="AM61" s="185">
        <v>1877975</v>
      </c>
      <c r="AN61" s="185"/>
      <c r="AO61" s="185"/>
      <c r="AP61" s="185"/>
      <c r="AQ61" s="185"/>
      <c r="AR61" s="185">
        <v>5203478</v>
      </c>
      <c r="AS61" s="185"/>
      <c r="AT61" s="185">
        <v>396990</v>
      </c>
      <c r="AU61" s="185"/>
      <c r="AV61" s="185">
        <v>4110976</v>
      </c>
      <c r="AW61" s="185">
        <v>59665967</v>
      </c>
      <c r="AX61" s="185">
        <v>0</v>
      </c>
      <c r="AY61" s="185">
        <v>10952016</v>
      </c>
      <c r="AZ61" s="185">
        <v>111662</v>
      </c>
      <c r="BA61" s="185">
        <v>175632</v>
      </c>
      <c r="BB61" s="185">
        <v>8954986</v>
      </c>
      <c r="BC61" s="185">
        <v>226595</v>
      </c>
      <c r="BD61" s="185">
        <v>1819435</v>
      </c>
      <c r="BE61" s="185">
        <v>13919002</v>
      </c>
      <c r="BF61" s="185">
        <v>6695818</v>
      </c>
      <c r="BG61" s="185">
        <v>1725038</v>
      </c>
      <c r="BH61" s="185">
        <v>29553710</v>
      </c>
      <c r="BI61" s="185">
        <v>5272141</v>
      </c>
      <c r="BJ61" s="185">
        <v>5234202</v>
      </c>
      <c r="BK61" s="185">
        <v>12876811</v>
      </c>
      <c r="BL61" s="185">
        <v>5564861</v>
      </c>
      <c r="BM61" s="185"/>
      <c r="BN61" s="185">
        <v>14574429</v>
      </c>
      <c r="BO61" s="185">
        <v>1255482</v>
      </c>
      <c r="BP61" s="185">
        <v>3194740</v>
      </c>
      <c r="BQ61" s="185">
        <v>3962058</v>
      </c>
      <c r="BR61" s="185">
        <v>7141626</v>
      </c>
      <c r="BS61" s="185">
        <v>354070</v>
      </c>
      <c r="BT61" s="185">
        <v>647214</v>
      </c>
      <c r="BU61" s="185">
        <v>241387</v>
      </c>
      <c r="BV61" s="185">
        <v>4001493</v>
      </c>
      <c r="BW61" s="185">
        <v>2083438</v>
      </c>
      <c r="BX61" s="185">
        <v>9325508</v>
      </c>
      <c r="BY61" s="185">
        <v>5526712</v>
      </c>
      <c r="BZ61" s="185">
        <v>5661971</v>
      </c>
      <c r="CA61" s="185"/>
      <c r="CB61" s="185"/>
      <c r="CC61" s="185">
        <v>49265825</v>
      </c>
      <c r="CD61" s="242" t="s">
        <v>221</v>
      </c>
      <c r="CE61" s="195">
        <f t="shared" si="0"/>
        <v>582632697</v>
      </c>
      <c r="CF61" s="245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9462669</v>
      </c>
      <c r="D62" s="195">
        <f t="shared" si="1"/>
        <v>0</v>
      </c>
      <c r="E62" s="195">
        <f t="shared" si="1"/>
        <v>12468672</v>
      </c>
      <c r="F62" s="195">
        <f t="shared" si="1"/>
        <v>0</v>
      </c>
      <c r="G62" s="195">
        <f t="shared" si="1"/>
        <v>805336</v>
      </c>
      <c r="H62" s="195">
        <f t="shared" si="1"/>
        <v>2305420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4487598</v>
      </c>
      <c r="Q62" s="195">
        <f t="shared" si="1"/>
        <v>1777300</v>
      </c>
      <c r="R62" s="195">
        <f t="shared" si="1"/>
        <v>364122</v>
      </c>
      <c r="S62" s="195">
        <f t="shared" si="1"/>
        <v>1231189</v>
      </c>
      <c r="T62" s="195">
        <f t="shared" si="1"/>
        <v>104295</v>
      </c>
      <c r="U62" s="195">
        <f t="shared" si="1"/>
        <v>4763619</v>
      </c>
      <c r="V62" s="195">
        <f t="shared" si="1"/>
        <v>1401415</v>
      </c>
      <c r="W62" s="195">
        <f t="shared" si="1"/>
        <v>291315</v>
      </c>
      <c r="X62" s="195">
        <f t="shared" si="1"/>
        <v>282350</v>
      </c>
      <c r="Y62" s="195">
        <f t="shared" si="1"/>
        <v>2279195</v>
      </c>
      <c r="Z62" s="195">
        <f t="shared" si="1"/>
        <v>0</v>
      </c>
      <c r="AA62" s="195">
        <f t="shared" si="1"/>
        <v>119806</v>
      </c>
      <c r="AB62" s="195">
        <f t="shared" si="1"/>
        <v>5111660</v>
      </c>
      <c r="AC62" s="195">
        <f t="shared" si="1"/>
        <v>2403234</v>
      </c>
      <c r="AD62" s="195">
        <f t="shared" si="1"/>
        <v>972693</v>
      </c>
      <c r="AE62" s="195">
        <f t="shared" si="1"/>
        <v>1239135</v>
      </c>
      <c r="AF62" s="195">
        <f t="shared" si="1"/>
        <v>2359696</v>
      </c>
      <c r="AG62" s="195">
        <f t="shared" si="1"/>
        <v>2831894</v>
      </c>
      <c r="AH62" s="195">
        <f t="shared" si="1"/>
        <v>491891</v>
      </c>
      <c r="AI62" s="195">
        <f t="shared" si="1"/>
        <v>0</v>
      </c>
      <c r="AJ62" s="195">
        <f t="shared" si="1"/>
        <v>19597099</v>
      </c>
      <c r="AK62" s="195">
        <f t="shared" si="1"/>
        <v>494964</v>
      </c>
      <c r="AL62" s="195">
        <f t="shared" si="1"/>
        <v>451925</v>
      </c>
      <c r="AM62" s="195">
        <f t="shared" si="1"/>
        <v>487170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1349846</v>
      </c>
      <c r="AS62" s="195">
        <f t="shared" si="1"/>
        <v>0</v>
      </c>
      <c r="AT62" s="195">
        <f t="shared" si="1"/>
        <v>102984</v>
      </c>
      <c r="AU62" s="195">
        <f t="shared" si="1"/>
        <v>0</v>
      </c>
      <c r="AV62" s="195">
        <f t="shared" si="1"/>
        <v>1066437</v>
      </c>
      <c r="AW62" s="195">
        <f t="shared" si="1"/>
        <v>15478079</v>
      </c>
      <c r="AX62" s="195">
        <f t="shared" si="1"/>
        <v>0</v>
      </c>
      <c r="AY62" s="195">
        <f>ROUND(AY47+AY48,0)</f>
        <v>2841086</v>
      </c>
      <c r="AZ62" s="195">
        <f>ROUND(AZ47+AZ48,0)</f>
        <v>28966</v>
      </c>
      <c r="BA62" s="195">
        <f>ROUND(BA47+BA48,0)</f>
        <v>45561</v>
      </c>
      <c r="BB62" s="195">
        <f t="shared" si="1"/>
        <v>2323032</v>
      </c>
      <c r="BC62" s="195">
        <f t="shared" si="1"/>
        <v>58782</v>
      </c>
      <c r="BD62" s="195">
        <f t="shared" si="1"/>
        <v>471984</v>
      </c>
      <c r="BE62" s="195">
        <f t="shared" si="1"/>
        <v>3610759</v>
      </c>
      <c r="BF62" s="195">
        <f t="shared" si="1"/>
        <v>1736977</v>
      </c>
      <c r="BG62" s="195">
        <f t="shared" si="1"/>
        <v>447496</v>
      </c>
      <c r="BH62" s="195">
        <f t="shared" si="1"/>
        <v>7666592</v>
      </c>
      <c r="BI62" s="195">
        <f t="shared" si="1"/>
        <v>1367658</v>
      </c>
      <c r="BJ62" s="195">
        <f t="shared" si="1"/>
        <v>1357816</v>
      </c>
      <c r="BK62" s="195">
        <f t="shared" si="1"/>
        <v>3340402</v>
      </c>
      <c r="BL62" s="195">
        <f t="shared" si="1"/>
        <v>1443593</v>
      </c>
      <c r="BM62" s="195">
        <f t="shared" si="1"/>
        <v>0</v>
      </c>
      <c r="BN62" s="195">
        <f t="shared" si="1"/>
        <v>3780784</v>
      </c>
      <c r="BO62" s="195">
        <f t="shared" ref="BO62:CC62" si="2">ROUND(BO47+BO48,0)</f>
        <v>325687</v>
      </c>
      <c r="BP62" s="195">
        <f t="shared" si="2"/>
        <v>828754</v>
      </c>
      <c r="BQ62" s="195">
        <f t="shared" si="2"/>
        <v>1027806</v>
      </c>
      <c r="BR62" s="195">
        <f t="shared" si="2"/>
        <v>1852625</v>
      </c>
      <c r="BS62" s="195">
        <f t="shared" si="2"/>
        <v>91850</v>
      </c>
      <c r="BT62" s="195">
        <f t="shared" si="2"/>
        <v>167895</v>
      </c>
      <c r="BU62" s="195">
        <f t="shared" si="2"/>
        <v>62619</v>
      </c>
      <c r="BV62" s="195">
        <f t="shared" si="2"/>
        <v>1038036</v>
      </c>
      <c r="BW62" s="195">
        <f t="shared" si="2"/>
        <v>540469</v>
      </c>
      <c r="BX62" s="195">
        <f t="shared" si="2"/>
        <v>2419150</v>
      </c>
      <c r="BY62" s="195">
        <f t="shared" si="2"/>
        <v>1433696</v>
      </c>
      <c r="BZ62" s="195">
        <f t="shared" si="2"/>
        <v>1468784</v>
      </c>
      <c r="CA62" s="195">
        <f t="shared" si="2"/>
        <v>0</v>
      </c>
      <c r="CB62" s="195">
        <f t="shared" si="2"/>
        <v>0</v>
      </c>
      <c r="CC62" s="195">
        <f t="shared" si="2"/>
        <v>12780155</v>
      </c>
      <c r="CD62" s="242" t="s">
        <v>221</v>
      </c>
      <c r="CE62" s="195">
        <f t="shared" si="0"/>
        <v>151142022</v>
      </c>
      <c r="CF62" s="245"/>
    </row>
    <row r="63" spans="1:84" ht="12.6" customHeight="1" x14ac:dyDescent="0.25">
      <c r="A63" s="171" t="s">
        <v>236</v>
      </c>
      <c r="B63" s="175"/>
      <c r="C63" s="184"/>
      <c r="D63" s="184"/>
      <c r="E63" s="184">
        <v>0</v>
      </c>
      <c r="F63" s="185"/>
      <c r="G63" s="184">
        <v>0</v>
      </c>
      <c r="H63" s="184">
        <v>0</v>
      </c>
      <c r="I63" s="185"/>
      <c r="J63" s="185"/>
      <c r="K63" s="185"/>
      <c r="L63" s="185"/>
      <c r="M63" s="184"/>
      <c r="N63" s="184"/>
      <c r="O63" s="184"/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0</v>
      </c>
      <c r="V63" s="185">
        <v>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0</v>
      </c>
      <c r="AH63" s="185">
        <v>0</v>
      </c>
      <c r="AI63" s="185"/>
      <c r="AJ63" s="185">
        <v>0</v>
      </c>
      <c r="AK63" s="185">
        <v>0</v>
      </c>
      <c r="AL63" s="185">
        <v>0</v>
      </c>
      <c r="AM63" s="185">
        <v>0</v>
      </c>
      <c r="AN63" s="185"/>
      <c r="AO63" s="185"/>
      <c r="AP63" s="185"/>
      <c r="AQ63" s="185"/>
      <c r="AR63" s="185">
        <v>0</v>
      </c>
      <c r="AS63" s="185"/>
      <c r="AT63" s="185">
        <v>0</v>
      </c>
      <c r="AU63" s="185"/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/>
      <c r="BN63" s="185">
        <v>0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0</v>
      </c>
      <c r="BZ63" s="185">
        <v>0</v>
      </c>
      <c r="CA63" s="185"/>
      <c r="CB63" s="185"/>
      <c r="CC63" s="185">
        <v>0</v>
      </c>
      <c r="CD63" s="242" t="s">
        <v>221</v>
      </c>
      <c r="CE63" s="195">
        <f t="shared" si="0"/>
        <v>0</v>
      </c>
      <c r="CF63" s="245"/>
    </row>
    <row r="64" spans="1:84" ht="12.6" customHeight="1" x14ac:dyDescent="0.25">
      <c r="A64" s="171" t="s">
        <v>237</v>
      </c>
      <c r="B64" s="175"/>
      <c r="C64" s="184">
        <v>4110380.29</v>
      </c>
      <c r="D64" s="184"/>
      <c r="E64" s="185">
        <v>3896901.57</v>
      </c>
      <c r="F64" s="185"/>
      <c r="G64" s="184">
        <v>149538.53</v>
      </c>
      <c r="H64" s="184">
        <v>348383.44</v>
      </c>
      <c r="I64" s="185"/>
      <c r="J64" s="185"/>
      <c r="K64" s="185"/>
      <c r="L64" s="185"/>
      <c r="M64" s="184"/>
      <c r="N64" s="184"/>
      <c r="O64" s="184"/>
      <c r="P64" s="185">
        <v>23240347.579999998</v>
      </c>
      <c r="Q64" s="185">
        <v>330689.33</v>
      </c>
      <c r="R64" s="185">
        <v>1833646.26</v>
      </c>
      <c r="S64" s="185">
        <v>1621866.73</v>
      </c>
      <c r="T64" s="185">
        <v>138264.95000000001</v>
      </c>
      <c r="U64" s="185">
        <v>12118501.970000001</v>
      </c>
      <c r="V64" s="185">
        <v>204935.62</v>
      </c>
      <c r="W64" s="185">
        <v>72278.16</v>
      </c>
      <c r="X64" s="185">
        <v>73894.11</v>
      </c>
      <c r="Y64" s="185">
        <v>5149421.5999999996</v>
      </c>
      <c r="Z64" s="185">
        <v>815</v>
      </c>
      <c r="AA64" s="185">
        <v>482131.18</v>
      </c>
      <c r="AB64" s="185">
        <v>74464779</v>
      </c>
      <c r="AC64" s="185">
        <v>3487742.38</v>
      </c>
      <c r="AD64" s="185">
        <v>1206265.93</v>
      </c>
      <c r="AE64" s="185">
        <v>172873.55</v>
      </c>
      <c r="AF64" s="185">
        <v>252585.73</v>
      </c>
      <c r="AG64" s="185">
        <v>1511519.75</v>
      </c>
      <c r="AH64" s="185">
        <v>29827.96</v>
      </c>
      <c r="AI64" s="185"/>
      <c r="AJ64" s="185">
        <v>3845061.69</v>
      </c>
      <c r="AK64" s="185">
        <v>134223.66</v>
      </c>
      <c r="AL64" s="185">
        <v>33375.35</v>
      </c>
      <c r="AM64" s="185">
        <v>7067.54</v>
      </c>
      <c r="AN64" s="185"/>
      <c r="AO64" s="185"/>
      <c r="AP64" s="185"/>
      <c r="AQ64" s="185"/>
      <c r="AR64" s="185">
        <v>6777218.3700000001</v>
      </c>
      <c r="AS64" s="185"/>
      <c r="AT64" s="185">
        <v>10433</v>
      </c>
      <c r="AU64" s="185"/>
      <c r="AV64" s="185">
        <v>491045.49</v>
      </c>
      <c r="AW64" s="185">
        <v>17266340.890000001</v>
      </c>
      <c r="AX64" s="185">
        <v>255455</v>
      </c>
      <c r="AY64" s="185">
        <v>3472006</v>
      </c>
      <c r="AZ64" s="185">
        <v>92586</v>
      </c>
      <c r="BA64" s="185">
        <f>310318+11</f>
        <v>310329</v>
      </c>
      <c r="BB64" s="185">
        <v>234797.02</v>
      </c>
      <c r="BC64" s="185">
        <v>0</v>
      </c>
      <c r="BD64" s="185">
        <v>384031.93</v>
      </c>
      <c r="BE64" s="185">
        <v>1044867.41</v>
      </c>
      <c r="BF64" s="185">
        <v>1046114.35</v>
      </c>
      <c r="BG64" s="185">
        <v>154494</v>
      </c>
      <c r="BH64" s="185">
        <v>1772586.38</v>
      </c>
      <c r="BI64" s="185">
        <v>133132.17000000001</v>
      </c>
      <c r="BJ64" s="185">
        <v>169660</v>
      </c>
      <c r="BK64" s="185">
        <v>208132.46</v>
      </c>
      <c r="BL64" s="185">
        <v>62795.27</v>
      </c>
      <c r="BM64" s="185"/>
      <c r="BN64" s="185">
        <v>280462.96999999997</v>
      </c>
      <c r="BO64" s="185">
        <v>514491.2</v>
      </c>
      <c r="BP64" s="185">
        <v>146660</v>
      </c>
      <c r="BQ64" s="185">
        <v>103051</v>
      </c>
      <c r="BR64" s="185">
        <v>163865.22</v>
      </c>
      <c r="BS64" s="185">
        <v>2422.83</v>
      </c>
      <c r="BT64" s="185">
        <v>20408</v>
      </c>
      <c r="BU64" s="185">
        <f>46+7605</f>
        <v>7651</v>
      </c>
      <c r="BV64" s="185">
        <v>37540.97</v>
      </c>
      <c r="BW64" s="185">
        <v>656236</v>
      </c>
      <c r="BX64" s="185">
        <v>297136.77</v>
      </c>
      <c r="BY64" s="185">
        <v>78963.039999999994</v>
      </c>
      <c r="BZ64" s="185">
        <v>10745</v>
      </c>
      <c r="CA64" s="185"/>
      <c r="CB64" s="185"/>
      <c r="CC64" s="185">
        <v>-640760.84</v>
      </c>
      <c r="CD64" s="242" t="s">
        <v>221</v>
      </c>
      <c r="CE64" s="195">
        <f t="shared" si="0"/>
        <v>174482216.76000002</v>
      </c>
      <c r="CF64" s="245"/>
    </row>
    <row r="65" spans="1:84" ht="12.6" customHeight="1" x14ac:dyDescent="0.25">
      <c r="A65" s="171" t="s">
        <v>238</v>
      </c>
      <c r="B65" s="175"/>
      <c r="C65" s="184">
        <v>328</v>
      </c>
      <c r="D65" s="184"/>
      <c r="E65" s="184">
        <v>0</v>
      </c>
      <c r="F65" s="184"/>
      <c r="G65" s="184">
        <v>196</v>
      </c>
      <c r="H65" s="184">
        <v>0</v>
      </c>
      <c r="I65" s="185"/>
      <c r="J65" s="184"/>
      <c r="K65" s="185"/>
      <c r="L65" s="185"/>
      <c r="M65" s="184"/>
      <c r="N65" s="184"/>
      <c r="O65" s="184"/>
      <c r="P65" s="185">
        <v>353</v>
      </c>
      <c r="Q65" s="185">
        <v>0</v>
      </c>
      <c r="R65" s="185">
        <v>0</v>
      </c>
      <c r="S65" s="185">
        <v>0</v>
      </c>
      <c r="T65" s="185">
        <v>0</v>
      </c>
      <c r="U65" s="185">
        <v>0</v>
      </c>
      <c r="V65" s="185">
        <v>580</v>
      </c>
      <c r="W65" s="185">
        <v>0</v>
      </c>
      <c r="X65" s="185">
        <v>0</v>
      </c>
      <c r="Y65" s="185">
        <v>223</v>
      </c>
      <c r="Z65" s="185">
        <v>0</v>
      </c>
      <c r="AA65" s="185">
        <v>0</v>
      </c>
      <c r="AB65" s="185">
        <v>145</v>
      </c>
      <c r="AC65" s="185">
        <v>0</v>
      </c>
      <c r="AD65" s="185">
        <v>0</v>
      </c>
      <c r="AE65" s="185">
        <v>0</v>
      </c>
      <c r="AF65" s="185">
        <v>12900</v>
      </c>
      <c r="AG65" s="185">
        <v>0</v>
      </c>
      <c r="AH65" s="185">
        <v>530</v>
      </c>
      <c r="AI65" s="185"/>
      <c r="AJ65" s="185">
        <v>132760</v>
      </c>
      <c r="AK65" s="185">
        <v>0</v>
      </c>
      <c r="AL65" s="185">
        <v>0</v>
      </c>
      <c r="AM65" s="185">
        <v>0</v>
      </c>
      <c r="AN65" s="185"/>
      <c r="AO65" s="185"/>
      <c r="AP65" s="185"/>
      <c r="AQ65" s="185"/>
      <c r="AR65" s="185">
        <v>54918</v>
      </c>
      <c r="AS65" s="185"/>
      <c r="AT65" s="185">
        <v>108</v>
      </c>
      <c r="AU65" s="185"/>
      <c r="AV65" s="185">
        <v>1535</v>
      </c>
      <c r="AW65" s="185">
        <v>1793617</v>
      </c>
      <c r="AX65" s="185">
        <v>0</v>
      </c>
      <c r="AY65" s="185">
        <v>54</v>
      </c>
      <c r="AZ65" s="185">
        <v>0</v>
      </c>
      <c r="BA65" s="185">
        <v>0</v>
      </c>
      <c r="BB65" s="185">
        <v>3043</v>
      </c>
      <c r="BC65" s="185">
        <v>0</v>
      </c>
      <c r="BD65" s="185">
        <v>162</v>
      </c>
      <c r="BE65" s="185">
        <f>6527515-9692-4695-4058-1390-1549-516</f>
        <v>6505615</v>
      </c>
      <c r="BF65" s="185">
        <v>1253555</v>
      </c>
      <c r="BG65" s="185">
        <v>1484072</v>
      </c>
      <c r="BH65" s="185">
        <v>2293340</v>
      </c>
      <c r="BI65" s="185">
        <v>193580</v>
      </c>
      <c r="BJ65" s="185">
        <v>1351</v>
      </c>
      <c r="BK65" s="185">
        <v>0</v>
      </c>
      <c r="BL65" s="185">
        <v>0</v>
      </c>
      <c r="BM65" s="185"/>
      <c r="BN65" s="185">
        <v>5483</v>
      </c>
      <c r="BO65" s="185">
        <v>0</v>
      </c>
      <c r="BP65" s="185">
        <v>1405</v>
      </c>
      <c r="BQ65" s="185">
        <v>494</v>
      </c>
      <c r="BR65" s="185">
        <v>1876</v>
      </c>
      <c r="BS65" s="185">
        <v>0</v>
      </c>
      <c r="BT65" s="185">
        <v>0</v>
      </c>
      <c r="BU65" s="185">
        <v>0</v>
      </c>
      <c r="BV65" s="260">
        <v>1951</v>
      </c>
      <c r="BW65" s="185">
        <v>2042</v>
      </c>
      <c r="BX65" s="185">
        <v>1915</v>
      </c>
      <c r="BY65" s="185">
        <v>908</v>
      </c>
      <c r="BZ65" s="185">
        <v>0</v>
      </c>
      <c r="CA65" s="185"/>
      <c r="CB65" s="185"/>
      <c r="CC65" s="185">
        <v>109461</v>
      </c>
      <c r="CD65" s="242" t="s">
        <v>221</v>
      </c>
      <c r="CE65" s="195">
        <f t="shared" si="0"/>
        <v>13858500</v>
      </c>
      <c r="CF65" s="245"/>
    </row>
    <row r="66" spans="1:84" ht="12.6" customHeight="1" x14ac:dyDescent="0.25">
      <c r="A66" s="171" t="s">
        <v>239</v>
      </c>
      <c r="B66" s="175"/>
      <c r="C66" s="184">
        <v>10919605.220000001</v>
      </c>
      <c r="D66" s="184"/>
      <c r="E66" s="184">
        <v>865540.16</v>
      </c>
      <c r="F66" s="184"/>
      <c r="G66" s="184">
        <v>14195.77</v>
      </c>
      <c r="H66" s="184">
        <v>116483.04</v>
      </c>
      <c r="I66" s="184"/>
      <c r="J66" s="184"/>
      <c r="K66" s="185"/>
      <c r="L66" s="185"/>
      <c r="M66" s="184"/>
      <c r="N66" s="184"/>
      <c r="O66" s="185"/>
      <c r="P66" s="185">
        <v>4076284.28</v>
      </c>
      <c r="Q66" s="185">
        <v>856090.5</v>
      </c>
      <c r="R66" s="185">
        <v>1881572.89</v>
      </c>
      <c r="S66" s="184">
        <v>3910906.59</v>
      </c>
      <c r="T66" s="184">
        <v>117983</v>
      </c>
      <c r="U66" s="185">
        <v>10237836.09</v>
      </c>
      <c r="V66" s="185">
        <v>726233.58</v>
      </c>
      <c r="W66" s="185">
        <v>341264.57</v>
      </c>
      <c r="X66" s="185">
        <v>344792.08</v>
      </c>
      <c r="Y66" s="185">
        <v>3046528.83</v>
      </c>
      <c r="Z66" s="185">
        <v>1066742</v>
      </c>
      <c r="AA66" s="185">
        <v>211804.65</v>
      </c>
      <c r="AB66" s="185">
        <v>1164051</v>
      </c>
      <c r="AC66" s="185">
        <v>722247.24</v>
      </c>
      <c r="AD66" s="185">
        <v>337782.59</v>
      </c>
      <c r="AE66" s="185">
        <v>34317.9</v>
      </c>
      <c r="AF66" s="185">
        <v>1466726.76</v>
      </c>
      <c r="AG66" s="185">
        <v>747638.13</v>
      </c>
      <c r="AH66" s="185">
        <v>28481.3</v>
      </c>
      <c r="AI66" s="185"/>
      <c r="AJ66" s="185">
        <v>4138332.62</v>
      </c>
      <c r="AK66" s="185">
        <v>1417</v>
      </c>
      <c r="AL66" s="185">
        <v>15272</v>
      </c>
      <c r="AM66" s="185">
        <v>0</v>
      </c>
      <c r="AN66" s="185"/>
      <c r="AO66" s="185"/>
      <c r="AP66" s="185"/>
      <c r="AQ66" s="185"/>
      <c r="AR66" s="185">
        <v>657518.26</v>
      </c>
      <c r="AS66" s="185"/>
      <c r="AT66" s="185">
        <v>3512337</v>
      </c>
      <c r="AU66" s="185"/>
      <c r="AV66" s="185">
        <v>475666.73</v>
      </c>
      <c r="AW66" s="185">
        <v>139489955.93000001</v>
      </c>
      <c r="AX66" s="185">
        <v>1114413</v>
      </c>
      <c r="AY66" s="185">
        <v>206736</v>
      </c>
      <c r="AZ66" s="185">
        <v>1971.2</v>
      </c>
      <c r="BA66" s="185">
        <v>2989730</v>
      </c>
      <c r="BB66" s="185">
        <v>3750354.41</v>
      </c>
      <c r="BC66" s="185">
        <v>0</v>
      </c>
      <c r="BD66" s="185">
        <v>238696</v>
      </c>
      <c r="BE66" s="185">
        <f>11372943.13-228095-15167-162-14852-47943-1994053-454758-162</f>
        <v>8617751.1300000008</v>
      </c>
      <c r="BF66" s="185">
        <v>457978.92</v>
      </c>
      <c r="BG66" s="185">
        <v>528461.32999999996</v>
      </c>
      <c r="BH66" s="185">
        <v>39270683.600000001</v>
      </c>
      <c r="BI66" s="185">
        <v>3442731.36</v>
      </c>
      <c r="BJ66" s="185">
        <v>6074747.7000000002</v>
      </c>
      <c r="BK66" s="185">
        <v>1552864.59</v>
      </c>
      <c r="BL66" s="185">
        <v>24795.59</v>
      </c>
      <c r="BM66" s="185"/>
      <c r="BN66" s="185">
        <v>5552177.1799999997</v>
      </c>
      <c r="BO66" s="185">
        <v>78174.02</v>
      </c>
      <c r="BP66" s="185">
        <v>5887762</v>
      </c>
      <c r="BQ66" s="185">
        <v>1607037</v>
      </c>
      <c r="BR66" s="185">
        <v>1885681.09</v>
      </c>
      <c r="BS66" s="185">
        <v>2794</v>
      </c>
      <c r="BT66" s="185">
        <v>16153</v>
      </c>
      <c r="BU66" s="185">
        <v>27287</v>
      </c>
      <c r="BV66" s="185">
        <v>1098383.76</v>
      </c>
      <c r="BW66" s="185">
        <v>25764813.890000001</v>
      </c>
      <c r="BX66" s="185">
        <v>2357934.7200000002</v>
      </c>
      <c r="BY66" s="185">
        <v>200770.76</v>
      </c>
      <c r="BZ66" s="185">
        <v>14910</v>
      </c>
      <c r="CA66" s="185"/>
      <c r="CB66" s="185"/>
      <c r="CC66" s="185">
        <f>22025055.91+2158</f>
        <v>22027213.91</v>
      </c>
      <c r="CD66" s="242" t="s">
        <v>221</v>
      </c>
      <c r="CE66" s="195">
        <f t="shared" si="0"/>
        <v>326318614.87</v>
      </c>
      <c r="CF66" s="245"/>
    </row>
    <row r="67" spans="1:84" ht="12.6" customHeight="1" x14ac:dyDescent="0.25">
      <c r="A67" s="171" t="s">
        <v>6</v>
      </c>
      <c r="B67" s="175"/>
      <c r="C67" s="195">
        <f>ROUND(C51+C52,0)</f>
        <v>4668482</v>
      </c>
      <c r="D67" s="195">
        <f>ROUND(D51+D52,0)</f>
        <v>0</v>
      </c>
      <c r="E67" s="195">
        <f t="shared" ref="E67:BP67" si="3">ROUND(E51+E52,0)</f>
        <v>13911146</v>
      </c>
      <c r="F67" s="195">
        <f t="shared" si="3"/>
        <v>0</v>
      </c>
      <c r="G67" s="195">
        <f t="shared" si="3"/>
        <v>751757</v>
      </c>
      <c r="H67" s="195">
        <f t="shared" si="3"/>
        <v>3868418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6266884</v>
      </c>
      <c r="Q67" s="195">
        <f t="shared" si="3"/>
        <v>616103</v>
      </c>
      <c r="R67" s="195">
        <f t="shared" si="3"/>
        <v>477558</v>
      </c>
      <c r="S67" s="195">
        <f t="shared" si="3"/>
        <v>2116182</v>
      </c>
      <c r="T67" s="195">
        <f t="shared" si="3"/>
        <v>30018</v>
      </c>
      <c r="U67" s="195">
        <f t="shared" si="3"/>
        <v>2777890</v>
      </c>
      <c r="V67" s="195">
        <f t="shared" si="3"/>
        <v>343924</v>
      </c>
      <c r="W67" s="195">
        <f t="shared" si="3"/>
        <v>0</v>
      </c>
      <c r="X67" s="195">
        <f t="shared" si="3"/>
        <v>261553</v>
      </c>
      <c r="Y67" s="195">
        <f t="shared" si="3"/>
        <v>3280020</v>
      </c>
      <c r="Z67" s="195">
        <f t="shared" si="3"/>
        <v>24414</v>
      </c>
      <c r="AA67" s="195">
        <f t="shared" si="3"/>
        <v>139516</v>
      </c>
      <c r="AB67" s="195">
        <f t="shared" si="3"/>
        <v>1051747</v>
      </c>
      <c r="AC67" s="195">
        <f t="shared" si="3"/>
        <v>319319</v>
      </c>
      <c r="AD67" s="195">
        <f t="shared" si="3"/>
        <v>303967</v>
      </c>
      <c r="AE67" s="195">
        <f t="shared" si="3"/>
        <v>709937</v>
      </c>
      <c r="AF67" s="195">
        <f t="shared" si="3"/>
        <v>676471</v>
      </c>
      <c r="AG67" s="195">
        <f t="shared" si="3"/>
        <v>2092869</v>
      </c>
      <c r="AH67" s="195">
        <f t="shared" si="3"/>
        <v>13363</v>
      </c>
      <c r="AI67" s="195">
        <f t="shared" si="3"/>
        <v>0</v>
      </c>
      <c r="AJ67" s="195">
        <f t="shared" si="3"/>
        <v>11910047</v>
      </c>
      <c r="AK67" s="195">
        <f t="shared" si="3"/>
        <v>235361</v>
      </c>
      <c r="AL67" s="195">
        <f t="shared" si="3"/>
        <v>176061</v>
      </c>
      <c r="AM67" s="195">
        <f t="shared" si="3"/>
        <v>420929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6225</v>
      </c>
      <c r="AU67" s="195">
        <f t="shared" si="3"/>
        <v>0</v>
      </c>
      <c r="AV67" s="195">
        <f t="shared" si="3"/>
        <v>42195</v>
      </c>
      <c r="AW67" s="195">
        <f t="shared" si="3"/>
        <v>347497</v>
      </c>
      <c r="AX67" s="195">
        <f t="shared" si="3"/>
        <v>0</v>
      </c>
      <c r="AY67" s="195">
        <f t="shared" si="3"/>
        <v>2188772</v>
      </c>
      <c r="AZ67" s="195">
        <f>ROUND(AZ51+AZ52,0)</f>
        <v>501113</v>
      </c>
      <c r="BA67" s="195">
        <f>ROUND(BA51+BA52,0)</f>
        <v>0</v>
      </c>
      <c r="BB67" s="195">
        <f t="shared" si="3"/>
        <v>828404</v>
      </c>
      <c r="BC67" s="195">
        <f t="shared" si="3"/>
        <v>0</v>
      </c>
      <c r="BD67" s="195">
        <f t="shared" si="3"/>
        <v>379288</v>
      </c>
      <c r="BE67" s="195">
        <f t="shared" si="3"/>
        <v>9527087</v>
      </c>
      <c r="BF67" s="195">
        <f t="shared" si="3"/>
        <v>400220</v>
      </c>
      <c r="BG67" s="195">
        <f t="shared" si="3"/>
        <v>86051</v>
      </c>
      <c r="BH67" s="195">
        <f t="shared" si="3"/>
        <v>3094202</v>
      </c>
      <c r="BI67" s="195">
        <f t="shared" si="3"/>
        <v>72724</v>
      </c>
      <c r="BJ67" s="195">
        <f t="shared" si="3"/>
        <v>13910</v>
      </c>
      <c r="BK67" s="195">
        <f t="shared" si="3"/>
        <v>24178</v>
      </c>
      <c r="BL67" s="195">
        <f t="shared" si="3"/>
        <v>71208</v>
      </c>
      <c r="BM67" s="195">
        <f t="shared" si="3"/>
        <v>0</v>
      </c>
      <c r="BN67" s="195">
        <f t="shared" si="3"/>
        <v>3453223</v>
      </c>
      <c r="BO67" s="195">
        <f t="shared" si="3"/>
        <v>0</v>
      </c>
      <c r="BP67" s="195">
        <f t="shared" si="3"/>
        <v>502002</v>
      </c>
      <c r="BQ67" s="195">
        <f t="shared" ref="BQ67:CC67" si="4">ROUND(BQ51+BQ52,0)</f>
        <v>215388</v>
      </c>
      <c r="BR67" s="195">
        <f t="shared" si="4"/>
        <v>817536</v>
      </c>
      <c r="BS67" s="195">
        <f t="shared" si="4"/>
        <v>179301</v>
      </c>
      <c r="BT67" s="195">
        <f t="shared" si="4"/>
        <v>102802</v>
      </c>
      <c r="BU67" s="195">
        <f t="shared" si="4"/>
        <v>258203</v>
      </c>
      <c r="BV67" s="195">
        <f t="shared" si="4"/>
        <v>894197</v>
      </c>
      <c r="BW67" s="195">
        <f t="shared" si="4"/>
        <v>2734765</v>
      </c>
      <c r="BX67" s="195">
        <f t="shared" si="4"/>
        <v>231958</v>
      </c>
      <c r="BY67" s="195">
        <f t="shared" si="4"/>
        <v>312775</v>
      </c>
      <c r="BZ67" s="195">
        <f t="shared" si="4"/>
        <v>150381</v>
      </c>
      <c r="CA67" s="195">
        <f t="shared" si="4"/>
        <v>0</v>
      </c>
      <c r="CB67" s="195">
        <f t="shared" si="4"/>
        <v>0</v>
      </c>
      <c r="CC67" s="195">
        <f t="shared" si="4"/>
        <v>2292244</v>
      </c>
      <c r="CD67" s="242" t="s">
        <v>221</v>
      </c>
      <c r="CE67" s="195">
        <f t="shared" si="0"/>
        <v>87171785</v>
      </c>
      <c r="CF67" s="245"/>
    </row>
    <row r="68" spans="1:84" ht="12.6" customHeight="1" x14ac:dyDescent="0.25">
      <c r="A68" s="171" t="s">
        <v>240</v>
      </c>
      <c r="B68" s="175"/>
      <c r="C68" s="184">
        <v>87454</v>
      </c>
      <c r="D68" s="184"/>
      <c r="E68" s="184">
        <v>265076</v>
      </c>
      <c r="F68" s="184"/>
      <c r="G68" s="184">
        <v>10861</v>
      </c>
      <c r="H68" s="184">
        <v>1620</v>
      </c>
      <c r="I68" s="184"/>
      <c r="J68" s="184"/>
      <c r="K68" s="185"/>
      <c r="L68" s="185"/>
      <c r="M68" s="184"/>
      <c r="N68" s="184"/>
      <c r="O68" s="184"/>
      <c r="P68" s="185">
        <v>48238</v>
      </c>
      <c r="Q68" s="185">
        <v>0</v>
      </c>
      <c r="R68" s="185">
        <v>0</v>
      </c>
      <c r="S68" s="185">
        <v>231794</v>
      </c>
      <c r="T68" s="185">
        <v>0</v>
      </c>
      <c r="U68" s="185">
        <v>0</v>
      </c>
      <c r="V68" s="185">
        <v>493172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0</v>
      </c>
      <c r="AC68" s="185">
        <v>199072</v>
      </c>
      <c r="AD68" s="185">
        <v>0</v>
      </c>
      <c r="AE68" s="185">
        <v>0</v>
      </c>
      <c r="AF68" s="185">
        <v>1004498</v>
      </c>
      <c r="AG68" s="185">
        <v>0</v>
      </c>
      <c r="AH68" s="185">
        <v>0</v>
      </c>
      <c r="AI68" s="185"/>
      <c r="AJ68" s="185">
        <v>1091050</v>
      </c>
      <c r="AK68" s="185">
        <v>0</v>
      </c>
      <c r="AL68" s="185">
        <v>0</v>
      </c>
      <c r="AM68" s="185">
        <v>0</v>
      </c>
      <c r="AN68" s="185"/>
      <c r="AO68" s="185"/>
      <c r="AP68" s="185"/>
      <c r="AQ68" s="185"/>
      <c r="AR68" s="185">
        <v>440466</v>
      </c>
      <c r="AS68" s="185"/>
      <c r="AT68" s="185">
        <v>0</v>
      </c>
      <c r="AU68" s="185"/>
      <c r="AV68" s="185">
        <v>0</v>
      </c>
      <c r="AW68" s="185">
        <v>3605375</v>
      </c>
      <c r="AX68" s="185">
        <v>625647</v>
      </c>
      <c r="AY68" s="185">
        <v>0</v>
      </c>
      <c r="AZ68" s="185">
        <v>0</v>
      </c>
      <c r="BA68" s="185">
        <v>0</v>
      </c>
      <c r="BB68" s="185">
        <v>24645</v>
      </c>
      <c r="BC68" s="185">
        <v>0</v>
      </c>
      <c r="BD68" s="185">
        <v>0</v>
      </c>
      <c r="BE68" s="185">
        <f>3326-24645</f>
        <v>-21319</v>
      </c>
      <c r="BF68" s="185">
        <v>0</v>
      </c>
      <c r="BG68" s="185">
        <v>286002</v>
      </c>
      <c r="BH68" s="185">
        <v>628318</v>
      </c>
      <c r="BI68" s="185">
        <v>660653</v>
      </c>
      <c r="BJ68" s="185">
        <v>0</v>
      </c>
      <c r="BK68" s="185">
        <v>0</v>
      </c>
      <c r="BL68" s="185">
        <v>0</v>
      </c>
      <c r="BM68" s="185"/>
      <c r="BN68" s="185">
        <v>0</v>
      </c>
      <c r="BO68" s="185">
        <v>0</v>
      </c>
      <c r="BP68" s="185">
        <v>0</v>
      </c>
      <c r="BQ68" s="185">
        <v>0</v>
      </c>
      <c r="BR68" s="185">
        <v>682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/>
      <c r="CB68" s="185"/>
      <c r="CC68" s="185">
        <v>8678310</v>
      </c>
      <c r="CD68" s="242" t="s">
        <v>221</v>
      </c>
      <c r="CE68" s="195">
        <f t="shared" si="0"/>
        <v>18361614</v>
      </c>
      <c r="CF68" s="245"/>
    </row>
    <row r="69" spans="1:84" ht="12.6" customHeight="1" x14ac:dyDescent="0.25">
      <c r="A69" s="171" t="s">
        <v>241</v>
      </c>
      <c r="B69" s="175"/>
      <c r="C69" s="184">
        <v>56539</v>
      </c>
      <c r="D69" s="184"/>
      <c r="E69" s="185">
        <v>175501</v>
      </c>
      <c r="F69" s="185"/>
      <c r="G69" s="184">
        <v>9345</v>
      </c>
      <c r="H69" s="184">
        <v>15313</v>
      </c>
      <c r="I69" s="185"/>
      <c r="J69" s="185"/>
      <c r="K69" s="185"/>
      <c r="L69" s="185"/>
      <c r="M69" s="184"/>
      <c r="N69" s="184"/>
      <c r="O69" s="184"/>
      <c r="P69" s="185">
        <v>118674</v>
      </c>
      <c r="Q69" s="185">
        <v>6840</v>
      </c>
      <c r="R69" s="220">
        <v>42208</v>
      </c>
      <c r="S69" s="185">
        <v>16941</v>
      </c>
      <c r="T69" s="184">
        <v>-171681</v>
      </c>
      <c r="U69" s="185">
        <v>334658</v>
      </c>
      <c r="V69" s="185">
        <v>25128</v>
      </c>
      <c r="W69" s="184">
        <v>137971</v>
      </c>
      <c r="X69" s="185">
        <v>96803</v>
      </c>
      <c r="Y69" s="185">
        <v>-225333</v>
      </c>
      <c r="Z69" s="185">
        <v>0</v>
      </c>
      <c r="AA69" s="185">
        <v>31649</v>
      </c>
      <c r="AB69" s="185">
        <v>120788</v>
      </c>
      <c r="AC69" s="185">
        <v>36151</v>
      </c>
      <c r="AD69" s="185">
        <v>10558</v>
      </c>
      <c r="AE69" s="185">
        <v>26721</v>
      </c>
      <c r="AF69" s="185">
        <v>166832</v>
      </c>
      <c r="AG69" s="185">
        <v>19804</v>
      </c>
      <c r="AH69" s="185">
        <v>5895</v>
      </c>
      <c r="AI69" s="185"/>
      <c r="AJ69" s="185">
        <v>1084855</v>
      </c>
      <c r="AK69" s="185">
        <v>4448</v>
      </c>
      <c r="AL69" s="185">
        <v>15233</v>
      </c>
      <c r="AM69" s="185">
        <v>11667</v>
      </c>
      <c r="AN69" s="185"/>
      <c r="AO69" s="184"/>
      <c r="AP69" s="185"/>
      <c r="AQ69" s="184"/>
      <c r="AR69" s="184">
        <v>62182</v>
      </c>
      <c r="AS69" s="184"/>
      <c r="AT69" s="184">
        <v>28320</v>
      </c>
      <c r="AU69" s="185"/>
      <c r="AV69" s="185">
        <v>167303</v>
      </c>
      <c r="AW69" s="185">
        <v>29172603.149999999</v>
      </c>
      <c r="AX69" s="185">
        <v>0</v>
      </c>
      <c r="AY69" s="185">
        <v>149020</v>
      </c>
      <c r="AZ69" s="185">
        <v>7423</v>
      </c>
      <c r="BA69" s="185">
        <v>0</v>
      </c>
      <c r="BB69" s="185">
        <v>367109</v>
      </c>
      <c r="BC69" s="185">
        <v>0</v>
      </c>
      <c r="BD69" s="185">
        <v>37272</v>
      </c>
      <c r="BE69" s="185">
        <f>2203286+3587-6680-10627</f>
        <v>2189566</v>
      </c>
      <c r="BF69" s="185">
        <v>42983</v>
      </c>
      <c r="BG69" s="185">
        <v>632</v>
      </c>
      <c r="BH69" s="220">
        <v>630687</v>
      </c>
      <c r="BI69" s="185">
        <v>109427</v>
      </c>
      <c r="BJ69" s="185">
        <v>-67107</v>
      </c>
      <c r="BK69" s="185">
        <v>95391</v>
      </c>
      <c r="BL69" s="185">
        <v>-180</v>
      </c>
      <c r="BM69" s="185"/>
      <c r="BN69" s="185">
        <f>2203565-3285</f>
        <v>2200280</v>
      </c>
      <c r="BO69" s="185">
        <v>4181</v>
      </c>
      <c r="BP69" s="185">
        <v>286288</v>
      </c>
      <c r="BQ69" s="185">
        <v>124455</v>
      </c>
      <c r="BR69" s="185">
        <v>783737</v>
      </c>
      <c r="BS69" s="185">
        <v>3469</v>
      </c>
      <c r="BT69" s="185">
        <v>11879</v>
      </c>
      <c r="BU69" s="185">
        <v>819041</v>
      </c>
      <c r="BV69" s="185">
        <v>10102</v>
      </c>
      <c r="BW69" s="185">
        <v>689986</v>
      </c>
      <c r="BX69" s="185">
        <v>157115</v>
      </c>
      <c r="BY69" s="185">
        <v>408395</v>
      </c>
      <c r="BZ69" s="185">
        <v>6853</v>
      </c>
      <c r="CA69" s="185"/>
      <c r="CB69" s="185"/>
      <c r="CC69" s="185">
        <f>59056152.44-4845971-24529508-10720-600000-28226766+7924</f>
        <v>851111.43999999762</v>
      </c>
      <c r="CD69" s="185">
        <f>4845971+24529508-30857-5551-675601-279-185+28226766</f>
        <v>56889772</v>
      </c>
      <c r="CE69" s="195">
        <f t="shared" si="0"/>
        <v>98412803.590000004</v>
      </c>
      <c r="CF69" s="245"/>
    </row>
    <row r="70" spans="1:84" ht="12.6" customHeight="1" x14ac:dyDescent="0.25">
      <c r="A70" s="171" t="s">
        <v>242</v>
      </c>
      <c r="B70" s="175"/>
      <c r="C70" s="184">
        <v>0</v>
      </c>
      <c r="D70" s="184"/>
      <c r="E70" s="184">
        <v>9991</v>
      </c>
      <c r="F70" s="185"/>
      <c r="G70" s="184">
        <v>0</v>
      </c>
      <c r="H70" s="184">
        <v>950</v>
      </c>
      <c r="I70" s="184"/>
      <c r="J70" s="185"/>
      <c r="K70" s="185"/>
      <c r="L70" s="185"/>
      <c r="M70" s="184"/>
      <c r="N70" s="184"/>
      <c r="O70" s="184"/>
      <c r="P70" s="184">
        <v>1000</v>
      </c>
      <c r="Q70" s="184">
        <v>0</v>
      </c>
      <c r="R70" s="184">
        <v>0</v>
      </c>
      <c r="S70" s="184">
        <v>100</v>
      </c>
      <c r="T70" s="184">
        <v>0</v>
      </c>
      <c r="U70" s="185">
        <v>2344500</v>
      </c>
      <c r="V70" s="184">
        <v>0</v>
      </c>
      <c r="W70" s="184">
        <v>0</v>
      </c>
      <c r="X70" s="185">
        <v>0</v>
      </c>
      <c r="Y70" s="185">
        <v>26653</v>
      </c>
      <c r="Z70" s="185">
        <v>18247</v>
      </c>
      <c r="AA70" s="185">
        <v>0</v>
      </c>
      <c r="AB70" s="185">
        <v>78210</v>
      </c>
      <c r="AC70" s="185">
        <v>0</v>
      </c>
      <c r="AD70" s="185">
        <v>0</v>
      </c>
      <c r="AE70" s="185">
        <v>96397</v>
      </c>
      <c r="AF70" s="185">
        <v>1158974</v>
      </c>
      <c r="AG70" s="185">
        <v>244658</v>
      </c>
      <c r="AH70" s="185">
        <v>514664</v>
      </c>
      <c r="AI70" s="185"/>
      <c r="AJ70" s="185">
        <v>2120839</v>
      </c>
      <c r="AK70" s="185">
        <v>52900</v>
      </c>
      <c r="AL70" s="185">
        <v>0</v>
      </c>
      <c r="AM70" s="185">
        <v>0</v>
      </c>
      <c r="AN70" s="185"/>
      <c r="AO70" s="185"/>
      <c r="AP70" s="185"/>
      <c r="AQ70" s="185"/>
      <c r="AR70" s="185">
        <v>0</v>
      </c>
      <c r="AS70" s="185"/>
      <c r="AT70" s="185">
        <v>20177</v>
      </c>
      <c r="AU70" s="185"/>
      <c r="AV70" s="185">
        <v>1597284</v>
      </c>
      <c r="AW70" s="185">
        <v>174004865</v>
      </c>
      <c r="AX70" s="185">
        <v>0</v>
      </c>
      <c r="AY70" s="185">
        <v>4810538</v>
      </c>
      <c r="AZ70" s="185">
        <v>185906</v>
      </c>
      <c r="BA70" s="185">
        <v>0</v>
      </c>
      <c r="BB70" s="185">
        <v>-160209</v>
      </c>
      <c r="BC70" s="185">
        <v>0</v>
      </c>
      <c r="BD70" s="185">
        <v>0</v>
      </c>
      <c r="BE70" s="185">
        <v>256126</v>
      </c>
      <c r="BF70" s="185">
        <v>0</v>
      </c>
      <c r="BG70" s="185">
        <v>0</v>
      </c>
      <c r="BH70" s="185">
        <v>156459</v>
      </c>
      <c r="BI70" s="185">
        <v>4165120</v>
      </c>
      <c r="BJ70" s="185">
        <v>0</v>
      </c>
      <c r="BK70" s="185">
        <v>6311351</v>
      </c>
      <c r="BL70" s="185">
        <v>0</v>
      </c>
      <c r="BM70" s="185"/>
      <c r="BN70" s="185">
        <v>173365</v>
      </c>
      <c r="BO70" s="185">
        <v>0</v>
      </c>
      <c r="BP70" s="185">
        <v>0</v>
      </c>
      <c r="BQ70" s="185">
        <v>-33789</v>
      </c>
      <c r="BR70" s="185">
        <v>283</v>
      </c>
      <c r="BS70" s="185">
        <v>0</v>
      </c>
      <c r="BT70" s="185">
        <v>25000</v>
      </c>
      <c r="BU70" s="185">
        <v>0</v>
      </c>
      <c r="BV70" s="185">
        <v>10230</v>
      </c>
      <c r="BW70" s="185">
        <v>-16941</v>
      </c>
      <c r="BX70" s="185">
        <v>1005</v>
      </c>
      <c r="BY70" s="185">
        <v>-52621</v>
      </c>
      <c r="BZ70" s="185">
        <v>0</v>
      </c>
      <c r="CA70" s="185"/>
      <c r="CB70" s="185"/>
      <c r="CC70" s="185">
        <v>74299075</v>
      </c>
      <c r="CD70" s="188"/>
      <c r="CE70" s="195">
        <f t="shared" si="0"/>
        <v>272421307</v>
      </c>
      <c r="CF70" s="245"/>
    </row>
    <row r="71" spans="1:84" ht="12.6" customHeight="1" x14ac:dyDescent="0.25">
      <c r="A71" s="171" t="s">
        <v>243</v>
      </c>
      <c r="B71" s="175"/>
      <c r="C71" s="195">
        <f>SUM(C61:C68)+C69-C70</f>
        <v>65782806.509999998</v>
      </c>
      <c r="D71" s="195">
        <f t="shared" ref="D71:AI71" si="5">SUM(D61:D69)-D70</f>
        <v>0</v>
      </c>
      <c r="E71" s="195">
        <f t="shared" si="5"/>
        <v>79637942.729999989</v>
      </c>
      <c r="F71" s="195">
        <f t="shared" si="5"/>
        <v>0</v>
      </c>
      <c r="G71" s="195">
        <f t="shared" si="5"/>
        <v>4845693.3</v>
      </c>
      <c r="H71" s="195">
        <f t="shared" si="5"/>
        <v>15541781.479999999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55536479.859999999</v>
      </c>
      <c r="Q71" s="195">
        <f t="shared" si="5"/>
        <v>10438281.83</v>
      </c>
      <c r="R71" s="195">
        <f t="shared" si="5"/>
        <v>6002749.1499999994</v>
      </c>
      <c r="S71" s="195">
        <f t="shared" si="5"/>
        <v>13874850.32</v>
      </c>
      <c r="T71" s="195">
        <f t="shared" si="5"/>
        <v>620921.94999999995</v>
      </c>
      <c r="U71" s="195">
        <f t="shared" si="5"/>
        <v>46251131.060000002</v>
      </c>
      <c r="V71" s="195">
        <f t="shared" si="5"/>
        <v>8597659.1999999993</v>
      </c>
      <c r="W71" s="195">
        <f t="shared" si="5"/>
        <v>1965808.73</v>
      </c>
      <c r="X71" s="195">
        <f t="shared" si="5"/>
        <v>2147815.1900000004</v>
      </c>
      <c r="Y71" s="195">
        <f t="shared" si="5"/>
        <v>22289402.43</v>
      </c>
      <c r="Z71" s="195">
        <f t="shared" si="5"/>
        <v>1073724</v>
      </c>
      <c r="AA71" s="195">
        <f t="shared" si="5"/>
        <v>1446741.8299999998</v>
      </c>
      <c r="AB71" s="195">
        <f t="shared" si="5"/>
        <v>101539739</v>
      </c>
      <c r="AC71" s="195">
        <f t="shared" si="5"/>
        <v>16431917.619999999</v>
      </c>
      <c r="AD71" s="195">
        <f t="shared" si="5"/>
        <v>6580869.5199999996</v>
      </c>
      <c r="AE71" s="195">
        <f t="shared" si="5"/>
        <v>6863290.4500000002</v>
      </c>
      <c r="AF71" s="195">
        <f t="shared" si="5"/>
        <v>13877055.49</v>
      </c>
      <c r="AG71" s="195">
        <f t="shared" si="5"/>
        <v>17875645.880000003</v>
      </c>
      <c r="AH71" s="195">
        <f t="shared" si="5"/>
        <v>1951498.2599999998</v>
      </c>
      <c r="AI71" s="195">
        <f t="shared" si="5"/>
        <v>0</v>
      </c>
      <c r="AJ71" s="195">
        <f t="shared" ref="AJ71:BO71" si="6">SUM(AJ61:AJ69)-AJ70</f>
        <v>115222617.31</v>
      </c>
      <c r="AK71" s="195">
        <f t="shared" si="6"/>
        <v>2725534.66</v>
      </c>
      <c r="AL71" s="195">
        <f t="shared" si="6"/>
        <v>2433979.35</v>
      </c>
      <c r="AM71" s="195">
        <f t="shared" si="6"/>
        <v>2804808.54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14545626.630000001</v>
      </c>
      <c r="AS71" s="195">
        <f t="shared" si="6"/>
        <v>0</v>
      </c>
      <c r="AT71" s="195">
        <f t="shared" si="6"/>
        <v>4037220</v>
      </c>
      <c r="AU71" s="195">
        <f t="shared" si="6"/>
        <v>0</v>
      </c>
      <c r="AV71" s="195">
        <f t="shared" si="6"/>
        <v>4757874.2200000007</v>
      </c>
      <c r="AW71" s="195">
        <f t="shared" si="6"/>
        <v>92814569.969999999</v>
      </c>
      <c r="AX71" s="195">
        <f t="shared" si="6"/>
        <v>1995515</v>
      </c>
      <c r="AY71" s="195">
        <f t="shared" si="6"/>
        <v>14999152</v>
      </c>
      <c r="AZ71" s="195">
        <f t="shared" si="6"/>
        <v>557815.19999999995</v>
      </c>
      <c r="BA71" s="195">
        <f t="shared" si="6"/>
        <v>3521252</v>
      </c>
      <c r="BB71" s="195">
        <f t="shared" si="6"/>
        <v>16646579.43</v>
      </c>
      <c r="BC71" s="195">
        <f t="shared" si="6"/>
        <v>285377</v>
      </c>
      <c r="BD71" s="195">
        <f t="shared" si="6"/>
        <v>3330868.93</v>
      </c>
      <c r="BE71" s="195">
        <f t="shared" si="6"/>
        <v>45137202.539999999</v>
      </c>
      <c r="BF71" s="195">
        <f t="shared" si="6"/>
        <v>11633646.27</v>
      </c>
      <c r="BG71" s="195">
        <f t="shared" si="6"/>
        <v>4712246.33</v>
      </c>
      <c r="BH71" s="195">
        <f t="shared" si="6"/>
        <v>84753659.980000004</v>
      </c>
      <c r="BI71" s="195">
        <f t="shared" si="6"/>
        <v>7086926.5299999993</v>
      </c>
      <c r="BJ71" s="195">
        <f t="shared" si="6"/>
        <v>12784579.699999999</v>
      </c>
      <c r="BK71" s="195">
        <f t="shared" si="6"/>
        <v>11786428.050000001</v>
      </c>
      <c r="BL71" s="195">
        <f t="shared" si="6"/>
        <v>7167072.8599999994</v>
      </c>
      <c r="BM71" s="195">
        <f t="shared" si="6"/>
        <v>0</v>
      </c>
      <c r="BN71" s="195">
        <f t="shared" si="6"/>
        <v>29673474.149999999</v>
      </c>
      <c r="BO71" s="195">
        <f t="shared" si="6"/>
        <v>2178015.2199999997</v>
      </c>
      <c r="BP71" s="195">
        <f t="shared" ref="BP71:CC71" si="7">SUM(BP61:BP69)-BP70</f>
        <v>10847611</v>
      </c>
      <c r="BQ71" s="195">
        <f t="shared" si="7"/>
        <v>7074078</v>
      </c>
      <c r="BR71" s="195">
        <f t="shared" si="7"/>
        <v>12647345.310000001</v>
      </c>
      <c r="BS71" s="195">
        <f t="shared" si="7"/>
        <v>633906.83000000007</v>
      </c>
      <c r="BT71" s="195">
        <f t="shared" si="7"/>
        <v>941351</v>
      </c>
      <c r="BU71" s="195">
        <f t="shared" si="7"/>
        <v>1416188</v>
      </c>
      <c r="BV71" s="195">
        <f t="shared" si="7"/>
        <v>7071473.7299999995</v>
      </c>
      <c r="BW71" s="195">
        <f t="shared" si="7"/>
        <v>32488690.890000001</v>
      </c>
      <c r="BX71" s="195">
        <f t="shared" si="7"/>
        <v>14789712.49</v>
      </c>
      <c r="BY71" s="195">
        <f t="shared" si="7"/>
        <v>8014840.7999999998</v>
      </c>
      <c r="BZ71" s="195">
        <f t="shared" si="7"/>
        <v>7313644</v>
      </c>
      <c r="CA71" s="195">
        <f t="shared" si="7"/>
        <v>0</v>
      </c>
      <c r="CB71" s="195">
        <f t="shared" si="7"/>
        <v>0</v>
      </c>
      <c r="CC71" s="195">
        <f t="shared" si="7"/>
        <v>21064484.50999999</v>
      </c>
      <c r="CD71" s="238">
        <f>CD69-CD70</f>
        <v>56889772</v>
      </c>
      <c r="CE71" s="195">
        <f>SUM(CE61:CE69)-CE70</f>
        <v>1179958946.22</v>
      </c>
      <c r="CF71" s="245"/>
    </row>
    <row r="72" spans="1:84" ht="12.6" customHeight="1" x14ac:dyDescent="0.25">
      <c r="A72" s="171" t="s">
        <v>244</v>
      </c>
      <c r="B72" s="175"/>
      <c r="C72" s="242" t="s">
        <v>221</v>
      </c>
      <c r="D72" s="242" t="s">
        <v>221</v>
      </c>
      <c r="E72" s="242" t="s">
        <v>221</v>
      </c>
      <c r="F72" s="242" t="s">
        <v>221</v>
      </c>
      <c r="G72" s="242" t="s">
        <v>221</v>
      </c>
      <c r="H72" s="242" t="s">
        <v>221</v>
      </c>
      <c r="I72" s="242" t="s">
        <v>221</v>
      </c>
      <c r="J72" s="242" t="s">
        <v>221</v>
      </c>
      <c r="K72" s="246" t="s">
        <v>221</v>
      </c>
      <c r="L72" s="242" t="s">
        <v>221</v>
      </c>
      <c r="M72" s="242" t="s">
        <v>221</v>
      </c>
      <c r="N72" s="242" t="s">
        <v>221</v>
      </c>
      <c r="O72" s="242" t="s">
        <v>221</v>
      </c>
      <c r="P72" s="242" t="s">
        <v>221</v>
      </c>
      <c r="Q72" s="242" t="s">
        <v>221</v>
      </c>
      <c r="R72" s="242" t="s">
        <v>221</v>
      </c>
      <c r="S72" s="242" t="s">
        <v>221</v>
      </c>
      <c r="T72" s="242" t="s">
        <v>221</v>
      </c>
      <c r="U72" s="242" t="s">
        <v>221</v>
      </c>
      <c r="V72" s="242" t="s">
        <v>221</v>
      </c>
      <c r="W72" s="242" t="s">
        <v>221</v>
      </c>
      <c r="X72" s="242" t="s">
        <v>221</v>
      </c>
      <c r="Y72" s="242" t="s">
        <v>221</v>
      </c>
      <c r="Z72" s="242" t="s">
        <v>221</v>
      </c>
      <c r="AA72" s="242" t="s">
        <v>221</v>
      </c>
      <c r="AB72" s="242" t="s">
        <v>221</v>
      </c>
      <c r="AC72" s="242" t="s">
        <v>221</v>
      </c>
      <c r="AD72" s="242" t="s">
        <v>221</v>
      </c>
      <c r="AE72" s="242" t="s">
        <v>221</v>
      </c>
      <c r="AF72" s="242" t="s">
        <v>221</v>
      </c>
      <c r="AG72" s="242" t="s">
        <v>221</v>
      </c>
      <c r="AH72" s="242" t="s">
        <v>221</v>
      </c>
      <c r="AI72" s="242" t="s">
        <v>221</v>
      </c>
      <c r="AJ72" s="242" t="s">
        <v>221</v>
      </c>
      <c r="AK72" s="242" t="s">
        <v>221</v>
      </c>
      <c r="AL72" s="242" t="s">
        <v>221</v>
      </c>
      <c r="AM72" s="242" t="s">
        <v>221</v>
      </c>
      <c r="AN72" s="242" t="s">
        <v>221</v>
      </c>
      <c r="AO72" s="242" t="s">
        <v>221</v>
      </c>
      <c r="AP72" s="242" t="s">
        <v>221</v>
      </c>
      <c r="AQ72" s="242" t="s">
        <v>221</v>
      </c>
      <c r="AR72" s="242" t="s">
        <v>221</v>
      </c>
      <c r="AS72" s="242" t="s">
        <v>221</v>
      </c>
      <c r="AT72" s="242" t="s">
        <v>221</v>
      </c>
      <c r="AU72" s="242" t="s">
        <v>221</v>
      </c>
      <c r="AV72" s="242" t="s">
        <v>221</v>
      </c>
      <c r="AW72" s="242" t="s">
        <v>221</v>
      </c>
      <c r="AX72" s="242" t="s">
        <v>221</v>
      </c>
      <c r="AY72" s="242" t="s">
        <v>221</v>
      </c>
      <c r="AZ72" s="242" t="s">
        <v>221</v>
      </c>
      <c r="BA72" s="242" t="s">
        <v>221</v>
      </c>
      <c r="BB72" s="242" t="s">
        <v>221</v>
      </c>
      <c r="BC72" s="242" t="s">
        <v>221</v>
      </c>
      <c r="BD72" s="242" t="s">
        <v>221</v>
      </c>
      <c r="BE72" s="242" t="s">
        <v>221</v>
      </c>
      <c r="BF72" s="242" t="s">
        <v>221</v>
      </c>
      <c r="BG72" s="242" t="s">
        <v>221</v>
      </c>
      <c r="BH72" s="242" t="s">
        <v>221</v>
      </c>
      <c r="BI72" s="242" t="s">
        <v>221</v>
      </c>
      <c r="BJ72" s="242" t="s">
        <v>221</v>
      </c>
      <c r="BK72" s="242" t="s">
        <v>221</v>
      </c>
      <c r="BL72" s="242" t="s">
        <v>221</v>
      </c>
      <c r="BM72" s="242" t="s">
        <v>221</v>
      </c>
      <c r="BN72" s="242" t="s">
        <v>221</v>
      </c>
      <c r="BO72" s="242" t="s">
        <v>221</v>
      </c>
      <c r="BP72" s="242" t="s">
        <v>221</v>
      </c>
      <c r="BQ72" s="242" t="s">
        <v>221</v>
      </c>
      <c r="BR72" s="242" t="s">
        <v>221</v>
      </c>
      <c r="BS72" s="242" t="s">
        <v>221</v>
      </c>
      <c r="BT72" s="242" t="s">
        <v>221</v>
      </c>
      <c r="BU72" s="242" t="s">
        <v>221</v>
      </c>
      <c r="BV72" s="242" t="s">
        <v>221</v>
      </c>
      <c r="BW72" s="242" t="s">
        <v>221</v>
      </c>
      <c r="BX72" s="242" t="s">
        <v>221</v>
      </c>
      <c r="BY72" s="242" t="s">
        <v>221</v>
      </c>
      <c r="BZ72" s="242" t="s">
        <v>221</v>
      </c>
      <c r="CA72" s="242" t="s">
        <v>221</v>
      </c>
      <c r="CB72" s="242" t="s">
        <v>221</v>
      </c>
      <c r="CC72" s="242" t="s">
        <v>221</v>
      </c>
      <c r="CD72" s="242" t="s">
        <v>221</v>
      </c>
      <c r="CE72" s="188"/>
      <c r="CF72" s="245"/>
    </row>
    <row r="73" spans="1:84" ht="12.6" customHeight="1" x14ac:dyDescent="0.25">
      <c r="A73" s="171" t="s">
        <v>245</v>
      </c>
      <c r="B73" s="175"/>
      <c r="C73" s="184">
        <v>396409875</v>
      </c>
      <c r="D73" s="184"/>
      <c r="E73" s="185">
        <v>372466379</v>
      </c>
      <c r="F73" s="185"/>
      <c r="G73" s="184">
        <v>20173776</v>
      </c>
      <c r="H73" s="184">
        <v>78299675</v>
      </c>
      <c r="I73" s="185"/>
      <c r="J73" s="185"/>
      <c r="K73" s="185"/>
      <c r="L73" s="185"/>
      <c r="M73" s="184"/>
      <c r="N73" s="184"/>
      <c r="O73" s="184"/>
      <c r="P73" s="185">
        <v>191325124</v>
      </c>
      <c r="Q73" s="185">
        <v>12202958</v>
      </c>
      <c r="R73" s="185">
        <v>48393688</v>
      </c>
      <c r="S73" s="185">
        <v>10844487</v>
      </c>
      <c r="T73" s="185">
        <v>0</v>
      </c>
      <c r="U73" s="185">
        <v>114946974</v>
      </c>
      <c r="V73" s="185">
        <v>21426834</v>
      </c>
      <c r="W73" s="185">
        <v>9190469</v>
      </c>
      <c r="X73" s="185">
        <v>10235860</v>
      </c>
      <c r="Y73" s="185">
        <v>47085026</v>
      </c>
      <c r="Z73" s="185">
        <v>2453744</v>
      </c>
      <c r="AA73" s="185">
        <v>571931</v>
      </c>
      <c r="AB73" s="185">
        <v>244224351</v>
      </c>
      <c r="AC73" s="185">
        <v>118853270</v>
      </c>
      <c r="AD73" s="185">
        <v>17638315</v>
      </c>
      <c r="AE73" s="185">
        <v>5172458</v>
      </c>
      <c r="AF73" s="185">
        <v>750567</v>
      </c>
      <c r="AG73" s="185">
        <v>33082339</v>
      </c>
      <c r="AH73" s="185">
        <v>562414</v>
      </c>
      <c r="AI73" s="185"/>
      <c r="AJ73" s="185">
        <v>2936580</v>
      </c>
      <c r="AK73" s="185">
        <v>4775647</v>
      </c>
      <c r="AL73" s="185">
        <v>2309696</v>
      </c>
      <c r="AM73" s="185">
        <v>0</v>
      </c>
      <c r="AN73" s="185"/>
      <c r="AO73" s="185"/>
      <c r="AP73" s="185"/>
      <c r="AQ73" s="185"/>
      <c r="AR73" s="185">
        <v>11199</v>
      </c>
      <c r="AS73" s="185"/>
      <c r="AT73" s="185">
        <v>7336250</v>
      </c>
      <c r="AU73" s="185"/>
      <c r="AV73" s="185">
        <v>13795066</v>
      </c>
      <c r="AW73" s="242" t="s">
        <v>221</v>
      </c>
      <c r="AX73" s="242" t="s">
        <v>221</v>
      </c>
      <c r="AY73" s="242" t="s">
        <v>221</v>
      </c>
      <c r="AZ73" s="242" t="s">
        <v>221</v>
      </c>
      <c r="BA73" s="242" t="s">
        <v>221</v>
      </c>
      <c r="BB73" s="242" t="s">
        <v>221</v>
      </c>
      <c r="BC73" s="242" t="s">
        <v>221</v>
      </c>
      <c r="BD73" s="242" t="s">
        <v>221</v>
      </c>
      <c r="BE73" s="242" t="s">
        <v>221</v>
      </c>
      <c r="BF73" s="242" t="s">
        <v>221</v>
      </c>
      <c r="BG73" s="242" t="s">
        <v>221</v>
      </c>
      <c r="BH73" s="242" t="s">
        <v>221</v>
      </c>
      <c r="BI73" s="242" t="s">
        <v>221</v>
      </c>
      <c r="BJ73" s="242" t="s">
        <v>221</v>
      </c>
      <c r="BK73" s="242" t="s">
        <v>221</v>
      </c>
      <c r="BL73" s="242" t="s">
        <v>221</v>
      </c>
      <c r="BM73" s="242" t="s">
        <v>221</v>
      </c>
      <c r="BN73" s="242" t="s">
        <v>221</v>
      </c>
      <c r="BO73" s="242" t="s">
        <v>221</v>
      </c>
      <c r="BP73" s="242" t="s">
        <v>221</v>
      </c>
      <c r="BQ73" s="242" t="s">
        <v>221</v>
      </c>
      <c r="BR73" s="242" t="s">
        <v>221</v>
      </c>
      <c r="BS73" s="242" t="s">
        <v>221</v>
      </c>
      <c r="BT73" s="242" t="s">
        <v>221</v>
      </c>
      <c r="BU73" s="242" t="s">
        <v>221</v>
      </c>
      <c r="BV73" s="242" t="s">
        <v>221</v>
      </c>
      <c r="BW73" s="242" t="s">
        <v>221</v>
      </c>
      <c r="BX73" s="242" t="s">
        <v>221</v>
      </c>
      <c r="BY73" s="242" t="s">
        <v>221</v>
      </c>
      <c r="BZ73" s="242" t="s">
        <v>221</v>
      </c>
      <c r="CA73" s="242" t="s">
        <v>221</v>
      </c>
      <c r="CB73" s="242" t="s">
        <v>221</v>
      </c>
      <c r="CC73" s="242" t="s">
        <v>221</v>
      </c>
      <c r="CD73" s="242" t="s">
        <v>221</v>
      </c>
      <c r="CE73" s="195">
        <f t="shared" ref="CE73:CE80" si="8">SUM(C73:CD73)</f>
        <v>1787474952</v>
      </c>
      <c r="CF73" s="245"/>
    </row>
    <row r="74" spans="1:84" ht="12.6" customHeight="1" x14ac:dyDescent="0.25">
      <c r="A74" s="171" t="s">
        <v>246</v>
      </c>
      <c r="B74" s="175"/>
      <c r="C74" s="184">
        <v>590178</v>
      </c>
      <c r="D74" s="184"/>
      <c r="E74" s="185">
        <v>20852568</v>
      </c>
      <c r="F74" s="185"/>
      <c r="G74" s="184">
        <v>1104924</v>
      </c>
      <c r="H74" s="184">
        <v>18232</v>
      </c>
      <c r="I74" s="184"/>
      <c r="J74" s="185"/>
      <c r="K74" s="185"/>
      <c r="L74" s="185"/>
      <c r="M74" s="184"/>
      <c r="N74" s="184"/>
      <c r="O74" s="184"/>
      <c r="P74" s="185">
        <v>131941411</v>
      </c>
      <c r="Q74" s="185">
        <v>22891130</v>
      </c>
      <c r="R74" s="185">
        <v>43187689</v>
      </c>
      <c r="S74" s="185">
        <v>9626831</v>
      </c>
      <c r="T74" s="185">
        <v>0</v>
      </c>
      <c r="U74" s="185">
        <v>71198771</v>
      </c>
      <c r="V74" s="185">
        <v>43318199</v>
      </c>
      <c r="W74" s="185">
        <v>29193644</v>
      </c>
      <c r="X74" s="185">
        <v>13154172</v>
      </c>
      <c r="Y74" s="185">
        <v>76534549</v>
      </c>
      <c r="Z74" s="185">
        <v>0</v>
      </c>
      <c r="AA74" s="185">
        <v>3430018</v>
      </c>
      <c r="AB74" s="185">
        <v>171339437</v>
      </c>
      <c r="AC74" s="185">
        <v>2472837</v>
      </c>
      <c r="AD74" s="185">
        <v>22565897</v>
      </c>
      <c r="AE74" s="185">
        <v>14230757</v>
      </c>
      <c r="AF74" s="185">
        <v>11827050</v>
      </c>
      <c r="AG74" s="185">
        <v>69556623</v>
      </c>
      <c r="AH74" s="185">
        <v>23528</v>
      </c>
      <c r="AI74" s="185"/>
      <c r="AJ74" s="185">
        <v>116449888</v>
      </c>
      <c r="AK74" s="185">
        <v>3207066</v>
      </c>
      <c r="AL74" s="185">
        <v>4659543</v>
      </c>
      <c r="AM74" s="185">
        <v>0</v>
      </c>
      <c r="AN74" s="185"/>
      <c r="AO74" s="185"/>
      <c r="AP74" s="185"/>
      <c r="AQ74" s="185"/>
      <c r="AR74" s="185">
        <v>64477636</v>
      </c>
      <c r="AS74" s="185"/>
      <c r="AT74" s="185">
        <v>66945</v>
      </c>
      <c r="AU74" s="185"/>
      <c r="AV74" s="185">
        <v>3625</v>
      </c>
      <c r="AW74" s="242" t="s">
        <v>221</v>
      </c>
      <c r="AX74" s="242" t="s">
        <v>221</v>
      </c>
      <c r="AY74" s="242" t="s">
        <v>221</v>
      </c>
      <c r="AZ74" s="242" t="s">
        <v>221</v>
      </c>
      <c r="BA74" s="242" t="s">
        <v>221</v>
      </c>
      <c r="BB74" s="242" t="s">
        <v>221</v>
      </c>
      <c r="BC74" s="242" t="s">
        <v>221</v>
      </c>
      <c r="BD74" s="242" t="s">
        <v>221</v>
      </c>
      <c r="BE74" s="242" t="s">
        <v>221</v>
      </c>
      <c r="BF74" s="242" t="s">
        <v>221</v>
      </c>
      <c r="BG74" s="242" t="s">
        <v>221</v>
      </c>
      <c r="BH74" s="242" t="s">
        <v>221</v>
      </c>
      <c r="BI74" s="242" t="s">
        <v>221</v>
      </c>
      <c r="BJ74" s="242" t="s">
        <v>221</v>
      </c>
      <c r="BK74" s="242" t="s">
        <v>221</v>
      </c>
      <c r="BL74" s="242" t="s">
        <v>221</v>
      </c>
      <c r="BM74" s="242" t="s">
        <v>221</v>
      </c>
      <c r="BN74" s="242" t="s">
        <v>221</v>
      </c>
      <c r="BO74" s="242" t="s">
        <v>221</v>
      </c>
      <c r="BP74" s="242" t="s">
        <v>221</v>
      </c>
      <c r="BQ74" s="242" t="s">
        <v>221</v>
      </c>
      <c r="BR74" s="242" t="s">
        <v>221</v>
      </c>
      <c r="BS74" s="242" t="s">
        <v>221</v>
      </c>
      <c r="BT74" s="242" t="s">
        <v>221</v>
      </c>
      <c r="BU74" s="242" t="s">
        <v>221</v>
      </c>
      <c r="BV74" s="242" t="s">
        <v>221</v>
      </c>
      <c r="BW74" s="242" t="s">
        <v>221</v>
      </c>
      <c r="BX74" s="242" t="s">
        <v>221</v>
      </c>
      <c r="BY74" s="242" t="s">
        <v>221</v>
      </c>
      <c r="BZ74" s="242" t="s">
        <v>221</v>
      </c>
      <c r="CA74" s="242" t="s">
        <v>221</v>
      </c>
      <c r="CB74" s="242" t="s">
        <v>221</v>
      </c>
      <c r="CC74" s="242" t="s">
        <v>221</v>
      </c>
      <c r="CD74" s="242" t="s">
        <v>221</v>
      </c>
      <c r="CE74" s="195">
        <f t="shared" si="8"/>
        <v>947923148</v>
      </c>
      <c r="CF74" s="245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397000053</v>
      </c>
      <c r="D75" s="195">
        <f t="shared" si="9"/>
        <v>0</v>
      </c>
      <c r="E75" s="195">
        <f t="shared" si="9"/>
        <v>393318947</v>
      </c>
      <c r="F75" s="195">
        <f t="shared" si="9"/>
        <v>0</v>
      </c>
      <c r="G75" s="195">
        <f t="shared" si="9"/>
        <v>21278700</v>
      </c>
      <c r="H75" s="195">
        <f t="shared" si="9"/>
        <v>78317907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323266535</v>
      </c>
      <c r="Q75" s="195">
        <f t="shared" si="9"/>
        <v>35094088</v>
      </c>
      <c r="R75" s="195">
        <f t="shared" si="9"/>
        <v>91581377</v>
      </c>
      <c r="S75" s="195">
        <f t="shared" si="9"/>
        <v>20471318</v>
      </c>
      <c r="T75" s="195">
        <f t="shared" si="9"/>
        <v>0</v>
      </c>
      <c r="U75" s="195">
        <f t="shared" si="9"/>
        <v>186145745</v>
      </c>
      <c r="V75" s="195">
        <f t="shared" si="9"/>
        <v>64745033</v>
      </c>
      <c r="W75" s="195">
        <f t="shared" si="9"/>
        <v>38384113</v>
      </c>
      <c r="X75" s="195">
        <f t="shared" si="9"/>
        <v>23390032</v>
      </c>
      <c r="Y75" s="195">
        <f t="shared" si="9"/>
        <v>123619575</v>
      </c>
      <c r="Z75" s="195">
        <f t="shared" si="9"/>
        <v>2453744</v>
      </c>
      <c r="AA75" s="195">
        <f t="shared" si="9"/>
        <v>4001949</v>
      </c>
      <c r="AB75" s="195">
        <f t="shared" si="9"/>
        <v>415563788</v>
      </c>
      <c r="AC75" s="195">
        <f t="shared" si="9"/>
        <v>121326107</v>
      </c>
      <c r="AD75" s="195">
        <f t="shared" si="9"/>
        <v>40204212</v>
      </c>
      <c r="AE75" s="195">
        <f t="shared" si="9"/>
        <v>19403215</v>
      </c>
      <c r="AF75" s="195">
        <f t="shared" si="9"/>
        <v>12577617</v>
      </c>
      <c r="AG75" s="195">
        <f t="shared" si="9"/>
        <v>102638962</v>
      </c>
      <c r="AH75" s="195">
        <f t="shared" si="9"/>
        <v>585942</v>
      </c>
      <c r="AI75" s="195">
        <f t="shared" si="9"/>
        <v>0</v>
      </c>
      <c r="AJ75" s="195">
        <f t="shared" si="9"/>
        <v>119386468</v>
      </c>
      <c r="AK75" s="195">
        <f t="shared" si="9"/>
        <v>7982713</v>
      </c>
      <c r="AL75" s="195">
        <f t="shared" si="9"/>
        <v>6969239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64488835</v>
      </c>
      <c r="AS75" s="195">
        <f t="shared" si="9"/>
        <v>0</v>
      </c>
      <c r="AT75" s="195">
        <f t="shared" si="9"/>
        <v>7403195</v>
      </c>
      <c r="AU75" s="195">
        <f t="shared" si="9"/>
        <v>0</v>
      </c>
      <c r="AV75" s="195">
        <f t="shared" si="9"/>
        <v>13798691</v>
      </c>
      <c r="AW75" s="242" t="s">
        <v>221</v>
      </c>
      <c r="AX75" s="242" t="s">
        <v>221</v>
      </c>
      <c r="AY75" s="242" t="s">
        <v>221</v>
      </c>
      <c r="AZ75" s="242" t="s">
        <v>221</v>
      </c>
      <c r="BA75" s="242" t="s">
        <v>221</v>
      </c>
      <c r="BB75" s="242" t="s">
        <v>221</v>
      </c>
      <c r="BC75" s="242" t="s">
        <v>221</v>
      </c>
      <c r="BD75" s="242" t="s">
        <v>221</v>
      </c>
      <c r="BE75" s="242" t="s">
        <v>221</v>
      </c>
      <c r="BF75" s="242" t="s">
        <v>221</v>
      </c>
      <c r="BG75" s="242" t="s">
        <v>221</v>
      </c>
      <c r="BH75" s="242" t="s">
        <v>221</v>
      </c>
      <c r="BI75" s="242" t="s">
        <v>221</v>
      </c>
      <c r="BJ75" s="242" t="s">
        <v>221</v>
      </c>
      <c r="BK75" s="242" t="s">
        <v>221</v>
      </c>
      <c r="BL75" s="242" t="s">
        <v>221</v>
      </c>
      <c r="BM75" s="242" t="s">
        <v>221</v>
      </c>
      <c r="BN75" s="242" t="s">
        <v>221</v>
      </c>
      <c r="BO75" s="242" t="s">
        <v>221</v>
      </c>
      <c r="BP75" s="242" t="s">
        <v>221</v>
      </c>
      <c r="BQ75" s="242" t="s">
        <v>221</v>
      </c>
      <c r="BR75" s="242" t="s">
        <v>221</v>
      </c>
      <c r="BS75" s="242" t="s">
        <v>221</v>
      </c>
      <c r="BT75" s="242" t="s">
        <v>221</v>
      </c>
      <c r="BU75" s="242" t="s">
        <v>221</v>
      </c>
      <c r="BV75" s="242" t="s">
        <v>221</v>
      </c>
      <c r="BW75" s="242" t="s">
        <v>221</v>
      </c>
      <c r="BX75" s="242" t="s">
        <v>221</v>
      </c>
      <c r="BY75" s="242" t="s">
        <v>221</v>
      </c>
      <c r="BZ75" s="242" t="s">
        <v>221</v>
      </c>
      <c r="CA75" s="242" t="s">
        <v>221</v>
      </c>
      <c r="CB75" s="242" t="s">
        <v>221</v>
      </c>
      <c r="CC75" s="242" t="s">
        <v>221</v>
      </c>
      <c r="CD75" s="242" t="s">
        <v>221</v>
      </c>
      <c r="CE75" s="195">
        <f t="shared" si="8"/>
        <v>2735398100</v>
      </c>
      <c r="CF75" s="245"/>
    </row>
    <row r="76" spans="1:84" ht="12.6" customHeight="1" x14ac:dyDescent="0.25">
      <c r="A76" s="171" t="s">
        <v>248</v>
      </c>
      <c r="B76" s="175"/>
      <c r="C76" s="184">
        <v>74287.567999999999</v>
      </c>
      <c r="D76" s="184">
        <v>0</v>
      </c>
      <c r="E76" s="184">
        <f>187510.164+16926+16926</f>
        <v>221362.16399999999</v>
      </c>
      <c r="F76" s="184">
        <v>0</v>
      </c>
      <c r="G76" s="184">
        <v>11962.39</v>
      </c>
      <c r="H76" s="184">
        <f>44630.492+16926</f>
        <v>61556.491999999998</v>
      </c>
      <c r="I76" s="184">
        <v>0</v>
      </c>
      <c r="J76" s="184">
        <v>0</v>
      </c>
      <c r="K76" s="184">
        <v>0</v>
      </c>
      <c r="L76" s="184">
        <v>0</v>
      </c>
      <c r="M76" s="184">
        <v>0</v>
      </c>
      <c r="N76" s="184">
        <v>0</v>
      </c>
      <c r="O76" s="184">
        <v>0</v>
      </c>
      <c r="P76" s="184">
        <f>65870.2726944972+16926+16926</f>
        <v>99722.272694497195</v>
      </c>
      <c r="Q76" s="184">
        <v>9803.7900000000009</v>
      </c>
      <c r="R76" s="184">
        <v>7599.174</v>
      </c>
      <c r="S76" s="184">
        <v>33673.906923076924</v>
      </c>
      <c r="T76" s="184">
        <v>477.67</v>
      </c>
      <c r="U76" s="184">
        <v>44203.38</v>
      </c>
      <c r="V76" s="184">
        <v>5472.7139999999999</v>
      </c>
      <c r="W76" s="184">
        <v>0</v>
      </c>
      <c r="X76" s="184">
        <v>4161.9791323313448</v>
      </c>
      <c r="Y76" s="184">
        <f>35267.5729012989+16926</f>
        <v>52193.572901298903</v>
      </c>
      <c r="Z76" s="184">
        <v>388.48906929758834</v>
      </c>
      <c r="AA76" s="184">
        <v>2220.0539544764915</v>
      </c>
      <c r="AB76" s="184">
        <v>16736</v>
      </c>
      <c r="AC76" s="184">
        <v>5081.18</v>
      </c>
      <c r="AD76" s="184">
        <v>4836.8999999999996</v>
      </c>
      <c r="AE76" s="184">
        <v>11296.93</v>
      </c>
      <c r="AF76" s="184">
        <v>10764.396000000001</v>
      </c>
      <c r="AG76" s="184">
        <v>33302.934000000001</v>
      </c>
      <c r="AH76" s="184">
        <v>212.64</v>
      </c>
      <c r="AI76" s="184">
        <v>0</v>
      </c>
      <c r="AJ76" s="184">
        <f>138741.525005109+16926+16926+16926</f>
        <v>189519.525005109</v>
      </c>
      <c r="AK76" s="184">
        <v>3745.2</v>
      </c>
      <c r="AL76" s="184">
        <v>2801.58</v>
      </c>
      <c r="AM76" s="184">
        <v>6698.07</v>
      </c>
      <c r="AN76" s="184">
        <v>0</v>
      </c>
      <c r="AO76" s="184">
        <v>0</v>
      </c>
      <c r="AP76" s="184">
        <v>0</v>
      </c>
      <c r="AQ76" s="184">
        <v>0</v>
      </c>
      <c r="AR76" s="184">
        <v>0</v>
      </c>
      <c r="AS76" s="184">
        <v>0</v>
      </c>
      <c r="AT76" s="184">
        <v>99.05</v>
      </c>
      <c r="AU76" s="184">
        <v>0</v>
      </c>
      <c r="AV76" s="184">
        <v>671.43</v>
      </c>
      <c r="AW76" s="184">
        <v>5529.58</v>
      </c>
      <c r="AX76" s="184">
        <v>0</v>
      </c>
      <c r="AY76" s="184">
        <v>34829</v>
      </c>
      <c r="AZ76" s="184">
        <v>7974</v>
      </c>
      <c r="BA76" s="184">
        <v>0</v>
      </c>
      <c r="BB76" s="184">
        <v>13182.046</v>
      </c>
      <c r="BC76" s="184">
        <v>0</v>
      </c>
      <c r="BD76" s="184">
        <v>6035.4440000000004</v>
      </c>
      <c r="BE76" s="184">
        <f>134674.487+16926</f>
        <v>151600.48699999999</v>
      </c>
      <c r="BF76" s="184">
        <v>6368.5300000000007</v>
      </c>
      <c r="BG76" s="184">
        <v>1369.3</v>
      </c>
      <c r="BH76" s="184">
        <v>49236.720000000008</v>
      </c>
      <c r="BI76" s="184">
        <v>1157.22</v>
      </c>
      <c r="BJ76" s="184">
        <v>221.34</v>
      </c>
      <c r="BK76" s="184">
        <v>384.73</v>
      </c>
      <c r="BL76" s="184">
        <v>1133.1000000000001</v>
      </c>
      <c r="BM76" s="184">
        <v>0</v>
      </c>
      <c r="BN76" s="184">
        <v>54949.67</v>
      </c>
      <c r="BO76" s="184">
        <v>0</v>
      </c>
      <c r="BP76" s="184">
        <v>7988.15</v>
      </c>
      <c r="BQ76" s="184">
        <v>3427.38</v>
      </c>
      <c r="BR76" s="184">
        <v>13009.1</v>
      </c>
      <c r="BS76" s="184">
        <v>2853.14</v>
      </c>
      <c r="BT76" s="184">
        <v>1635.85</v>
      </c>
      <c r="BU76" s="184">
        <v>4108.68</v>
      </c>
      <c r="BV76" s="184">
        <v>14228.98</v>
      </c>
      <c r="BW76" s="184">
        <v>43517.156000000003</v>
      </c>
      <c r="BX76" s="184">
        <v>3691.0499999999997</v>
      </c>
      <c r="BY76" s="184">
        <v>4977.0499999999993</v>
      </c>
      <c r="BZ76" s="184">
        <v>2392.9499999999998</v>
      </c>
      <c r="CA76" s="184">
        <v>0</v>
      </c>
      <c r="CB76" s="184">
        <v>0</v>
      </c>
      <c r="CC76" s="184">
        <v>36475.51</v>
      </c>
      <c r="CD76" s="242" t="s">
        <v>221</v>
      </c>
      <c r="CE76" s="195">
        <f t="shared" si="8"/>
        <v>1387127.6146800872</v>
      </c>
      <c r="CF76" s="195">
        <f>BE59-CE76</f>
        <v>0.3853199128061533</v>
      </c>
    </row>
    <row r="77" spans="1:84" ht="12.6" customHeight="1" x14ac:dyDescent="0.25">
      <c r="A77" s="171" t="s">
        <v>249</v>
      </c>
      <c r="B77" s="175"/>
      <c r="C77" s="184">
        <v>0</v>
      </c>
      <c r="D77" s="184">
        <v>0</v>
      </c>
      <c r="E77" s="184">
        <v>0</v>
      </c>
      <c r="F77" s="184">
        <v>0</v>
      </c>
      <c r="G77" s="184">
        <v>0</v>
      </c>
      <c r="H77" s="184">
        <v>0</v>
      </c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2" t="s">
        <v>221</v>
      </c>
      <c r="AY77" s="242" t="s">
        <v>221</v>
      </c>
      <c r="AZ77" s="184">
        <v>1092264</v>
      </c>
      <c r="BA77" s="184">
        <v>0</v>
      </c>
      <c r="BB77" s="184">
        <v>0</v>
      </c>
      <c r="BC77" s="184">
        <v>0</v>
      </c>
      <c r="BD77" s="242" t="s">
        <v>221</v>
      </c>
      <c r="BE77" s="242" t="s">
        <v>221</v>
      </c>
      <c r="BF77" s="184">
        <v>0</v>
      </c>
      <c r="BG77" s="242" t="s">
        <v>221</v>
      </c>
      <c r="BH77" s="184">
        <v>0</v>
      </c>
      <c r="BI77" s="184">
        <v>0</v>
      </c>
      <c r="BJ77" s="242" t="s">
        <v>221</v>
      </c>
      <c r="BK77" s="184">
        <v>0</v>
      </c>
      <c r="BL77" s="184">
        <v>0</v>
      </c>
      <c r="BM77" s="184">
        <v>0</v>
      </c>
      <c r="BN77" s="242" t="s">
        <v>221</v>
      </c>
      <c r="BO77" s="242" t="s">
        <v>221</v>
      </c>
      <c r="BP77" s="242" t="s">
        <v>221</v>
      </c>
      <c r="BQ77" s="242" t="s">
        <v>221</v>
      </c>
      <c r="BR77" s="184">
        <v>0</v>
      </c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2" t="s">
        <v>221</v>
      </c>
      <c r="CD77" s="242" t="s">
        <v>221</v>
      </c>
      <c r="CE77" s="195">
        <f>SUM(C77:CD77)</f>
        <v>1092264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227</v>
      </c>
      <c r="D78" s="184"/>
      <c r="E78" s="184">
        <f>27061-4743</f>
        <v>22318</v>
      </c>
      <c r="F78" s="184"/>
      <c r="G78" s="184">
        <v>209</v>
      </c>
      <c r="H78" s="184">
        <v>2168</v>
      </c>
      <c r="I78" s="184"/>
      <c r="J78" s="184"/>
      <c r="K78" s="184"/>
      <c r="L78" s="184"/>
      <c r="M78" s="184"/>
      <c r="N78" s="184"/>
      <c r="O78" s="184"/>
      <c r="P78" s="184">
        <v>4930</v>
      </c>
      <c r="Q78" s="184">
        <v>1154</v>
      </c>
      <c r="R78" s="184">
        <f>14068-4743</f>
        <v>9325</v>
      </c>
      <c r="S78" s="184">
        <v>4355</v>
      </c>
      <c r="T78" s="184">
        <v>91</v>
      </c>
      <c r="U78" s="184">
        <f>130051-4743-4743</f>
        <v>120565</v>
      </c>
      <c r="V78" s="184">
        <v>7567</v>
      </c>
      <c r="W78" s="184"/>
      <c r="X78" s="184">
        <v>0</v>
      </c>
      <c r="Y78" s="184">
        <v>4131</v>
      </c>
      <c r="Z78" s="184">
        <v>208</v>
      </c>
      <c r="AA78" s="184">
        <v>6719</v>
      </c>
      <c r="AB78" s="184">
        <v>7321</v>
      </c>
      <c r="AC78" s="184">
        <v>34</v>
      </c>
      <c r="AD78" s="184">
        <v>573</v>
      </c>
      <c r="AE78" s="184">
        <v>2246</v>
      </c>
      <c r="AF78" s="184"/>
      <c r="AG78" s="184"/>
      <c r="AH78" s="184"/>
      <c r="AI78" s="184"/>
      <c r="AJ78" s="184">
        <v>12436</v>
      </c>
      <c r="AK78" s="184"/>
      <c r="AL78" s="184"/>
      <c r="AM78" s="184"/>
      <c r="AN78" s="184"/>
      <c r="AO78" s="184"/>
      <c r="AP78" s="184"/>
      <c r="AQ78" s="184"/>
      <c r="AR78" s="184"/>
      <c r="AS78" s="184"/>
      <c r="AT78" s="184">
        <v>987</v>
      </c>
      <c r="AU78" s="184"/>
      <c r="AV78" s="184"/>
      <c r="AW78" s="184"/>
      <c r="AX78" s="242" t="s">
        <v>221</v>
      </c>
      <c r="AY78" s="242" t="s">
        <v>221</v>
      </c>
      <c r="AZ78" s="242" t="s">
        <v>221</v>
      </c>
      <c r="BA78" s="184"/>
      <c r="BB78" s="184"/>
      <c r="BC78" s="184"/>
      <c r="BD78" s="242" t="s">
        <v>221</v>
      </c>
      <c r="BE78" s="242" t="s">
        <v>221</v>
      </c>
      <c r="BF78" s="242" t="s">
        <v>221</v>
      </c>
      <c r="BG78" s="242" t="s">
        <v>221</v>
      </c>
      <c r="BH78" s="184"/>
      <c r="BI78" s="184"/>
      <c r="BJ78" s="242" t="s">
        <v>221</v>
      </c>
      <c r="BK78" s="184"/>
      <c r="BL78" s="184"/>
      <c r="BM78" s="184"/>
      <c r="BN78" s="242" t="s">
        <v>221</v>
      </c>
      <c r="BO78" s="242" t="s">
        <v>221</v>
      </c>
      <c r="BP78" s="242" t="s">
        <v>221</v>
      </c>
      <c r="BQ78" s="242" t="s">
        <v>221</v>
      </c>
      <c r="BR78" s="242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2" t="s">
        <v>221</v>
      </c>
      <c r="CD78" s="242" t="s">
        <v>221</v>
      </c>
      <c r="CE78" s="195">
        <f t="shared" si="8"/>
        <v>207564</v>
      </c>
      <c r="CF78" s="195"/>
    </row>
    <row r="79" spans="1:84" ht="12.6" customHeight="1" x14ac:dyDescent="0.25">
      <c r="A79" s="171" t="s">
        <v>251</v>
      </c>
      <c r="B79" s="175"/>
      <c r="C79" s="221">
        <f>1013451+75885</f>
        <v>1089336</v>
      </c>
      <c r="D79" s="221"/>
      <c r="E79" s="184">
        <f>1513976+75885</f>
        <v>1589861</v>
      </c>
      <c r="F79" s="184"/>
      <c r="G79" s="184">
        <v>38072</v>
      </c>
      <c r="H79" s="184">
        <f>154865+75885</f>
        <v>230750</v>
      </c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>
        <v>29114</v>
      </c>
      <c r="T79" s="184"/>
      <c r="U79" s="184"/>
      <c r="V79" s="184">
        <v>49457</v>
      </c>
      <c r="W79" s="184"/>
      <c r="X79" s="184"/>
      <c r="Y79" s="184">
        <f>202306+75885</f>
        <v>278191</v>
      </c>
      <c r="Z79" s="184"/>
      <c r="AA79" s="184"/>
      <c r="AB79" s="184">
        <v>14237</v>
      </c>
      <c r="AC79" s="184"/>
      <c r="AD79" s="184"/>
      <c r="AE79" s="184"/>
      <c r="AF79" s="184"/>
      <c r="AG79" s="184">
        <v>85116</v>
      </c>
      <c r="AH79" s="184"/>
      <c r="AI79" s="184"/>
      <c r="AJ79" s="184">
        <v>102208</v>
      </c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2" t="s">
        <v>221</v>
      </c>
      <c r="AY79" s="242" t="s">
        <v>221</v>
      </c>
      <c r="AZ79" s="242" t="s">
        <v>221</v>
      </c>
      <c r="BA79" s="242" t="s">
        <v>221</v>
      </c>
      <c r="BB79" s="184"/>
      <c r="BC79" s="184"/>
      <c r="BD79" s="242" t="s">
        <v>221</v>
      </c>
      <c r="BE79" s="242" t="s">
        <v>221</v>
      </c>
      <c r="BF79" s="242" t="s">
        <v>221</v>
      </c>
      <c r="BG79" s="242" t="s">
        <v>221</v>
      </c>
      <c r="BH79" s="184"/>
      <c r="BI79" s="184">
        <v>8415</v>
      </c>
      <c r="BJ79" s="242" t="s">
        <v>221</v>
      </c>
      <c r="BK79" s="184"/>
      <c r="BL79" s="184"/>
      <c r="BM79" s="184"/>
      <c r="BN79" s="242" t="s">
        <v>221</v>
      </c>
      <c r="BO79" s="242" t="s">
        <v>221</v>
      </c>
      <c r="BP79" s="242" t="s">
        <v>221</v>
      </c>
      <c r="BQ79" s="242" t="s">
        <v>221</v>
      </c>
      <c r="BR79" s="242" t="s">
        <v>221</v>
      </c>
      <c r="BS79" s="184"/>
      <c r="BT79" s="184"/>
      <c r="BU79" s="184"/>
      <c r="BV79" s="184"/>
      <c r="BW79" s="184">
        <v>22139</v>
      </c>
      <c r="BX79" s="184"/>
      <c r="BY79" s="184"/>
      <c r="BZ79" s="184"/>
      <c r="CA79" s="184"/>
      <c r="CB79" s="184"/>
      <c r="CC79" s="242" t="s">
        <v>221</v>
      </c>
      <c r="CD79" s="242" t="s">
        <v>221</v>
      </c>
      <c r="CE79" s="195">
        <f t="shared" si="8"/>
        <v>3536896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302.72000000000003</v>
      </c>
      <c r="D80" s="187"/>
      <c r="E80" s="187">
        <v>426.41</v>
      </c>
      <c r="F80" s="187"/>
      <c r="G80" s="187">
        <v>22.71</v>
      </c>
      <c r="H80" s="187">
        <v>38.729999999999997</v>
      </c>
      <c r="I80" s="187"/>
      <c r="J80" s="187"/>
      <c r="K80" s="187"/>
      <c r="L80" s="187"/>
      <c r="M80" s="187"/>
      <c r="N80" s="187"/>
      <c r="O80" s="187"/>
      <c r="P80" s="187">
        <v>68.989999999999995</v>
      </c>
      <c r="Q80" s="187">
        <v>49.32</v>
      </c>
      <c r="R80" s="187">
        <v>0.24</v>
      </c>
      <c r="S80" s="187">
        <v>0</v>
      </c>
      <c r="T80" s="187">
        <v>10.039999999999999</v>
      </c>
      <c r="U80" s="187">
        <v>0</v>
      </c>
      <c r="V80" s="187">
        <v>1.06</v>
      </c>
      <c r="W80" s="187">
        <v>0</v>
      </c>
      <c r="X80" s="187">
        <v>0</v>
      </c>
      <c r="Y80" s="187">
        <v>19.5</v>
      </c>
      <c r="Z80" s="187">
        <v>0</v>
      </c>
      <c r="AA80" s="187">
        <v>0</v>
      </c>
      <c r="AB80" s="187"/>
      <c r="AC80" s="187">
        <v>0</v>
      </c>
      <c r="AD80" s="187">
        <v>25.64</v>
      </c>
      <c r="AE80" s="187">
        <v>0</v>
      </c>
      <c r="AF80" s="187">
        <v>7.17</v>
      </c>
      <c r="AG80" s="187">
        <v>67.41</v>
      </c>
      <c r="AH80" s="187">
        <v>11.05</v>
      </c>
      <c r="AI80" s="187"/>
      <c r="AJ80" s="187">
        <v>300.24</v>
      </c>
      <c r="AK80" s="187">
        <v>0</v>
      </c>
      <c r="AL80" s="187">
        <v>0</v>
      </c>
      <c r="AM80" s="187">
        <v>0</v>
      </c>
      <c r="AN80" s="187"/>
      <c r="AO80" s="187"/>
      <c r="AP80" s="187"/>
      <c r="AQ80" s="187"/>
      <c r="AR80" s="187">
        <v>5.29</v>
      </c>
      <c r="AS80" s="187"/>
      <c r="AT80" s="187">
        <v>2.4</v>
      </c>
      <c r="AU80" s="187"/>
      <c r="AV80" s="187">
        <v>8.49</v>
      </c>
      <c r="AW80" s="242" t="s">
        <v>221</v>
      </c>
      <c r="AX80" s="242" t="s">
        <v>221</v>
      </c>
      <c r="AY80" s="242" t="s">
        <v>221</v>
      </c>
      <c r="AZ80" s="242" t="s">
        <v>221</v>
      </c>
      <c r="BA80" s="242" t="s">
        <v>221</v>
      </c>
      <c r="BB80" s="242" t="s">
        <v>221</v>
      </c>
      <c r="BC80" s="242" t="s">
        <v>221</v>
      </c>
      <c r="BD80" s="242" t="s">
        <v>221</v>
      </c>
      <c r="BE80" s="242" t="s">
        <v>221</v>
      </c>
      <c r="BF80" s="242" t="s">
        <v>221</v>
      </c>
      <c r="BG80" s="242" t="s">
        <v>221</v>
      </c>
      <c r="BH80" s="242" t="s">
        <v>221</v>
      </c>
      <c r="BI80" s="242" t="s">
        <v>221</v>
      </c>
      <c r="BJ80" s="242" t="s">
        <v>221</v>
      </c>
      <c r="BK80" s="242" t="s">
        <v>221</v>
      </c>
      <c r="BL80" s="242" t="s">
        <v>221</v>
      </c>
      <c r="BM80" s="242" t="s">
        <v>221</v>
      </c>
      <c r="BN80" s="242" t="s">
        <v>221</v>
      </c>
      <c r="BO80" s="242" t="s">
        <v>221</v>
      </c>
      <c r="BP80" s="242" t="s">
        <v>221</v>
      </c>
      <c r="BQ80" s="242" t="s">
        <v>221</v>
      </c>
      <c r="BR80" s="242" t="s">
        <v>221</v>
      </c>
      <c r="BS80" s="242" t="s">
        <v>221</v>
      </c>
      <c r="BT80" s="242" t="s">
        <v>221</v>
      </c>
      <c r="BU80" s="247"/>
      <c r="BV80" s="247"/>
      <c r="BW80" s="247"/>
      <c r="BX80" s="247"/>
      <c r="BY80" s="247"/>
      <c r="BZ80" s="247"/>
      <c r="CA80" s="247"/>
      <c r="CB80" s="247"/>
      <c r="CC80" s="242" t="s">
        <v>221</v>
      </c>
      <c r="CD80" s="242" t="s">
        <v>221</v>
      </c>
      <c r="CE80" s="248">
        <f t="shared" si="8"/>
        <v>1367.41</v>
      </c>
      <c r="CF80" s="248"/>
    </row>
    <row r="81" spans="1:5" ht="12.6" customHeight="1" x14ac:dyDescent="0.25">
      <c r="A81" s="205" t="s">
        <v>253</v>
      </c>
      <c r="B81" s="205"/>
      <c r="C81" s="205"/>
      <c r="D81" s="205"/>
      <c r="E81" s="205"/>
    </row>
    <row r="82" spans="1:5" ht="12.6" customHeight="1" x14ac:dyDescent="0.25">
      <c r="A82" s="171" t="s">
        <v>254</v>
      </c>
      <c r="B82" s="172"/>
      <c r="C82" s="267" t="s">
        <v>1004</v>
      </c>
      <c r="D82" s="249"/>
      <c r="E82" s="175"/>
    </row>
    <row r="83" spans="1:5" ht="12.6" customHeight="1" x14ac:dyDescent="0.25">
      <c r="A83" s="173" t="s">
        <v>255</v>
      </c>
      <c r="B83" s="172" t="s">
        <v>256</v>
      </c>
      <c r="C83" s="222" t="s">
        <v>1003</v>
      </c>
      <c r="D83" s="249"/>
      <c r="E83" s="175"/>
    </row>
    <row r="84" spans="1:5" ht="12.6" customHeight="1" x14ac:dyDescent="0.25">
      <c r="A84" s="173" t="s">
        <v>257</v>
      </c>
      <c r="B84" s="172" t="s">
        <v>256</v>
      </c>
      <c r="C84" s="222" t="s">
        <v>1005</v>
      </c>
      <c r="D84" s="202"/>
      <c r="E84" s="201"/>
    </row>
    <row r="85" spans="1:5" ht="12.6" customHeight="1" x14ac:dyDescent="0.25">
      <c r="A85" s="173" t="s">
        <v>988</v>
      </c>
      <c r="B85" s="172"/>
      <c r="C85" s="222" t="s">
        <v>1006</v>
      </c>
      <c r="D85" s="202"/>
      <c r="E85" s="201"/>
    </row>
    <row r="86" spans="1:5" ht="12.6" customHeight="1" x14ac:dyDescent="0.25">
      <c r="A86" s="173" t="s">
        <v>989</v>
      </c>
      <c r="B86" s="172" t="s">
        <v>256</v>
      </c>
      <c r="C86" s="222" t="s">
        <v>1007</v>
      </c>
      <c r="D86" s="202"/>
      <c r="E86" s="201"/>
    </row>
    <row r="87" spans="1:5" ht="12.6" customHeight="1" x14ac:dyDescent="0.25">
      <c r="A87" s="173" t="s">
        <v>258</v>
      </c>
      <c r="B87" s="172" t="s">
        <v>256</v>
      </c>
      <c r="C87" s="222" t="s">
        <v>1008</v>
      </c>
      <c r="D87" s="202"/>
      <c r="E87" s="201"/>
    </row>
    <row r="88" spans="1:5" ht="12.6" customHeight="1" x14ac:dyDescent="0.25">
      <c r="A88" s="173" t="s">
        <v>259</v>
      </c>
      <c r="B88" s="172" t="s">
        <v>256</v>
      </c>
      <c r="C88" s="222" t="s">
        <v>1001</v>
      </c>
      <c r="D88" s="202"/>
      <c r="E88" s="201"/>
    </row>
    <row r="89" spans="1:5" ht="12.6" customHeight="1" x14ac:dyDescent="0.25">
      <c r="A89" s="173" t="s">
        <v>260</v>
      </c>
      <c r="B89" s="172" t="s">
        <v>256</v>
      </c>
      <c r="C89" s="222" t="s">
        <v>1009</v>
      </c>
      <c r="D89" s="202"/>
      <c r="E89" s="201"/>
    </row>
    <row r="90" spans="1:5" ht="12.6" customHeight="1" x14ac:dyDescent="0.25">
      <c r="A90" s="173" t="s">
        <v>261</v>
      </c>
      <c r="B90" s="172" t="s">
        <v>256</v>
      </c>
      <c r="C90" s="222" t="s">
        <v>1010</v>
      </c>
      <c r="D90" s="202"/>
      <c r="E90" s="201"/>
    </row>
    <row r="91" spans="1:5" ht="12.6" customHeight="1" x14ac:dyDescent="0.25">
      <c r="A91" s="173" t="s">
        <v>262</v>
      </c>
      <c r="B91" s="172" t="s">
        <v>256</v>
      </c>
      <c r="C91" s="222" t="s">
        <v>1011</v>
      </c>
      <c r="D91" s="202"/>
      <c r="E91" s="201"/>
    </row>
    <row r="92" spans="1:5" ht="12.6" customHeight="1" x14ac:dyDescent="0.25">
      <c r="A92" s="173" t="s">
        <v>263</v>
      </c>
      <c r="B92" s="172" t="s">
        <v>256</v>
      </c>
      <c r="C92" s="222" t="s">
        <v>1012</v>
      </c>
      <c r="D92" s="249"/>
      <c r="E92" s="175"/>
    </row>
    <row r="93" spans="1:5" ht="12.6" customHeight="1" x14ac:dyDescent="0.25">
      <c r="A93" s="173" t="s">
        <v>264</v>
      </c>
      <c r="B93" s="172" t="s">
        <v>256</v>
      </c>
      <c r="C93" s="267" t="s">
        <v>1013</v>
      </c>
      <c r="D93" s="249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5" t="s">
        <v>265</v>
      </c>
      <c r="B95" s="205"/>
      <c r="C95" s="205"/>
      <c r="D95" s="205"/>
      <c r="E95" s="205"/>
    </row>
    <row r="96" spans="1:5" ht="12.6" customHeight="1" x14ac:dyDescent="0.25">
      <c r="A96" s="250" t="s">
        <v>266</v>
      </c>
      <c r="B96" s="250"/>
      <c r="C96" s="250"/>
      <c r="D96" s="250"/>
      <c r="E96" s="250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0" t="s">
        <v>269</v>
      </c>
      <c r="B100" s="250"/>
      <c r="C100" s="250"/>
      <c r="D100" s="250"/>
      <c r="E100" s="250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18">
        <v>1</v>
      </c>
      <c r="D102" s="175"/>
      <c r="E102" s="175"/>
    </row>
    <row r="103" spans="1:5" ht="12.6" customHeight="1" x14ac:dyDescent="0.25">
      <c r="A103" s="250" t="s">
        <v>271</v>
      </c>
      <c r="B103" s="250"/>
      <c r="C103" s="250"/>
      <c r="D103" s="250"/>
      <c r="E103" s="250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4" t="s">
        <v>275</v>
      </c>
      <c r="B108" s="205"/>
      <c r="C108" s="205"/>
      <c r="D108" s="205"/>
      <c r="E108" s="205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16951</v>
      </c>
      <c r="D111" s="174">
        <v>105899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91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976</v>
      </c>
      <c r="B118" s="172" t="s">
        <v>256</v>
      </c>
      <c r="C118" s="189">
        <v>217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12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41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361</v>
      </c>
    </row>
    <row r="128" spans="1:5" ht="12.6" customHeight="1" x14ac:dyDescent="0.25">
      <c r="A128" s="173" t="s">
        <v>292</v>
      </c>
      <c r="B128" s="172" t="s">
        <v>256</v>
      </c>
      <c r="C128" s="189">
        <v>407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5" t="s">
        <v>977</v>
      </c>
      <c r="B136" s="204"/>
      <c r="C136" s="204"/>
      <c r="D136" s="204"/>
      <c r="E136" s="204"/>
    </row>
    <row r="137" spans="1:6" ht="12.6" customHeight="1" x14ac:dyDescent="0.25">
      <c r="A137" s="251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148</v>
      </c>
      <c r="C138" s="189">
        <v>8011</v>
      </c>
      <c r="D138" s="174">
        <v>8792</v>
      </c>
      <c r="E138" s="175">
        <f>SUM(B138:D138)</f>
        <v>16951</v>
      </c>
    </row>
    <row r="139" spans="1:6" ht="12.6" customHeight="1" x14ac:dyDescent="0.25">
      <c r="A139" s="173" t="s">
        <v>215</v>
      </c>
      <c r="B139" s="174">
        <v>695</v>
      </c>
      <c r="C139" s="189">
        <v>56340</v>
      </c>
      <c r="D139" s="174">
        <v>48864</v>
      </c>
      <c r="E139" s="175">
        <f>SUM(B139:D139)</f>
        <v>105899</v>
      </c>
    </row>
    <row r="140" spans="1:6" ht="12.6" customHeight="1" x14ac:dyDescent="0.25">
      <c r="A140" s="173" t="s">
        <v>298</v>
      </c>
      <c r="B140" s="174">
        <v>2605</v>
      </c>
      <c r="C140" s="174">
        <v>207087</v>
      </c>
      <c r="D140" s="174">
        <v>290236</v>
      </c>
      <c r="E140" s="175">
        <f>SUM(B140:D140)</f>
        <v>499928</v>
      </c>
    </row>
    <row r="141" spans="1:6" ht="12.6" customHeight="1" x14ac:dyDescent="0.25">
      <c r="A141" s="173" t="s">
        <v>245</v>
      </c>
      <c r="B141" s="174">
        <v>15301821</v>
      </c>
      <c r="C141" s="189">
        <v>955426442</v>
      </c>
      <c r="D141" s="174">
        <v>816665259</v>
      </c>
      <c r="E141" s="175">
        <f>SUM(B141:D141)</f>
        <v>1787393522</v>
      </c>
      <c r="F141" s="199"/>
    </row>
    <row r="142" spans="1:6" ht="12.6" customHeight="1" x14ac:dyDescent="0.25">
      <c r="A142" s="173" t="s">
        <v>246</v>
      </c>
      <c r="B142" s="174">
        <v>20818160</v>
      </c>
      <c r="C142" s="189">
        <v>420395879</v>
      </c>
      <c r="D142" s="174">
        <v>518512884</v>
      </c>
      <c r="E142" s="175">
        <f>SUM(B142:D142)</f>
        <v>959726923</v>
      </c>
      <c r="F142" s="199"/>
    </row>
    <row r="143" spans="1:6" ht="12.6" customHeight="1" x14ac:dyDescent="0.25">
      <c r="A143" s="251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1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1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4" t="s">
        <v>305</v>
      </c>
      <c r="B163" s="205"/>
      <c r="C163" s="205"/>
      <c r="D163" s="205"/>
      <c r="E163" s="205"/>
    </row>
    <row r="164" spans="1:5" ht="11.4" customHeight="1" x14ac:dyDescent="0.25">
      <c r="A164" s="250" t="s">
        <v>306</v>
      </c>
      <c r="B164" s="250"/>
      <c r="C164" s="250"/>
      <c r="D164" s="250"/>
      <c r="E164" s="250"/>
    </row>
    <row r="165" spans="1:5" ht="11.4" customHeight="1" x14ac:dyDescent="0.25">
      <c r="A165" s="173" t="s">
        <v>307</v>
      </c>
      <c r="B165" s="172" t="s">
        <v>256</v>
      </c>
      <c r="C165" s="189">
        <v>42391016.340000004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354283.06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2624408.92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71569101.5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29941871.260000002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3006614.43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1254724.1799999992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151142019.69000003</v>
      </c>
      <c r="E173" s="175"/>
    </row>
    <row r="174" spans="1:5" ht="11.4" customHeight="1" x14ac:dyDescent="0.25">
      <c r="A174" s="250" t="s">
        <v>314</v>
      </c>
      <c r="B174" s="250"/>
      <c r="C174" s="250"/>
      <c r="D174" s="250"/>
      <c r="E174" s="250"/>
    </row>
    <row r="175" spans="1:5" ht="11.4" customHeight="1" x14ac:dyDescent="0.25">
      <c r="A175" s="173" t="s">
        <v>315</v>
      </c>
      <c r="B175" s="172" t="s">
        <v>256</v>
      </c>
      <c r="C175" s="189">
        <v>16554005.719999999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1807657.06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18361662.779999997</v>
      </c>
      <c r="E177" s="175"/>
    </row>
    <row r="178" spans="1:5" ht="11.4" customHeight="1" x14ac:dyDescent="0.25">
      <c r="A178" s="250" t="s">
        <v>317</v>
      </c>
      <c r="B178" s="250"/>
      <c r="C178" s="250"/>
      <c r="D178" s="250"/>
      <c r="E178" s="250"/>
    </row>
    <row r="179" spans="1:5" ht="11.4" customHeight="1" x14ac:dyDescent="0.25">
      <c r="A179" s="173" t="s">
        <v>318</v>
      </c>
      <c r="B179" s="172" t="s">
        <v>256</v>
      </c>
      <c r="C179" s="189">
        <v>684500.62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4520383.12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5204883.74</v>
      </c>
      <c r="E181" s="175"/>
    </row>
    <row r="182" spans="1:5" ht="11.4" customHeight="1" x14ac:dyDescent="0.25">
      <c r="A182" s="250" t="s">
        <v>320</v>
      </c>
      <c r="B182" s="250"/>
      <c r="C182" s="250"/>
      <c r="D182" s="250"/>
      <c r="E182" s="250"/>
    </row>
    <row r="183" spans="1:5" ht="11.4" customHeight="1" x14ac:dyDescent="0.25">
      <c r="A183" s="173" t="s">
        <v>321</v>
      </c>
      <c r="B183" s="172" t="s">
        <v>256</v>
      </c>
      <c r="C183" s="189"/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41133077.700000003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41133077.700000003</v>
      </c>
      <c r="E186" s="175"/>
    </row>
    <row r="187" spans="1:5" ht="11.4" customHeight="1" x14ac:dyDescent="0.25">
      <c r="A187" s="250" t="s">
        <v>323</v>
      </c>
      <c r="B187" s="250"/>
      <c r="C187" s="250"/>
      <c r="D187" s="250"/>
      <c r="E187" s="250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24529508.350000001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24529508.350000001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5" t="s">
        <v>326</v>
      </c>
      <c r="B192" s="205"/>
      <c r="C192" s="205"/>
      <c r="D192" s="205"/>
      <c r="E192" s="205"/>
    </row>
    <row r="193" spans="1:8" ht="12.6" customHeight="1" x14ac:dyDescent="0.25">
      <c r="A193" s="204" t="s">
        <v>327</v>
      </c>
      <c r="B193" s="205"/>
      <c r="C193" s="205"/>
      <c r="D193" s="205"/>
      <c r="E193" s="205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218300013.39999998</v>
      </c>
      <c r="C195" s="189">
        <v>1155300</v>
      </c>
      <c r="D195" s="174">
        <v>0</v>
      </c>
      <c r="E195" s="175">
        <f t="shared" ref="E195:E203" si="10">SUM(B195:C195)-D195</f>
        <v>219455313.39999998</v>
      </c>
    </row>
    <row r="196" spans="1:8" ht="12.6" customHeight="1" x14ac:dyDescent="0.25">
      <c r="A196" s="173" t="s">
        <v>333</v>
      </c>
      <c r="B196" s="174">
        <v>14691286.279999999</v>
      </c>
      <c r="C196" s="189">
        <v>97625.24</v>
      </c>
      <c r="D196" s="174">
        <v>131205.75</v>
      </c>
      <c r="E196" s="175">
        <f t="shared" si="10"/>
        <v>14657705.77</v>
      </c>
    </row>
    <row r="197" spans="1:8" ht="12.6" customHeight="1" x14ac:dyDescent="0.25">
      <c r="A197" s="173" t="s">
        <v>334</v>
      </c>
      <c r="B197" s="174">
        <v>942272236.59000015</v>
      </c>
      <c r="C197" s="189">
        <v>22950844.170000002</v>
      </c>
      <c r="D197" s="174">
        <v>3439476.15</v>
      </c>
      <c r="E197" s="175">
        <f t="shared" si="10"/>
        <v>961783604.61000013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34699299.640000001</v>
      </c>
      <c r="C199" s="189">
        <v>10388294.5</v>
      </c>
      <c r="D199" s="174">
        <v>349518.48</v>
      </c>
      <c r="E199" s="175">
        <f t="shared" si="10"/>
        <v>44738075.660000004</v>
      </c>
    </row>
    <row r="200" spans="1:8" ht="12.6" customHeight="1" x14ac:dyDescent="0.25">
      <c r="A200" s="173" t="s">
        <v>337</v>
      </c>
      <c r="B200" s="174">
        <v>458076161.07999998</v>
      </c>
      <c r="C200" s="189">
        <v>60837099.939999998</v>
      </c>
      <c r="D200" s="174">
        <v>20521698.289999999</v>
      </c>
      <c r="E200" s="175">
        <f t="shared" si="10"/>
        <v>498391562.72999996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30855350.050000004</v>
      </c>
      <c r="C202" s="189">
        <v>28383891.079999998</v>
      </c>
      <c r="D202" s="174">
        <v>587951.55000000005</v>
      </c>
      <c r="E202" s="175">
        <f t="shared" si="10"/>
        <v>58651289.580000006</v>
      </c>
    </row>
    <row r="203" spans="1:8" ht="12.6" customHeight="1" x14ac:dyDescent="0.25">
      <c r="A203" s="173" t="s">
        <v>340</v>
      </c>
      <c r="B203" s="174">
        <v>101251007.74999934</v>
      </c>
      <c r="C203" s="189">
        <v>255876812.50999999</v>
      </c>
      <c r="D203" s="174">
        <v>111595949.78</v>
      </c>
      <c r="E203" s="175">
        <f t="shared" si="10"/>
        <v>245531870.47999933</v>
      </c>
    </row>
    <row r="204" spans="1:8" ht="12.6" customHeight="1" x14ac:dyDescent="0.25">
      <c r="A204" s="173" t="s">
        <v>203</v>
      </c>
      <c r="B204" s="175">
        <f>SUM(B195:B203)</f>
        <v>1800145354.7899995</v>
      </c>
      <c r="C204" s="191">
        <f>SUM(C195:C203)</f>
        <v>379689867.44</v>
      </c>
      <c r="D204" s="175">
        <f>SUM(D195:D203)</f>
        <v>136625800</v>
      </c>
      <c r="E204" s="175">
        <f>SUM(E195:E203)</f>
        <v>2043209422.2299995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4" t="s">
        <v>341</v>
      </c>
      <c r="B206" s="204"/>
      <c r="C206" s="204"/>
      <c r="D206" s="204"/>
      <c r="E206" s="204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2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2"/>
    </row>
    <row r="209" spans="1:8" ht="12.6" customHeight="1" x14ac:dyDescent="0.25">
      <c r="A209" s="173" t="s">
        <v>333</v>
      </c>
      <c r="B209" s="174">
        <v>6763912.0099999998</v>
      </c>
      <c r="C209" s="189">
        <v>799177.64</v>
      </c>
      <c r="D209" s="174">
        <v>131205.75</v>
      </c>
      <c r="E209" s="175">
        <f t="shared" ref="E209:E216" si="11">SUM(B209:C209)-D209</f>
        <v>7431883.8999999994</v>
      </c>
      <c r="H209" s="252"/>
    </row>
    <row r="210" spans="1:8" ht="12.6" customHeight="1" x14ac:dyDescent="0.25">
      <c r="A210" s="173" t="s">
        <v>334</v>
      </c>
      <c r="B210" s="174">
        <v>341791708.58000004</v>
      </c>
      <c r="C210" s="189">
        <v>35218724.090000004</v>
      </c>
      <c r="D210" s="174">
        <v>3430960.99</v>
      </c>
      <c r="E210" s="175">
        <f t="shared" si="11"/>
        <v>373579471.68000007</v>
      </c>
      <c r="H210" s="252"/>
    </row>
    <row r="211" spans="1:8" ht="12.6" customHeight="1" x14ac:dyDescent="0.25">
      <c r="A211" s="173" t="s">
        <v>335</v>
      </c>
      <c r="B211" s="174">
        <v>0</v>
      </c>
      <c r="C211" s="189">
        <v>0</v>
      </c>
      <c r="D211" s="174">
        <v>0</v>
      </c>
      <c r="E211" s="175">
        <f t="shared" si="11"/>
        <v>0</v>
      </c>
      <c r="H211" s="252"/>
    </row>
    <row r="212" spans="1:8" ht="12.6" customHeight="1" x14ac:dyDescent="0.25">
      <c r="A212" s="173" t="s">
        <v>336</v>
      </c>
      <c r="B212" s="174">
        <v>23043343.710000001</v>
      </c>
      <c r="C212" s="189">
        <v>2373074.27</v>
      </c>
      <c r="D212" s="174">
        <v>339374.62</v>
      </c>
      <c r="E212" s="175">
        <f t="shared" si="11"/>
        <v>25077043.359999999</v>
      </c>
      <c r="H212" s="252"/>
    </row>
    <row r="213" spans="1:8" ht="12.6" customHeight="1" x14ac:dyDescent="0.25">
      <c r="A213" s="173" t="s">
        <v>337</v>
      </c>
      <c r="B213" s="174">
        <v>310256266.15000033</v>
      </c>
      <c r="C213" s="189">
        <v>49471519.390000001</v>
      </c>
      <c r="D213" s="174">
        <v>19766768.68</v>
      </c>
      <c r="E213" s="175">
        <f t="shared" si="11"/>
        <v>339961016.86000031</v>
      </c>
      <c r="H213" s="252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2"/>
    </row>
    <row r="215" spans="1:8" ht="12.6" customHeight="1" x14ac:dyDescent="0.25">
      <c r="A215" s="173" t="s">
        <v>339</v>
      </c>
      <c r="B215" s="174">
        <v>14923103.999999998</v>
      </c>
      <c r="C215" s="189">
        <v>2451544.12</v>
      </c>
      <c r="D215" s="174">
        <v>587951.55000000005</v>
      </c>
      <c r="E215" s="175">
        <f t="shared" si="11"/>
        <v>16786696.569999997</v>
      </c>
      <c r="H215" s="252"/>
    </row>
    <row r="216" spans="1:8" ht="12.6" customHeight="1" x14ac:dyDescent="0.2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2"/>
    </row>
    <row r="217" spans="1:8" ht="12.6" customHeight="1" x14ac:dyDescent="0.25">
      <c r="A217" s="173" t="s">
        <v>203</v>
      </c>
      <c r="B217" s="175">
        <f>SUM(B208:B216)</f>
        <v>696778334.45000029</v>
      </c>
      <c r="C217" s="191">
        <f>SUM(C208:C216)</f>
        <v>90314039.51000002</v>
      </c>
      <c r="D217" s="175">
        <f>SUM(D208:D216)</f>
        <v>24256261.59</v>
      </c>
      <c r="E217" s="175">
        <f>SUM(E208:E216)</f>
        <v>762836112.37000048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5" t="s">
        <v>342</v>
      </c>
      <c r="B219" s="205"/>
      <c r="C219" s="205"/>
      <c r="D219" s="205"/>
      <c r="E219" s="205"/>
    </row>
    <row r="220" spans="1:8" ht="12.6" customHeight="1" x14ac:dyDescent="0.25">
      <c r="A220" s="205"/>
      <c r="B220" s="921" t="s">
        <v>992</v>
      </c>
      <c r="C220" s="921"/>
      <c r="D220" s="205"/>
      <c r="E220" s="205"/>
    </row>
    <row r="221" spans="1:8" ht="12.6" customHeight="1" x14ac:dyDescent="0.25">
      <c r="A221" s="263" t="s">
        <v>992</v>
      </c>
      <c r="B221" s="205"/>
      <c r="C221" s="189">
        <v>1865779.9900000002</v>
      </c>
      <c r="D221" s="172">
        <f>C221</f>
        <v>1865779.9900000002</v>
      </c>
      <c r="E221" s="205"/>
    </row>
    <row r="222" spans="1:8" ht="12.6" customHeight="1" x14ac:dyDescent="0.25">
      <c r="A222" s="250" t="s">
        <v>343</v>
      </c>
      <c r="B222" s="250"/>
      <c r="C222" s="250"/>
      <c r="D222" s="250"/>
      <c r="E222" s="250"/>
    </row>
    <row r="223" spans="1:8" ht="12.6" customHeight="1" x14ac:dyDescent="0.25">
      <c r="A223" s="173" t="s">
        <v>344</v>
      </c>
      <c r="B223" s="172" t="s">
        <v>256</v>
      </c>
      <c r="C223" s="189">
        <v>28286935.630000003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971212574.53999996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0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66629658.350000009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258000416.88999999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0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1324129585.4099998</v>
      </c>
      <c r="E229" s="175"/>
    </row>
    <row r="230" spans="1:5" ht="12.6" customHeight="1" x14ac:dyDescent="0.25">
      <c r="A230" s="250" t="s">
        <v>351</v>
      </c>
      <c r="B230" s="250"/>
      <c r="C230" s="250"/>
      <c r="D230" s="250"/>
      <c r="E230" s="250"/>
    </row>
    <row r="231" spans="1:5" ht="12.6" customHeight="1" x14ac:dyDescent="0.25">
      <c r="A231" s="171" t="s">
        <v>352</v>
      </c>
      <c r="B231" s="172" t="s">
        <v>256</v>
      </c>
      <c r="C231" s="189">
        <v>17429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13157316.140000001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20311338.800000001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33468654.940000001</v>
      </c>
      <c r="E236" s="175"/>
    </row>
    <row r="237" spans="1:5" ht="12.6" customHeight="1" x14ac:dyDescent="0.25">
      <c r="A237" s="250" t="s">
        <v>356</v>
      </c>
      <c r="B237" s="250"/>
      <c r="C237" s="250"/>
      <c r="D237" s="250"/>
      <c r="E237" s="250"/>
    </row>
    <row r="238" spans="1:5" ht="12.6" customHeight="1" x14ac:dyDescent="0.25">
      <c r="A238" s="173" t="s">
        <v>357</v>
      </c>
      <c r="B238" s="172" t="s">
        <v>256</v>
      </c>
      <c r="C238" s="189">
        <v>11645852.460000001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0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11645852.460000001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1371109872.8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5" t="s">
        <v>360</v>
      </c>
      <c r="B248" s="205"/>
      <c r="C248" s="205"/>
      <c r="D248" s="205"/>
      <c r="E248" s="205"/>
    </row>
    <row r="249" spans="1:5" ht="11.25" customHeight="1" x14ac:dyDescent="0.25">
      <c r="A249" s="250" t="s">
        <v>361</v>
      </c>
      <c r="B249" s="250"/>
      <c r="C249" s="250"/>
      <c r="D249" s="250"/>
      <c r="E249" s="250"/>
    </row>
    <row r="250" spans="1:5" ht="12.45" customHeight="1" x14ac:dyDescent="0.25">
      <c r="A250" s="173" t="s">
        <v>362</v>
      </c>
      <c r="B250" s="172" t="s">
        <v>256</v>
      </c>
      <c r="C250" s="189">
        <v>49592699.74000001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488362727.56999999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236392795.61000001</v>
      </c>
      <c r="D253" s="175"/>
      <c r="E253" s="175"/>
    </row>
    <row r="254" spans="1:5" ht="12.45" customHeight="1" x14ac:dyDescent="0.25">
      <c r="A254" s="173" t="s">
        <v>978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112291783.11999999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15806274.029999999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22791100.890000001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24570363.789999999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477022153.52999991</v>
      </c>
      <c r="E260" s="175"/>
    </row>
    <row r="261" spans="1:5" ht="11.25" customHeight="1" x14ac:dyDescent="0.25">
      <c r="A261" s="250" t="s">
        <v>372</v>
      </c>
      <c r="B261" s="250"/>
      <c r="C261" s="250"/>
      <c r="D261" s="250"/>
      <c r="E261" s="250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1663243826.96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2364912.36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1665608739.3199999</v>
      </c>
      <c r="E265" s="175"/>
    </row>
    <row r="266" spans="1:5" ht="11.25" customHeight="1" x14ac:dyDescent="0.25">
      <c r="A266" s="250" t="s">
        <v>375</v>
      </c>
      <c r="B266" s="250"/>
      <c r="C266" s="250"/>
      <c r="D266" s="250"/>
      <c r="E266" s="250"/>
    </row>
    <row r="267" spans="1:5" ht="12.45" customHeight="1" x14ac:dyDescent="0.25">
      <c r="A267" s="173" t="s">
        <v>332</v>
      </c>
      <c r="B267" s="172" t="s">
        <v>256</v>
      </c>
      <c r="C267" s="189">
        <v>219455313.39999998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14657705.77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961783604.61000013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44738075.660000004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498391562.72999996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58651289.580000006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245531870.47999933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2043209422.2299995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762836112.37000048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1280373309.8599992</v>
      </c>
      <c r="E277" s="175"/>
    </row>
    <row r="278" spans="1:5" ht="12.6" customHeight="1" x14ac:dyDescent="0.25">
      <c r="A278" s="250" t="s">
        <v>382</v>
      </c>
      <c r="B278" s="250"/>
      <c r="C278" s="250"/>
      <c r="D278" s="250"/>
      <c r="E278" s="250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182270111.07999998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182270111.07999998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0" t="s">
        <v>387</v>
      </c>
      <c r="B285" s="250"/>
      <c r="C285" s="250"/>
      <c r="D285" s="250"/>
      <c r="E285" s="250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3605274313.789999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5" t="s">
        <v>394</v>
      </c>
      <c r="B302" s="205"/>
      <c r="C302" s="205"/>
      <c r="D302" s="205"/>
      <c r="E302" s="205"/>
    </row>
    <row r="303" spans="1:5" ht="14.25" customHeight="1" x14ac:dyDescent="0.25">
      <c r="A303" s="250" t="s">
        <v>395</v>
      </c>
      <c r="B303" s="250"/>
      <c r="C303" s="250"/>
      <c r="D303" s="250"/>
      <c r="E303" s="250"/>
    </row>
    <row r="304" spans="1:5" ht="12.6" customHeight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85651383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92306505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13570364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979</v>
      </c>
      <c r="B309" s="172" t="s">
        <v>256</v>
      </c>
      <c r="C309" s="189">
        <v>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104393655.59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11000000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306921907.59000003</v>
      </c>
      <c r="E314" s="175"/>
    </row>
    <row r="315" spans="1:5" ht="12.6" customHeight="1" x14ac:dyDescent="0.25">
      <c r="A315" s="250" t="s">
        <v>406</v>
      </c>
      <c r="B315" s="250"/>
      <c r="C315" s="250"/>
      <c r="D315" s="250"/>
      <c r="E315" s="250"/>
    </row>
    <row r="316" spans="1:5" ht="12.6" customHeight="1" x14ac:dyDescent="0.2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0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0" t="s">
        <v>411</v>
      </c>
      <c r="B320" s="250"/>
      <c r="C320" s="250"/>
      <c r="D320" s="250"/>
      <c r="E320" s="250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713217471.54000008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26567646.68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739785118.22000003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11000000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728785118.22000003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189">
        <v>2569567287.9299989</v>
      </c>
      <c r="D332" s="175"/>
      <c r="E332" s="175"/>
    </row>
    <row r="333" spans="1:5" ht="12.6" customHeight="1" x14ac:dyDescent="0.25">
      <c r="A333" s="173"/>
      <c r="B333" s="172"/>
      <c r="C333" s="225"/>
      <c r="D333" s="175"/>
      <c r="E333" s="175"/>
    </row>
    <row r="334" spans="1:5" ht="12.6" customHeight="1" x14ac:dyDescent="0.25">
      <c r="A334" s="173" t="s">
        <v>879</v>
      </c>
      <c r="B334" s="172" t="s">
        <v>256</v>
      </c>
      <c r="C334" s="189">
        <v>0</v>
      </c>
      <c r="D334" s="175"/>
      <c r="E334" s="175"/>
    </row>
    <row r="335" spans="1:5" ht="12.6" customHeight="1" x14ac:dyDescent="0.25">
      <c r="A335" s="173" t="s">
        <v>880</v>
      </c>
      <c r="B335" s="172" t="s">
        <v>256</v>
      </c>
      <c r="C335" s="189">
        <v>0</v>
      </c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189">
        <v>0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0</v>
      </c>
      <c r="D337" s="175"/>
      <c r="E337" s="175"/>
    </row>
    <row r="338" spans="1:5" ht="12.6" customHeight="1" x14ac:dyDescent="0.25">
      <c r="A338" s="173" t="s">
        <v>990</v>
      </c>
      <c r="B338" s="172" t="s">
        <v>256</v>
      </c>
      <c r="C338" s="189">
        <v>0</v>
      </c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3605274313.7399988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3605274313.789999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5" t="s">
        <v>426</v>
      </c>
      <c r="B357" s="205"/>
      <c r="C357" s="205"/>
      <c r="D357" s="205"/>
      <c r="E357" s="205"/>
    </row>
    <row r="358" spans="1:5" ht="12.6" customHeight="1" x14ac:dyDescent="0.25">
      <c r="A358" s="250" t="s">
        <v>427</v>
      </c>
      <c r="B358" s="250"/>
      <c r="C358" s="250"/>
      <c r="D358" s="250"/>
      <c r="E358" s="250"/>
    </row>
    <row r="359" spans="1:5" ht="12.6" customHeight="1" x14ac:dyDescent="0.25">
      <c r="A359" s="173" t="s">
        <v>428</v>
      </c>
      <c r="B359" s="172" t="s">
        <v>256</v>
      </c>
      <c r="C359" s="189">
        <v>1787393522.49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959726922.67999995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2747120445.1700001</v>
      </c>
      <c r="E361" s="175"/>
    </row>
    <row r="362" spans="1:5" ht="12.6" customHeight="1" x14ac:dyDescent="0.25">
      <c r="A362" s="250" t="s">
        <v>431</v>
      </c>
      <c r="B362" s="250"/>
      <c r="C362" s="250"/>
      <c r="D362" s="250"/>
      <c r="E362" s="250"/>
    </row>
    <row r="363" spans="1:5" ht="12.6" customHeight="1" x14ac:dyDescent="0.25">
      <c r="A363" s="173" t="s">
        <v>992</v>
      </c>
      <c r="B363" s="250"/>
      <c r="C363" s="189">
        <v>1865779.9900000002</v>
      </c>
      <c r="D363" s="175"/>
      <c r="E363" s="250"/>
    </row>
    <row r="364" spans="1:5" ht="12.6" customHeight="1" x14ac:dyDescent="0.25">
      <c r="A364" s="173" t="s">
        <v>432</v>
      </c>
      <c r="B364" s="172" t="s">
        <v>256</v>
      </c>
      <c r="C364" s="189">
        <v>1066129168.52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33468654.940000001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269646269.34999996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1371109872.8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1376010572.3700001</v>
      </c>
      <c r="E368" s="175"/>
    </row>
    <row r="369" spans="1:5" ht="12.6" customHeight="1" x14ac:dyDescent="0.25">
      <c r="A369" s="250" t="s">
        <v>436</v>
      </c>
      <c r="B369" s="250"/>
      <c r="C369" s="250"/>
      <c r="D369" s="250"/>
      <c r="E369" s="250"/>
    </row>
    <row r="370" spans="1:5" ht="12.6" customHeight="1" x14ac:dyDescent="0.25">
      <c r="A370" s="173" t="s">
        <v>437</v>
      </c>
      <c r="B370" s="172" t="s">
        <v>256</v>
      </c>
      <c r="C370" s="189">
        <v>272421305.26999998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272421305.26999998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1648431877.6400001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0" t="s">
        <v>441</v>
      </c>
      <c r="B377" s="250"/>
      <c r="C377" s="250"/>
      <c r="D377" s="250"/>
      <c r="E377" s="250"/>
    </row>
    <row r="378" spans="1:5" ht="12.6" customHeight="1" x14ac:dyDescent="0.25">
      <c r="A378" s="173" t="s">
        <v>442</v>
      </c>
      <c r="B378" s="172" t="s">
        <v>256</v>
      </c>
      <c r="C378" s="189">
        <v>582632697.51999998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151142019.69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/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174482221.91999999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13858502.029999999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326318614.95999998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87171809.010000005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18361662.780000001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5204883.7399999993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41133077.700000003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24529508.350000001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27545333.99000001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1452380331.6899998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196051545.95000029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45167380.310000002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241218926.26000029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241218926.26000029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3"/>
    </row>
    <row r="412" spans="1:5" ht="12.6" customHeight="1" x14ac:dyDescent="0.25">
      <c r="A412" s="179" t="str">
        <f>C84&amp;"   "&amp;"H-"&amp;FIXED(C83,0,TRUE)&amp;"     FYE "&amp;C82</f>
        <v>Seattle Children's   H-0     FYE 09/30/2018</v>
      </c>
      <c r="B412" s="179"/>
      <c r="C412" s="179"/>
      <c r="D412" s="179"/>
      <c r="E412" s="253"/>
    </row>
    <row r="413" spans="1:5" ht="12.6" customHeight="1" x14ac:dyDescent="0.25">
      <c r="A413" s="179" t="s">
        <v>460</v>
      </c>
      <c r="B413" s="181" t="s">
        <v>461</v>
      </c>
      <c r="C413" s="181" t="s">
        <v>980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16951</v>
      </c>
      <c r="C414" s="194">
        <f>E138</f>
        <v>16951</v>
      </c>
      <c r="D414" s="179"/>
    </row>
    <row r="415" spans="1:5" ht="12.6" customHeight="1" x14ac:dyDescent="0.25">
      <c r="A415" s="179" t="s">
        <v>464</v>
      </c>
      <c r="B415" s="179">
        <f>D111</f>
        <v>105899</v>
      </c>
      <c r="C415" s="179">
        <f>E139</f>
        <v>105899</v>
      </c>
      <c r="D415" s="194">
        <f>SUM(C59:H59)+N59</f>
        <v>106166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3"/>
      <c r="B422" s="203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981</v>
      </c>
      <c r="B424" s="179">
        <f>D114</f>
        <v>0</v>
      </c>
      <c r="D424" s="179">
        <f>J59</f>
        <v>0</v>
      </c>
    </row>
    <row r="425" spans="1:7" ht="12.6" customHeight="1" x14ac:dyDescent="0.25">
      <c r="A425" s="203"/>
      <c r="B425" s="203"/>
      <c r="C425" s="203"/>
      <c r="D425" s="203"/>
      <c r="F425" s="203"/>
      <c r="G425" s="203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582632697.51999998</v>
      </c>
      <c r="C427" s="179">
        <f t="shared" ref="C427:C434" si="13">CE61</f>
        <v>582632697</v>
      </c>
      <c r="D427" s="179"/>
    </row>
    <row r="428" spans="1:7" ht="12.6" customHeight="1" x14ac:dyDescent="0.25">
      <c r="A428" s="179" t="s">
        <v>3</v>
      </c>
      <c r="B428" s="179">
        <f t="shared" si="12"/>
        <v>151142019.69</v>
      </c>
      <c r="C428" s="179">
        <f t="shared" si="13"/>
        <v>151142022</v>
      </c>
      <c r="D428" s="179">
        <f>D173</f>
        <v>151142019.69000003</v>
      </c>
    </row>
    <row r="429" spans="1:7" ht="12.6" customHeight="1" x14ac:dyDescent="0.25">
      <c r="A429" s="179" t="s">
        <v>236</v>
      </c>
      <c r="B429" s="179">
        <f t="shared" si="12"/>
        <v>0</v>
      </c>
      <c r="C429" s="179">
        <f t="shared" si="13"/>
        <v>0</v>
      </c>
      <c r="D429" s="179"/>
    </row>
    <row r="430" spans="1:7" ht="12.6" customHeight="1" x14ac:dyDescent="0.25">
      <c r="A430" s="179" t="s">
        <v>237</v>
      </c>
      <c r="B430" s="179">
        <f t="shared" si="12"/>
        <v>174482221.91999999</v>
      </c>
      <c r="C430" s="179">
        <f t="shared" si="13"/>
        <v>174482216.76000002</v>
      </c>
      <c r="D430" s="179"/>
    </row>
    <row r="431" spans="1:7" ht="12.6" customHeight="1" x14ac:dyDescent="0.25">
      <c r="A431" s="179" t="s">
        <v>444</v>
      </c>
      <c r="B431" s="179">
        <f t="shared" si="12"/>
        <v>13858502.029999999</v>
      </c>
      <c r="C431" s="179">
        <f t="shared" si="13"/>
        <v>13858500</v>
      </c>
      <c r="D431" s="179"/>
    </row>
    <row r="432" spans="1:7" ht="12.6" customHeight="1" x14ac:dyDescent="0.25">
      <c r="A432" s="179" t="s">
        <v>445</v>
      </c>
      <c r="B432" s="179">
        <f t="shared" si="12"/>
        <v>326318614.95999998</v>
      </c>
      <c r="C432" s="179">
        <f t="shared" si="13"/>
        <v>326318614.87</v>
      </c>
      <c r="D432" s="179"/>
    </row>
    <row r="433" spans="1:7" ht="12.6" customHeight="1" x14ac:dyDescent="0.25">
      <c r="A433" s="179" t="s">
        <v>6</v>
      </c>
      <c r="B433" s="179">
        <f t="shared" si="12"/>
        <v>87171809.010000005</v>
      </c>
      <c r="C433" s="179">
        <f t="shared" si="13"/>
        <v>87171785</v>
      </c>
      <c r="D433" s="179">
        <f>C217</f>
        <v>90314039.51000002</v>
      </c>
    </row>
    <row r="434" spans="1:7" ht="12.6" customHeight="1" x14ac:dyDescent="0.25">
      <c r="A434" s="179" t="s">
        <v>474</v>
      </c>
      <c r="B434" s="179">
        <f t="shared" si="12"/>
        <v>18361662.780000001</v>
      </c>
      <c r="C434" s="179">
        <f t="shared" si="13"/>
        <v>18361614</v>
      </c>
      <c r="D434" s="179">
        <f>D177</f>
        <v>18361662.779999997</v>
      </c>
    </row>
    <row r="435" spans="1:7" ht="12.6" customHeight="1" x14ac:dyDescent="0.25">
      <c r="A435" s="179" t="s">
        <v>447</v>
      </c>
      <c r="B435" s="179">
        <f t="shared" si="12"/>
        <v>5204883.7399999993</v>
      </c>
      <c r="C435" s="179"/>
      <c r="D435" s="179">
        <f>D181</f>
        <v>5204883.74</v>
      </c>
    </row>
    <row r="436" spans="1:7" ht="12.6" customHeight="1" x14ac:dyDescent="0.25">
      <c r="A436" s="179" t="s">
        <v>475</v>
      </c>
      <c r="B436" s="179">
        <f t="shared" si="12"/>
        <v>41133077.700000003</v>
      </c>
      <c r="C436" s="179"/>
      <c r="D436" s="179">
        <f>D186</f>
        <v>41133077.700000003</v>
      </c>
    </row>
    <row r="437" spans="1:7" ht="12.6" customHeight="1" x14ac:dyDescent="0.25">
      <c r="A437" s="194" t="s">
        <v>449</v>
      </c>
      <c r="B437" s="194">
        <f t="shared" si="12"/>
        <v>24529508.350000001</v>
      </c>
      <c r="C437" s="194"/>
      <c r="D437" s="194">
        <f>D190</f>
        <v>24529508.350000001</v>
      </c>
    </row>
    <row r="438" spans="1:7" ht="12.6" customHeight="1" x14ac:dyDescent="0.25">
      <c r="A438" s="194" t="s">
        <v>476</v>
      </c>
      <c r="B438" s="194">
        <f>C386+C387+C388</f>
        <v>70867469.790000007</v>
      </c>
      <c r="C438" s="194">
        <f>CD69</f>
        <v>56889772</v>
      </c>
      <c r="D438" s="194">
        <f>D181+D186+D190</f>
        <v>70867469.790000007</v>
      </c>
    </row>
    <row r="439" spans="1:7" ht="12.6" customHeight="1" x14ac:dyDescent="0.25">
      <c r="A439" s="179" t="s">
        <v>451</v>
      </c>
      <c r="B439" s="194">
        <f>C389</f>
        <v>27545333.99000001</v>
      </c>
      <c r="C439" s="194">
        <f>SUM(C69:CC69)</f>
        <v>41523031.589999996</v>
      </c>
      <c r="D439" s="179"/>
    </row>
    <row r="440" spans="1:7" ht="12.6" customHeight="1" x14ac:dyDescent="0.25">
      <c r="A440" s="179" t="s">
        <v>477</v>
      </c>
      <c r="B440" s="194">
        <f>B438+B439</f>
        <v>98412803.780000016</v>
      </c>
      <c r="C440" s="194">
        <f>CE69</f>
        <v>98412803.590000004</v>
      </c>
      <c r="D440" s="179"/>
    </row>
    <row r="441" spans="1:7" ht="12.6" customHeight="1" x14ac:dyDescent="0.25">
      <c r="A441" s="179" t="s">
        <v>478</v>
      </c>
      <c r="B441" s="179">
        <f>D390</f>
        <v>1452380331.6899998</v>
      </c>
      <c r="C441" s="179">
        <f>SUM(C427:C437)+C440</f>
        <v>1452380253.22</v>
      </c>
      <c r="D441" s="179"/>
    </row>
    <row r="442" spans="1:7" ht="12.6" customHeight="1" x14ac:dyDescent="0.25">
      <c r="A442" s="203"/>
      <c r="B442" s="203"/>
      <c r="C442" s="203"/>
      <c r="D442" s="203"/>
      <c r="F442" s="203"/>
      <c r="G442" s="203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993</v>
      </c>
      <c r="B444" s="179">
        <f>D221</f>
        <v>1865779.9900000002</v>
      </c>
      <c r="C444" s="179">
        <f>C363</f>
        <v>1865779.9900000002</v>
      </c>
      <c r="D444" s="179"/>
    </row>
    <row r="445" spans="1:7" ht="12.6" customHeight="1" x14ac:dyDescent="0.25">
      <c r="A445" s="179" t="s">
        <v>343</v>
      </c>
      <c r="B445" s="179">
        <f>D229</f>
        <v>1324129585.4099998</v>
      </c>
      <c r="C445" s="179">
        <f>C364</f>
        <v>1066129168.52</v>
      </c>
      <c r="D445" s="179"/>
    </row>
    <row r="446" spans="1:7" ht="12.6" customHeight="1" x14ac:dyDescent="0.25">
      <c r="A446" s="179" t="s">
        <v>351</v>
      </c>
      <c r="B446" s="179">
        <f>D236</f>
        <v>33468654.940000001</v>
      </c>
      <c r="C446" s="179">
        <f>C365</f>
        <v>33468654.940000001</v>
      </c>
      <c r="D446" s="179"/>
    </row>
    <row r="447" spans="1:7" ht="12.6" customHeight="1" x14ac:dyDescent="0.25">
      <c r="A447" s="179" t="s">
        <v>356</v>
      </c>
      <c r="B447" s="179">
        <f>D240</f>
        <v>11645852.460000001</v>
      </c>
      <c r="C447" s="179">
        <f>C366</f>
        <v>269646269.34999996</v>
      </c>
      <c r="D447" s="179"/>
    </row>
    <row r="448" spans="1:7" ht="12.6" customHeight="1" x14ac:dyDescent="0.25">
      <c r="A448" s="179" t="s">
        <v>358</v>
      </c>
      <c r="B448" s="179">
        <f>D242</f>
        <v>1371109872.8</v>
      </c>
      <c r="C448" s="179">
        <f>D367</f>
        <v>1371109872.8</v>
      </c>
      <c r="D448" s="179"/>
    </row>
    <row r="449" spans="1:7" ht="12.6" customHeight="1" x14ac:dyDescent="0.25">
      <c r="A449" s="203"/>
      <c r="B449" s="203"/>
      <c r="C449" s="203"/>
      <c r="D449" s="203"/>
      <c r="F449" s="203"/>
      <c r="G449" s="203"/>
    </row>
    <row r="450" spans="1:7" ht="12.6" customHeight="1" x14ac:dyDescent="0.25">
      <c r="A450" s="180" t="s">
        <v>481</v>
      </c>
      <c r="B450" s="181" t="s">
        <v>482</v>
      </c>
      <c r="C450" s="203"/>
      <c r="D450" s="203"/>
      <c r="F450" s="203"/>
      <c r="G450" s="203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17429</v>
      </c>
    </row>
    <row r="454" spans="1:7" ht="12.6" customHeight="1" x14ac:dyDescent="0.25">
      <c r="A454" s="179" t="s">
        <v>168</v>
      </c>
      <c r="B454" s="179">
        <f>C233</f>
        <v>13157316.140000001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20311338.800000001</v>
      </c>
      <c r="C455" s="179"/>
      <c r="D455" s="179"/>
    </row>
    <row r="456" spans="1:7" ht="12.6" customHeight="1" x14ac:dyDescent="0.25">
      <c r="A456" s="203"/>
      <c r="B456" s="203"/>
      <c r="C456" s="203"/>
      <c r="D456" s="203"/>
      <c r="F456" s="203"/>
      <c r="G456" s="203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272421305.26999998</v>
      </c>
      <c r="C458" s="194">
        <f>CE70</f>
        <v>272421307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3"/>
      <c r="B460" s="203"/>
      <c r="C460" s="203"/>
      <c r="D460" s="203"/>
      <c r="F460" s="203"/>
      <c r="G460" s="203"/>
    </row>
    <row r="461" spans="1:7" ht="12.6" customHeight="1" x14ac:dyDescent="0.25">
      <c r="A461" s="179" t="s">
        <v>488</v>
      </c>
      <c r="B461" s="181"/>
      <c r="C461" s="181"/>
      <c r="D461" s="181" t="s">
        <v>982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1787393522.49</v>
      </c>
      <c r="C463" s="194">
        <f>CE73</f>
        <v>1787474952</v>
      </c>
      <c r="D463" s="194">
        <f>E141+E147+E153</f>
        <v>1787393522</v>
      </c>
    </row>
    <row r="464" spans="1:7" ht="12.6" customHeight="1" x14ac:dyDescent="0.25">
      <c r="A464" s="179" t="s">
        <v>246</v>
      </c>
      <c r="B464" s="194">
        <f>C360</f>
        <v>959726922.67999995</v>
      </c>
      <c r="C464" s="194">
        <f>CE74</f>
        <v>947923148</v>
      </c>
      <c r="D464" s="194">
        <f>E142+E148+E154</f>
        <v>959726923</v>
      </c>
    </row>
    <row r="465" spans="1:7" ht="12.6" customHeight="1" x14ac:dyDescent="0.25">
      <c r="A465" s="179" t="s">
        <v>247</v>
      </c>
      <c r="B465" s="194">
        <f>D361</f>
        <v>2747120445.1700001</v>
      </c>
      <c r="C465" s="194">
        <f>CE75</f>
        <v>2735398100</v>
      </c>
      <c r="D465" s="194">
        <f>D463+D464</f>
        <v>2747120445</v>
      </c>
    </row>
    <row r="466" spans="1:7" ht="12.6" customHeight="1" x14ac:dyDescent="0.25">
      <c r="A466" s="203"/>
      <c r="B466" s="203"/>
      <c r="C466" s="203"/>
      <c r="D466" s="203"/>
      <c r="F466" s="203"/>
      <c r="G466" s="203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219455313.39999998</v>
      </c>
      <c r="C468" s="179">
        <f>E195</f>
        <v>219455313.39999998</v>
      </c>
      <c r="D468" s="179"/>
    </row>
    <row r="469" spans="1:7" ht="12.6" customHeight="1" x14ac:dyDescent="0.25">
      <c r="A469" s="179" t="s">
        <v>333</v>
      </c>
      <c r="B469" s="179">
        <f t="shared" si="14"/>
        <v>14657705.77</v>
      </c>
      <c r="C469" s="179">
        <f>E196</f>
        <v>14657705.77</v>
      </c>
      <c r="D469" s="179"/>
    </row>
    <row r="470" spans="1:7" ht="12.6" customHeight="1" x14ac:dyDescent="0.25">
      <c r="A470" s="179" t="s">
        <v>334</v>
      </c>
      <c r="B470" s="179">
        <f t="shared" si="14"/>
        <v>961783604.61000013</v>
      </c>
      <c r="C470" s="179">
        <f>E197</f>
        <v>961783604.61000013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44738075.660000004</v>
      </c>
      <c r="C472" s="179">
        <f>E199</f>
        <v>44738075.660000004</v>
      </c>
      <c r="D472" s="179"/>
    </row>
    <row r="473" spans="1:7" ht="12.6" customHeight="1" x14ac:dyDescent="0.25">
      <c r="A473" s="179" t="s">
        <v>495</v>
      </c>
      <c r="B473" s="179">
        <f t="shared" si="14"/>
        <v>498391562.72999996</v>
      </c>
      <c r="C473" s="179">
        <f>SUM(E200:E201)</f>
        <v>498391562.72999996</v>
      </c>
      <c r="D473" s="179"/>
    </row>
    <row r="474" spans="1:7" ht="12.6" customHeight="1" x14ac:dyDescent="0.25">
      <c r="A474" s="179" t="s">
        <v>339</v>
      </c>
      <c r="B474" s="179">
        <f t="shared" si="14"/>
        <v>58651289.580000006</v>
      </c>
      <c r="C474" s="179">
        <f>E202</f>
        <v>58651289.580000006</v>
      </c>
      <c r="D474" s="179"/>
    </row>
    <row r="475" spans="1:7" ht="12.6" customHeight="1" x14ac:dyDescent="0.25">
      <c r="A475" s="179" t="s">
        <v>340</v>
      </c>
      <c r="B475" s="179">
        <f t="shared" si="14"/>
        <v>245531870.47999933</v>
      </c>
      <c r="C475" s="179">
        <f>E203</f>
        <v>245531870.47999933</v>
      </c>
      <c r="D475" s="179"/>
    </row>
    <row r="476" spans="1:7" ht="12.6" customHeight="1" x14ac:dyDescent="0.25">
      <c r="A476" s="179" t="s">
        <v>203</v>
      </c>
      <c r="B476" s="179">
        <f>D275</f>
        <v>2043209422.2299995</v>
      </c>
      <c r="C476" s="179">
        <f>E204</f>
        <v>2043209422.2299995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762836112.37000048</v>
      </c>
      <c r="C478" s="179">
        <f>E217</f>
        <v>762836112.37000048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3605274313.789999</v>
      </c>
    </row>
    <row r="482" spans="1:12" ht="12.6" customHeight="1" x14ac:dyDescent="0.25">
      <c r="A482" s="180" t="s">
        <v>499</v>
      </c>
      <c r="C482" s="180">
        <f>D339</f>
        <v>3605274313.7399988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014</v>
      </c>
      <c r="B493" s="254" t="s">
        <v>1003</v>
      </c>
      <c r="C493" s="254" t="str">
        <f>RIGHT(C82,4)</f>
        <v>2018</v>
      </c>
      <c r="D493" s="254" t="s">
        <v>1003</v>
      </c>
      <c r="E493" s="254" t="str">
        <f>RIGHT(C82,4)</f>
        <v>2018</v>
      </c>
      <c r="F493" s="254" t="s">
        <v>1003</v>
      </c>
      <c r="G493" s="254" t="str">
        <f>RIGHT(C82,4)</f>
        <v>2018</v>
      </c>
      <c r="H493" s="254"/>
      <c r="K493" s="254"/>
      <c r="L493" s="254"/>
    </row>
    <row r="494" spans="1:12" ht="12.6" customHeight="1" x14ac:dyDescent="0.25">
      <c r="A494" s="198"/>
      <c r="B494" s="181" t="s">
        <v>505</v>
      </c>
      <c r="C494" s="181" t="s">
        <v>505</v>
      </c>
      <c r="D494" s="255" t="s">
        <v>506</v>
      </c>
      <c r="E494" s="255" t="s">
        <v>506</v>
      </c>
      <c r="F494" s="254" t="s">
        <v>507</v>
      </c>
      <c r="G494" s="254" t="s">
        <v>507</v>
      </c>
      <c r="H494" s="254" t="s">
        <v>508</v>
      </c>
      <c r="K494" s="254"/>
      <c r="L494" s="254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4" t="s">
        <v>510</v>
      </c>
      <c r="G495" s="254" t="s">
        <v>510</v>
      </c>
      <c r="H495" s="254" t="s">
        <v>511</v>
      </c>
      <c r="K495" s="254"/>
      <c r="L495" s="254"/>
    </row>
    <row r="496" spans="1:12" ht="12.6" customHeight="1" x14ac:dyDescent="0.25">
      <c r="A496" s="180" t="s">
        <v>512</v>
      </c>
      <c r="B496" s="233">
        <v>54434277</v>
      </c>
      <c r="C496" s="233">
        <f>C71</f>
        <v>65782806.509999998</v>
      </c>
      <c r="D496" s="233">
        <v>21304</v>
      </c>
      <c r="E496" s="180">
        <f>C59</f>
        <v>26349</v>
      </c>
      <c r="F496" s="256">
        <f t="shared" ref="F496:G511" si="15">IF(B496=0,"",IF(D496=0,"",B496/D496))</f>
        <v>2555.1200244085617</v>
      </c>
      <c r="G496" s="257">
        <f t="shared" si="15"/>
        <v>2496.595943299556</v>
      </c>
      <c r="H496" s="258" t="str">
        <f>IF(B496=0,"",IF(C496=0,"",IF(D496=0,"",IF(E496=0,"",IF(G496/F496-1&lt;-0.25,G496/F496-1,IF(G496/F496-1&gt;0.25,G496/F496-1,""))))))</f>
        <v/>
      </c>
      <c r="I496" s="260"/>
      <c r="K496" s="254"/>
      <c r="L496" s="254"/>
    </row>
    <row r="497" spans="1:12" ht="12.6" customHeight="1" x14ac:dyDescent="0.25">
      <c r="A497" s="180" t="s">
        <v>513</v>
      </c>
      <c r="B497" s="233">
        <v>0</v>
      </c>
      <c r="C497" s="233">
        <f>D71</f>
        <v>0</v>
      </c>
      <c r="D497" s="233">
        <v>0</v>
      </c>
      <c r="E497" s="180">
        <f>D59</f>
        <v>0</v>
      </c>
      <c r="F497" s="256" t="str">
        <f t="shared" si="15"/>
        <v/>
      </c>
      <c r="G497" s="256" t="str">
        <f t="shared" si="15"/>
        <v/>
      </c>
      <c r="H497" s="258" t="str">
        <f t="shared" ref="H497:H550" si="16">IF(B497=0,"",IF(C497=0,"",IF(D497=0,"",IF(E497=0,"",IF(G497/F497-1&lt;-0.25,G497/F497-1,IF(G497/F497-1&gt;0.25,G497/F497-1,""))))))</f>
        <v/>
      </c>
      <c r="I497" s="260"/>
      <c r="K497" s="254"/>
      <c r="L497" s="254"/>
    </row>
    <row r="498" spans="1:12" ht="12.6" customHeight="1" x14ac:dyDescent="0.25">
      <c r="A498" s="180" t="s">
        <v>514</v>
      </c>
      <c r="B498" s="233">
        <v>72397986</v>
      </c>
      <c r="C498" s="233">
        <f>E71</f>
        <v>79637942.729999989</v>
      </c>
      <c r="D498" s="233">
        <v>59486</v>
      </c>
      <c r="E498" s="180">
        <f>E59</f>
        <v>64221</v>
      </c>
      <c r="F498" s="256">
        <f t="shared" si="15"/>
        <v>1217.059240829775</v>
      </c>
      <c r="G498" s="256">
        <f t="shared" si="15"/>
        <v>1240.0607703087774</v>
      </c>
      <c r="H498" s="258" t="str">
        <f t="shared" si="16"/>
        <v/>
      </c>
      <c r="I498" s="260"/>
      <c r="K498" s="254"/>
      <c r="L498" s="254"/>
    </row>
    <row r="499" spans="1:12" ht="12.6" customHeight="1" x14ac:dyDescent="0.25">
      <c r="A499" s="180" t="s">
        <v>515</v>
      </c>
      <c r="B499" s="233">
        <v>0</v>
      </c>
      <c r="C499" s="233">
        <f>F71</f>
        <v>0</v>
      </c>
      <c r="D499" s="233">
        <v>0</v>
      </c>
      <c r="E499" s="180">
        <f>F59</f>
        <v>0</v>
      </c>
      <c r="F499" s="256" t="str">
        <f t="shared" si="15"/>
        <v/>
      </c>
      <c r="G499" s="256" t="str">
        <f t="shared" si="15"/>
        <v/>
      </c>
      <c r="H499" s="258" t="str">
        <f t="shared" si="16"/>
        <v/>
      </c>
      <c r="I499" s="260"/>
      <c r="K499" s="254"/>
      <c r="L499" s="254"/>
    </row>
    <row r="500" spans="1:12" ht="12.6" customHeight="1" x14ac:dyDescent="0.25">
      <c r="A500" s="180" t="s">
        <v>516</v>
      </c>
      <c r="B500" s="233">
        <v>4495942</v>
      </c>
      <c r="C500" s="233">
        <f>G71</f>
        <v>4845693.3</v>
      </c>
      <c r="D500" s="233">
        <v>2851</v>
      </c>
      <c r="E500" s="180">
        <f>G59</f>
        <v>3304</v>
      </c>
      <c r="F500" s="256">
        <f t="shared" si="15"/>
        <v>1576.9701858996843</v>
      </c>
      <c r="G500" s="256">
        <f t="shared" si="15"/>
        <v>1466.6141949152541</v>
      </c>
      <c r="H500" s="258" t="str">
        <f t="shared" si="16"/>
        <v/>
      </c>
      <c r="I500" s="260"/>
      <c r="K500" s="254"/>
      <c r="L500" s="254"/>
    </row>
    <row r="501" spans="1:12" ht="12.6" customHeight="1" x14ac:dyDescent="0.25">
      <c r="A501" s="180" t="s">
        <v>517</v>
      </c>
      <c r="B501" s="233">
        <v>12291934</v>
      </c>
      <c r="C501" s="233">
        <f>H71</f>
        <v>15541781.479999999</v>
      </c>
      <c r="D501" s="233">
        <v>10496</v>
      </c>
      <c r="E501" s="180">
        <f>H59</f>
        <v>12292</v>
      </c>
      <c r="F501" s="256">
        <f t="shared" si="15"/>
        <v>1171.1065167682927</v>
      </c>
      <c r="G501" s="256">
        <f t="shared" si="15"/>
        <v>1264.3818320859093</v>
      </c>
      <c r="H501" s="258" t="str">
        <f t="shared" si="16"/>
        <v/>
      </c>
      <c r="I501" s="260"/>
      <c r="K501" s="254"/>
      <c r="L501" s="254"/>
    </row>
    <row r="502" spans="1:12" ht="12.6" customHeight="1" x14ac:dyDescent="0.25">
      <c r="A502" s="180" t="s">
        <v>518</v>
      </c>
      <c r="B502" s="233">
        <v>0</v>
      </c>
      <c r="C502" s="233">
        <f>I71</f>
        <v>0</v>
      </c>
      <c r="D502" s="233">
        <v>0</v>
      </c>
      <c r="E502" s="180">
        <f>I59</f>
        <v>0</v>
      </c>
      <c r="F502" s="256" t="str">
        <f t="shared" si="15"/>
        <v/>
      </c>
      <c r="G502" s="256" t="str">
        <f t="shared" si="15"/>
        <v/>
      </c>
      <c r="H502" s="258" t="str">
        <f t="shared" si="16"/>
        <v/>
      </c>
      <c r="I502" s="260"/>
      <c r="K502" s="254"/>
      <c r="L502" s="254"/>
    </row>
    <row r="503" spans="1:12" ht="12.6" customHeight="1" x14ac:dyDescent="0.25">
      <c r="A503" s="180" t="s">
        <v>519</v>
      </c>
      <c r="B503" s="233">
        <v>0</v>
      </c>
      <c r="C503" s="233">
        <f>J71</f>
        <v>0</v>
      </c>
      <c r="D503" s="233">
        <v>0</v>
      </c>
      <c r="E503" s="180">
        <f>J59</f>
        <v>0</v>
      </c>
      <c r="F503" s="256" t="str">
        <f t="shared" si="15"/>
        <v/>
      </c>
      <c r="G503" s="256" t="str">
        <f t="shared" si="15"/>
        <v/>
      </c>
      <c r="H503" s="258" t="str">
        <f t="shared" si="16"/>
        <v/>
      </c>
      <c r="I503" s="260"/>
      <c r="K503" s="254"/>
      <c r="L503" s="254"/>
    </row>
    <row r="504" spans="1:12" ht="12.6" customHeight="1" x14ac:dyDescent="0.25">
      <c r="A504" s="180" t="s">
        <v>520</v>
      </c>
      <c r="B504" s="233">
        <v>0</v>
      </c>
      <c r="C504" s="233">
        <f>K71</f>
        <v>0</v>
      </c>
      <c r="D504" s="233">
        <v>0</v>
      </c>
      <c r="E504" s="180">
        <f>K59</f>
        <v>0</v>
      </c>
      <c r="F504" s="256" t="str">
        <f t="shared" si="15"/>
        <v/>
      </c>
      <c r="G504" s="256" t="str">
        <f t="shared" si="15"/>
        <v/>
      </c>
      <c r="H504" s="258" t="str">
        <f t="shared" si="16"/>
        <v/>
      </c>
      <c r="I504" s="260"/>
      <c r="K504" s="254"/>
      <c r="L504" s="254"/>
    </row>
    <row r="505" spans="1:12" ht="12.6" customHeight="1" x14ac:dyDescent="0.25">
      <c r="A505" s="180" t="s">
        <v>521</v>
      </c>
      <c r="B505" s="233">
        <v>0</v>
      </c>
      <c r="C505" s="233">
        <f>L71</f>
        <v>0</v>
      </c>
      <c r="D505" s="233">
        <v>0</v>
      </c>
      <c r="E505" s="180">
        <f>L59</f>
        <v>0</v>
      </c>
      <c r="F505" s="256" t="str">
        <f t="shared" si="15"/>
        <v/>
      </c>
      <c r="G505" s="256" t="str">
        <f t="shared" si="15"/>
        <v/>
      </c>
      <c r="H505" s="258" t="str">
        <f t="shared" si="16"/>
        <v/>
      </c>
      <c r="I505" s="260"/>
      <c r="K505" s="254"/>
      <c r="L505" s="254"/>
    </row>
    <row r="506" spans="1:12" ht="12.6" customHeight="1" x14ac:dyDescent="0.25">
      <c r="A506" s="180" t="s">
        <v>522</v>
      </c>
      <c r="B506" s="233">
        <v>0</v>
      </c>
      <c r="C506" s="233">
        <f>M71</f>
        <v>0</v>
      </c>
      <c r="D506" s="233">
        <v>0</v>
      </c>
      <c r="E506" s="180">
        <f>M59</f>
        <v>0</v>
      </c>
      <c r="F506" s="256" t="str">
        <f t="shared" si="15"/>
        <v/>
      </c>
      <c r="G506" s="256" t="str">
        <f t="shared" si="15"/>
        <v/>
      </c>
      <c r="H506" s="258" t="str">
        <f t="shared" si="16"/>
        <v/>
      </c>
      <c r="I506" s="260"/>
      <c r="K506" s="254"/>
      <c r="L506" s="254"/>
    </row>
    <row r="507" spans="1:12" ht="12.6" customHeight="1" x14ac:dyDescent="0.25">
      <c r="A507" s="180" t="s">
        <v>523</v>
      </c>
      <c r="B507" s="233">
        <v>0</v>
      </c>
      <c r="C507" s="233">
        <f>N71</f>
        <v>0</v>
      </c>
      <c r="D507" s="233">
        <v>0</v>
      </c>
      <c r="E507" s="180">
        <f>N59</f>
        <v>0</v>
      </c>
      <c r="F507" s="256" t="str">
        <f t="shared" si="15"/>
        <v/>
      </c>
      <c r="G507" s="256" t="str">
        <f t="shared" si="15"/>
        <v/>
      </c>
      <c r="H507" s="258" t="str">
        <f t="shared" si="16"/>
        <v/>
      </c>
      <c r="I507" s="260"/>
      <c r="K507" s="254"/>
      <c r="L507" s="254"/>
    </row>
    <row r="508" spans="1:12" ht="12.6" customHeight="1" x14ac:dyDescent="0.25">
      <c r="A508" s="180" t="s">
        <v>524</v>
      </c>
      <c r="B508" s="233">
        <v>0</v>
      </c>
      <c r="C508" s="233">
        <f>O71</f>
        <v>0</v>
      </c>
      <c r="D508" s="233">
        <v>0</v>
      </c>
      <c r="E508" s="180">
        <f>O59</f>
        <v>0</v>
      </c>
      <c r="F508" s="256" t="str">
        <f t="shared" si="15"/>
        <v/>
      </c>
      <c r="G508" s="256" t="str">
        <f t="shared" si="15"/>
        <v/>
      </c>
      <c r="H508" s="258" t="str">
        <f t="shared" si="16"/>
        <v/>
      </c>
      <c r="I508" s="260"/>
      <c r="K508" s="254"/>
      <c r="L508" s="254"/>
    </row>
    <row r="509" spans="1:12" ht="12.6" customHeight="1" x14ac:dyDescent="0.25">
      <c r="A509" s="180" t="s">
        <v>525</v>
      </c>
      <c r="B509" s="233">
        <v>47591019</v>
      </c>
      <c r="C509" s="233">
        <f>P71</f>
        <v>55536479.859999999</v>
      </c>
      <c r="D509" s="233">
        <v>1497129</v>
      </c>
      <c r="E509" s="180">
        <f>P59</f>
        <v>1629865</v>
      </c>
      <c r="F509" s="256">
        <f t="shared" si="15"/>
        <v>31.788188592966939</v>
      </c>
      <c r="G509" s="256">
        <f t="shared" si="15"/>
        <v>34.074282139931832</v>
      </c>
      <c r="H509" s="258" t="str">
        <f t="shared" si="16"/>
        <v/>
      </c>
      <c r="I509" s="260"/>
      <c r="K509" s="254"/>
      <c r="L509" s="254"/>
    </row>
    <row r="510" spans="1:12" ht="12.6" customHeight="1" x14ac:dyDescent="0.25">
      <c r="A510" s="180" t="s">
        <v>526</v>
      </c>
      <c r="B510" s="233">
        <v>9733552</v>
      </c>
      <c r="C510" s="233">
        <f>Q71</f>
        <v>10438281.83</v>
      </c>
      <c r="D510" s="233">
        <v>1217010</v>
      </c>
      <c r="E510" s="180">
        <f>Q59</f>
        <v>1304740</v>
      </c>
      <c r="F510" s="256">
        <f t="shared" si="15"/>
        <v>7.99792277795581</v>
      </c>
      <c r="G510" s="256">
        <f t="shared" si="15"/>
        <v>8.0002773196192347</v>
      </c>
      <c r="H510" s="258" t="str">
        <f t="shared" si="16"/>
        <v/>
      </c>
      <c r="I510" s="260"/>
      <c r="K510" s="254"/>
      <c r="L510" s="254"/>
    </row>
    <row r="511" spans="1:12" ht="12.6" customHeight="1" x14ac:dyDescent="0.25">
      <c r="A511" s="180" t="s">
        <v>527</v>
      </c>
      <c r="B511" s="233">
        <v>5357609</v>
      </c>
      <c r="C511" s="233">
        <f>R71</f>
        <v>6002749.1499999994</v>
      </c>
      <c r="D511" s="233">
        <v>2096160</v>
      </c>
      <c r="E511" s="180">
        <f>R59</f>
        <v>2289260</v>
      </c>
      <c r="F511" s="256">
        <f t="shared" si="15"/>
        <v>2.5559160560262577</v>
      </c>
      <c r="G511" s="256">
        <f t="shared" si="15"/>
        <v>2.6221351659488215</v>
      </c>
      <c r="H511" s="258" t="str">
        <f t="shared" si="16"/>
        <v/>
      </c>
      <c r="I511" s="260"/>
      <c r="K511" s="254"/>
      <c r="L511" s="254"/>
    </row>
    <row r="512" spans="1:12" ht="12.6" customHeight="1" x14ac:dyDescent="0.25">
      <c r="A512" s="180" t="s">
        <v>528</v>
      </c>
      <c r="B512" s="233">
        <v>11151611</v>
      </c>
      <c r="C512" s="233">
        <f>S71</f>
        <v>13874850.32</v>
      </c>
      <c r="D512" s="181" t="s">
        <v>529</v>
      </c>
      <c r="E512" s="181" t="s">
        <v>529</v>
      </c>
      <c r="F512" s="256" t="str">
        <f t="shared" ref="F512:G527" si="17">IF(B512=0,"",IF(D512=0,"",B512/D512))</f>
        <v/>
      </c>
      <c r="G512" s="256" t="str">
        <f t="shared" si="17"/>
        <v/>
      </c>
      <c r="H512" s="258" t="str">
        <f t="shared" si="16"/>
        <v/>
      </c>
      <c r="I512" s="260"/>
      <c r="K512" s="254"/>
      <c r="L512" s="254"/>
    </row>
    <row r="513" spans="1:12" ht="12.6" customHeight="1" x14ac:dyDescent="0.25">
      <c r="A513" s="180" t="s">
        <v>983</v>
      </c>
      <c r="B513" s="233">
        <v>524094</v>
      </c>
      <c r="C513" s="233">
        <f>T71</f>
        <v>620921.94999999995</v>
      </c>
      <c r="D513" s="181" t="s">
        <v>529</v>
      </c>
      <c r="E513" s="181" t="s">
        <v>529</v>
      </c>
      <c r="F513" s="256" t="str">
        <f t="shared" si="17"/>
        <v/>
      </c>
      <c r="G513" s="256" t="str">
        <f t="shared" si="17"/>
        <v/>
      </c>
      <c r="H513" s="258" t="str">
        <f t="shared" si="16"/>
        <v/>
      </c>
      <c r="I513" s="260"/>
      <c r="K513" s="254"/>
      <c r="L513" s="254"/>
    </row>
    <row r="514" spans="1:12" ht="12.6" customHeight="1" x14ac:dyDescent="0.25">
      <c r="A514" s="180" t="s">
        <v>530</v>
      </c>
      <c r="B514" s="233">
        <v>41943307</v>
      </c>
      <c r="C514" s="233">
        <f>U71</f>
        <v>46251131.060000002</v>
      </c>
      <c r="D514" s="233">
        <v>1219203</v>
      </c>
      <c r="E514" s="180">
        <f>U59</f>
        <v>1348167</v>
      </c>
      <c r="F514" s="256">
        <f t="shared" si="17"/>
        <v>34.40223408242926</v>
      </c>
      <c r="G514" s="256">
        <f t="shared" si="17"/>
        <v>34.306677926399331</v>
      </c>
      <c r="H514" s="258" t="str">
        <f t="shared" si="16"/>
        <v/>
      </c>
      <c r="I514" s="260"/>
      <c r="K514" s="254"/>
      <c r="L514" s="254"/>
    </row>
    <row r="515" spans="1:12" ht="12.6" customHeight="1" x14ac:dyDescent="0.25">
      <c r="A515" s="180" t="s">
        <v>531</v>
      </c>
      <c r="B515" s="233">
        <v>7112527</v>
      </c>
      <c r="C515" s="233">
        <f>V71</f>
        <v>8597659.1999999993</v>
      </c>
      <c r="D515" s="233">
        <v>36252</v>
      </c>
      <c r="E515" s="180">
        <f>V59</f>
        <v>38896</v>
      </c>
      <c r="F515" s="256">
        <f t="shared" si="17"/>
        <v>196.19681672735297</v>
      </c>
      <c r="G515" s="256">
        <f t="shared" si="17"/>
        <v>221.0422459893048</v>
      </c>
      <c r="H515" s="258" t="str">
        <f t="shared" si="16"/>
        <v/>
      </c>
      <c r="I515" s="260"/>
      <c r="K515" s="254"/>
      <c r="L515" s="254"/>
    </row>
    <row r="516" spans="1:12" ht="12.6" customHeight="1" x14ac:dyDescent="0.25">
      <c r="A516" s="180" t="s">
        <v>532</v>
      </c>
      <c r="B516" s="233">
        <v>1903177</v>
      </c>
      <c r="C516" s="233">
        <f>W71</f>
        <v>1965808.73</v>
      </c>
      <c r="D516" s="233">
        <v>10671</v>
      </c>
      <c r="E516" s="180">
        <f>W59</f>
        <v>177339</v>
      </c>
      <c r="F516" s="256">
        <f t="shared" si="17"/>
        <v>178.35038890450755</v>
      </c>
      <c r="G516" s="256">
        <f t="shared" si="17"/>
        <v>11.085033354197328</v>
      </c>
      <c r="H516" s="258">
        <f t="shared" si="16"/>
        <v>-0.9378468787072145</v>
      </c>
      <c r="I516" s="260"/>
      <c r="K516" s="254"/>
      <c r="L516" s="254"/>
    </row>
    <row r="517" spans="1:12" ht="12.6" customHeight="1" x14ac:dyDescent="0.25">
      <c r="A517" s="180" t="s">
        <v>533</v>
      </c>
      <c r="B517" s="233">
        <v>2043805</v>
      </c>
      <c r="C517" s="233">
        <f>X71</f>
        <v>2147815.1900000004</v>
      </c>
      <c r="D517" s="233">
        <v>7372</v>
      </c>
      <c r="E517" s="180">
        <f>X59</f>
        <v>70089</v>
      </c>
      <c r="F517" s="256">
        <f t="shared" si="17"/>
        <v>277.23887683125338</v>
      </c>
      <c r="G517" s="256">
        <f t="shared" si="17"/>
        <v>30.644112342878348</v>
      </c>
      <c r="H517" s="258">
        <f t="shared" si="16"/>
        <v>-0.88946675627484073</v>
      </c>
      <c r="I517" s="260"/>
      <c r="K517" s="254"/>
      <c r="L517" s="254"/>
    </row>
    <row r="518" spans="1:12" ht="12.6" customHeight="1" x14ac:dyDescent="0.25">
      <c r="A518" s="180" t="s">
        <v>534</v>
      </c>
      <c r="B518" s="233">
        <v>19611080</v>
      </c>
      <c r="C518" s="233">
        <f>Y71</f>
        <v>22289402.43</v>
      </c>
      <c r="D518" s="233">
        <v>97526</v>
      </c>
      <c r="E518" s="180">
        <f>Y59</f>
        <v>169839</v>
      </c>
      <c r="F518" s="256">
        <f t="shared" si="17"/>
        <v>201.08565920882637</v>
      </c>
      <c r="G518" s="256">
        <f t="shared" si="17"/>
        <v>131.23842244714112</v>
      </c>
      <c r="H518" s="258">
        <f t="shared" si="16"/>
        <v>-0.3473506615862112</v>
      </c>
      <c r="I518" s="260"/>
      <c r="K518" s="254"/>
      <c r="L518" s="254"/>
    </row>
    <row r="519" spans="1:12" ht="12.6" customHeight="1" x14ac:dyDescent="0.25">
      <c r="A519" s="180" t="s">
        <v>535</v>
      </c>
      <c r="B519" s="233">
        <v>988736</v>
      </c>
      <c r="C519" s="233">
        <f>Z71</f>
        <v>1073724</v>
      </c>
      <c r="D519" s="233">
        <v>990</v>
      </c>
      <c r="E519" s="180">
        <f>Z59</f>
        <v>0</v>
      </c>
      <c r="F519" s="256">
        <f t="shared" si="17"/>
        <v>998.72323232323231</v>
      </c>
      <c r="G519" s="256" t="str">
        <f t="shared" si="17"/>
        <v/>
      </c>
      <c r="H519" s="258" t="str">
        <f t="shared" si="16"/>
        <v/>
      </c>
      <c r="I519" s="260"/>
      <c r="K519" s="254"/>
      <c r="L519" s="254"/>
    </row>
    <row r="520" spans="1:12" ht="12.6" customHeight="1" x14ac:dyDescent="0.25">
      <c r="A520" s="180" t="s">
        <v>536</v>
      </c>
      <c r="B520" s="233">
        <v>1494003</v>
      </c>
      <c r="C520" s="233">
        <f>AA71</f>
        <v>1446741.8299999998</v>
      </c>
      <c r="D520" s="233">
        <v>1577</v>
      </c>
      <c r="E520" s="180">
        <f>AA59</f>
        <v>6140</v>
      </c>
      <c r="F520" s="256">
        <f t="shared" si="17"/>
        <v>947.37032339885855</v>
      </c>
      <c r="G520" s="256">
        <f t="shared" si="17"/>
        <v>235.62570521172637</v>
      </c>
      <c r="H520" s="258">
        <f t="shared" si="16"/>
        <v>-0.75128447726082714</v>
      </c>
      <c r="I520" s="260"/>
      <c r="K520" s="254"/>
      <c r="L520" s="254"/>
    </row>
    <row r="521" spans="1:12" ht="12.6" customHeight="1" x14ac:dyDescent="0.25">
      <c r="A521" s="180" t="s">
        <v>537</v>
      </c>
      <c r="B521" s="233">
        <v>89344431</v>
      </c>
      <c r="C521" s="233">
        <f>AB71</f>
        <v>101539739</v>
      </c>
      <c r="D521" s="181" t="s">
        <v>529</v>
      </c>
      <c r="E521" s="181" t="s">
        <v>529</v>
      </c>
      <c r="F521" s="256" t="str">
        <f t="shared" si="17"/>
        <v/>
      </c>
      <c r="G521" s="256" t="str">
        <f t="shared" si="17"/>
        <v/>
      </c>
      <c r="H521" s="258" t="str">
        <f t="shared" si="16"/>
        <v/>
      </c>
      <c r="I521" s="260"/>
      <c r="K521" s="254"/>
      <c r="L521" s="254"/>
    </row>
    <row r="522" spans="1:12" ht="12.6" customHeight="1" x14ac:dyDescent="0.25">
      <c r="A522" s="180" t="s">
        <v>538</v>
      </c>
      <c r="B522" s="233">
        <v>13173499</v>
      </c>
      <c r="C522" s="233">
        <f>AC71</f>
        <v>16431917.619999999</v>
      </c>
      <c r="D522" s="233">
        <v>187770</v>
      </c>
      <c r="E522" s="180">
        <f>AC59</f>
        <v>211798</v>
      </c>
      <c r="F522" s="256">
        <f t="shared" si="17"/>
        <v>70.157634339883899</v>
      </c>
      <c r="G522" s="256">
        <f t="shared" si="17"/>
        <v>77.582968772131935</v>
      </c>
      <c r="H522" s="258" t="str">
        <f t="shared" si="16"/>
        <v/>
      </c>
      <c r="I522" s="260"/>
      <c r="K522" s="254"/>
      <c r="L522" s="254"/>
    </row>
    <row r="523" spans="1:12" ht="12.6" customHeight="1" x14ac:dyDescent="0.25">
      <c r="A523" s="180" t="s">
        <v>539</v>
      </c>
      <c r="B523" s="233">
        <v>5247068</v>
      </c>
      <c r="C523" s="233">
        <f>AD71</f>
        <v>6580869.5199999996</v>
      </c>
      <c r="D523" s="233">
        <v>10663</v>
      </c>
      <c r="E523" s="180">
        <f>AD59</f>
        <v>12851</v>
      </c>
      <c r="F523" s="256">
        <f t="shared" si="17"/>
        <v>492.08177811122573</v>
      </c>
      <c r="G523" s="256">
        <f t="shared" si="17"/>
        <v>512.0900723679091</v>
      </c>
      <c r="H523" s="258" t="str">
        <f t="shared" si="16"/>
        <v/>
      </c>
      <c r="I523" s="260"/>
      <c r="K523" s="254"/>
      <c r="L523" s="254"/>
    </row>
    <row r="524" spans="1:12" ht="12.6" customHeight="1" x14ac:dyDescent="0.25">
      <c r="A524" s="180" t="s">
        <v>540</v>
      </c>
      <c r="B524" s="233">
        <v>6449087</v>
      </c>
      <c r="C524" s="233">
        <f>AE71</f>
        <v>6863290.4500000002</v>
      </c>
      <c r="D524" s="233">
        <v>155627</v>
      </c>
      <c r="E524" s="180">
        <f>AE59</f>
        <v>168042</v>
      </c>
      <c r="F524" s="256">
        <f t="shared" si="17"/>
        <v>41.439383911532062</v>
      </c>
      <c r="G524" s="256">
        <f t="shared" si="17"/>
        <v>40.842708668071076</v>
      </c>
      <c r="H524" s="258" t="str">
        <f t="shared" si="16"/>
        <v/>
      </c>
      <c r="I524" s="260"/>
      <c r="K524" s="254"/>
      <c r="L524" s="254"/>
    </row>
    <row r="525" spans="1:12" ht="12.6" customHeight="1" x14ac:dyDescent="0.25">
      <c r="A525" s="180" t="s">
        <v>541</v>
      </c>
      <c r="B525" s="233">
        <v>13757693</v>
      </c>
      <c r="C525" s="233">
        <f>AF71</f>
        <v>13877055.49</v>
      </c>
      <c r="D525" s="233">
        <v>57787</v>
      </c>
      <c r="E525" s="180">
        <f>AF59</f>
        <v>46771</v>
      </c>
      <c r="F525" s="256">
        <f t="shared" si="17"/>
        <v>238.07591672867599</v>
      </c>
      <c r="G525" s="256">
        <f t="shared" si="17"/>
        <v>296.70213358705183</v>
      </c>
      <c r="H525" s="258" t="str">
        <f t="shared" si="16"/>
        <v/>
      </c>
      <c r="I525" s="260"/>
      <c r="K525" s="254"/>
      <c r="L525" s="254"/>
    </row>
    <row r="526" spans="1:12" ht="12.6" customHeight="1" x14ac:dyDescent="0.25">
      <c r="A526" s="180" t="s">
        <v>542</v>
      </c>
      <c r="B526" s="233">
        <v>20327522</v>
      </c>
      <c r="C526" s="233">
        <f>AG71</f>
        <v>17875645.880000003</v>
      </c>
      <c r="D526" s="233">
        <v>45462</v>
      </c>
      <c r="E526" s="180">
        <f>AG59</f>
        <v>50644</v>
      </c>
      <c r="F526" s="256">
        <f t="shared" si="17"/>
        <v>447.1321543266904</v>
      </c>
      <c r="G526" s="256">
        <f t="shared" si="17"/>
        <v>352.96670642129379</v>
      </c>
      <c r="H526" s="258" t="str">
        <f t="shared" si="16"/>
        <v/>
      </c>
      <c r="I526" s="260"/>
      <c r="K526" s="254"/>
      <c r="L526" s="254"/>
    </row>
    <row r="527" spans="1:12" ht="12.6" customHeight="1" x14ac:dyDescent="0.25">
      <c r="A527" s="180" t="s">
        <v>543</v>
      </c>
      <c r="B527" s="233">
        <v>1689762</v>
      </c>
      <c r="C527" s="233">
        <f>AH71</f>
        <v>1951498.2599999998</v>
      </c>
      <c r="D527" s="233">
        <v>458</v>
      </c>
      <c r="E527" s="180">
        <f>AH59</f>
        <v>568</v>
      </c>
      <c r="F527" s="256">
        <f t="shared" si="17"/>
        <v>3689.4366812227076</v>
      </c>
      <c r="G527" s="256">
        <f t="shared" si="17"/>
        <v>3435.736373239436</v>
      </c>
      <c r="H527" s="258" t="str">
        <f t="shared" si="16"/>
        <v/>
      </c>
      <c r="I527" s="260"/>
      <c r="K527" s="254"/>
      <c r="L527" s="254"/>
    </row>
    <row r="528" spans="1:12" ht="12.6" customHeight="1" x14ac:dyDescent="0.25">
      <c r="A528" s="180" t="s">
        <v>544</v>
      </c>
      <c r="B528" s="233">
        <v>0</v>
      </c>
      <c r="C528" s="233">
        <f>AI71</f>
        <v>0</v>
      </c>
      <c r="D528" s="233">
        <v>0</v>
      </c>
      <c r="E528" s="180">
        <f>AI59</f>
        <v>0</v>
      </c>
      <c r="F528" s="256" t="str">
        <f t="shared" ref="F528:G540" si="18">IF(B528=0,"",IF(D528=0,"",B528/D528))</f>
        <v/>
      </c>
      <c r="G528" s="256" t="str">
        <f t="shared" si="18"/>
        <v/>
      </c>
      <c r="H528" s="258" t="str">
        <f t="shared" si="16"/>
        <v/>
      </c>
      <c r="I528" s="260"/>
      <c r="K528" s="254"/>
      <c r="L528" s="254"/>
    </row>
    <row r="529" spans="1:12" ht="12.6" customHeight="1" x14ac:dyDescent="0.25">
      <c r="A529" s="180" t="s">
        <v>545</v>
      </c>
      <c r="B529" s="233">
        <v>93786716</v>
      </c>
      <c r="C529" s="233">
        <f>AJ71</f>
        <v>115222617.31</v>
      </c>
      <c r="D529" s="233">
        <v>23061</v>
      </c>
      <c r="E529" s="180">
        <f>AJ59</f>
        <v>326826</v>
      </c>
      <c r="F529" s="256">
        <f t="shared" si="18"/>
        <v>4066.8971857248166</v>
      </c>
      <c r="G529" s="256">
        <f t="shared" si="18"/>
        <v>352.55033966085932</v>
      </c>
      <c r="H529" s="258">
        <f t="shared" si="16"/>
        <v>-0.91331220742477992</v>
      </c>
      <c r="I529" s="260"/>
      <c r="K529" s="254"/>
      <c r="L529" s="254"/>
    </row>
    <row r="530" spans="1:12" ht="12.6" customHeight="1" x14ac:dyDescent="0.25">
      <c r="A530" s="180" t="s">
        <v>546</v>
      </c>
      <c r="B530" s="233">
        <v>2438838</v>
      </c>
      <c r="C530" s="233">
        <f>AK71</f>
        <v>2725534.66</v>
      </c>
      <c r="D530" s="233">
        <v>66165</v>
      </c>
      <c r="E530" s="180">
        <f>AK59</f>
        <v>67850</v>
      </c>
      <c r="F530" s="256">
        <f t="shared" si="18"/>
        <v>36.859941056449784</v>
      </c>
      <c r="G530" s="256">
        <f t="shared" si="18"/>
        <v>40.170002358142966</v>
      </c>
      <c r="H530" s="258" t="str">
        <f t="shared" si="16"/>
        <v/>
      </c>
      <c r="I530" s="260"/>
      <c r="K530" s="254"/>
      <c r="L530" s="254"/>
    </row>
    <row r="531" spans="1:12" ht="12.6" customHeight="1" x14ac:dyDescent="0.25">
      <c r="A531" s="180" t="s">
        <v>547</v>
      </c>
      <c r="B531" s="233">
        <v>2432258</v>
      </c>
      <c r="C531" s="233">
        <f>AL71</f>
        <v>2433979.35</v>
      </c>
      <c r="D531" s="233">
        <v>42287</v>
      </c>
      <c r="E531" s="180">
        <f>AL59</f>
        <v>50189</v>
      </c>
      <c r="F531" s="256">
        <f t="shared" si="18"/>
        <v>57.517866010830751</v>
      </c>
      <c r="G531" s="256">
        <f t="shared" si="18"/>
        <v>48.496271095259921</v>
      </c>
      <c r="H531" s="258" t="str">
        <f t="shared" si="16"/>
        <v/>
      </c>
      <c r="I531" s="260"/>
      <c r="K531" s="254"/>
      <c r="L531" s="254"/>
    </row>
    <row r="532" spans="1:12" ht="12.6" customHeight="1" x14ac:dyDescent="0.25">
      <c r="A532" s="180" t="s">
        <v>548</v>
      </c>
      <c r="B532" s="233">
        <v>2556616</v>
      </c>
      <c r="C532" s="233">
        <f>AM71</f>
        <v>2804808.54</v>
      </c>
      <c r="D532" s="233">
        <v>0</v>
      </c>
      <c r="E532" s="180">
        <f>AM59</f>
        <v>0</v>
      </c>
      <c r="F532" s="256" t="str">
        <f t="shared" si="18"/>
        <v/>
      </c>
      <c r="G532" s="256" t="str">
        <f t="shared" si="18"/>
        <v/>
      </c>
      <c r="H532" s="258" t="str">
        <f t="shared" si="16"/>
        <v/>
      </c>
      <c r="I532" s="260"/>
      <c r="K532" s="254"/>
      <c r="L532" s="254"/>
    </row>
    <row r="533" spans="1:12" ht="12.6" customHeight="1" x14ac:dyDescent="0.25">
      <c r="A533" s="180" t="s">
        <v>984</v>
      </c>
      <c r="B533" s="233">
        <v>0</v>
      </c>
      <c r="C533" s="233">
        <f>AN71</f>
        <v>0</v>
      </c>
      <c r="D533" s="233">
        <v>0</v>
      </c>
      <c r="E533" s="180">
        <f>AN59</f>
        <v>0</v>
      </c>
      <c r="F533" s="256" t="str">
        <f t="shared" si="18"/>
        <v/>
      </c>
      <c r="G533" s="256" t="str">
        <f t="shared" si="18"/>
        <v/>
      </c>
      <c r="H533" s="258" t="str">
        <f t="shared" si="16"/>
        <v/>
      </c>
      <c r="I533" s="260"/>
      <c r="K533" s="254"/>
      <c r="L533" s="254"/>
    </row>
    <row r="534" spans="1:12" ht="12.6" customHeight="1" x14ac:dyDescent="0.25">
      <c r="A534" s="180" t="s">
        <v>549</v>
      </c>
      <c r="B534" s="233">
        <v>0</v>
      </c>
      <c r="C534" s="233">
        <f>AO71</f>
        <v>0</v>
      </c>
      <c r="D534" s="233">
        <v>0</v>
      </c>
      <c r="E534" s="180">
        <f>AO59</f>
        <v>0</v>
      </c>
      <c r="F534" s="256" t="str">
        <f t="shared" si="18"/>
        <v/>
      </c>
      <c r="G534" s="256" t="str">
        <f t="shared" si="18"/>
        <v/>
      </c>
      <c r="H534" s="258" t="str">
        <f t="shared" si="16"/>
        <v/>
      </c>
      <c r="I534" s="260"/>
      <c r="K534" s="254"/>
      <c r="L534" s="254"/>
    </row>
    <row r="535" spans="1:12" ht="12.6" customHeight="1" x14ac:dyDescent="0.25">
      <c r="A535" s="180" t="s">
        <v>550</v>
      </c>
      <c r="B535" s="233">
        <v>0</v>
      </c>
      <c r="C535" s="233">
        <f>AP71</f>
        <v>0</v>
      </c>
      <c r="D535" s="233">
        <v>0</v>
      </c>
      <c r="E535" s="180">
        <f>AP59</f>
        <v>0</v>
      </c>
      <c r="F535" s="256" t="str">
        <f t="shared" si="18"/>
        <v/>
      </c>
      <c r="G535" s="256" t="str">
        <f t="shared" si="18"/>
        <v/>
      </c>
      <c r="H535" s="258" t="str">
        <f t="shared" si="16"/>
        <v/>
      </c>
      <c r="I535" s="260"/>
      <c r="K535" s="254"/>
      <c r="L535" s="254"/>
    </row>
    <row r="536" spans="1:12" ht="12.6" customHeight="1" x14ac:dyDescent="0.25">
      <c r="A536" s="180" t="s">
        <v>551</v>
      </c>
      <c r="B536" s="233">
        <v>0</v>
      </c>
      <c r="C536" s="233">
        <f>AQ71</f>
        <v>0</v>
      </c>
      <c r="D536" s="233">
        <v>0</v>
      </c>
      <c r="E536" s="180">
        <f>AQ59</f>
        <v>0</v>
      </c>
      <c r="F536" s="256" t="str">
        <f t="shared" si="18"/>
        <v/>
      </c>
      <c r="G536" s="256" t="str">
        <f t="shared" si="18"/>
        <v/>
      </c>
      <c r="H536" s="258" t="str">
        <f t="shared" si="16"/>
        <v/>
      </c>
      <c r="I536" s="260"/>
      <c r="K536" s="254"/>
      <c r="L536" s="254"/>
    </row>
    <row r="537" spans="1:12" ht="12.6" customHeight="1" x14ac:dyDescent="0.25">
      <c r="A537" s="180" t="s">
        <v>552</v>
      </c>
      <c r="B537" s="233">
        <v>13324465</v>
      </c>
      <c r="C537" s="233">
        <f>AR71</f>
        <v>14545626.630000001</v>
      </c>
      <c r="D537" s="233">
        <v>41256</v>
      </c>
      <c r="E537" s="180">
        <f>AR59</f>
        <v>55812</v>
      </c>
      <c r="F537" s="256">
        <f t="shared" si="18"/>
        <v>322.9703558270312</v>
      </c>
      <c r="G537" s="256">
        <f t="shared" si="18"/>
        <v>260.61826542678995</v>
      </c>
      <c r="H537" s="258" t="str">
        <f t="shared" si="16"/>
        <v/>
      </c>
      <c r="I537" s="260"/>
      <c r="K537" s="254"/>
      <c r="L537" s="254"/>
    </row>
    <row r="538" spans="1:12" ht="12.6" customHeight="1" x14ac:dyDescent="0.25">
      <c r="A538" s="180" t="s">
        <v>553</v>
      </c>
      <c r="B538" s="233">
        <v>0</v>
      </c>
      <c r="C538" s="233">
        <f>AS71</f>
        <v>0</v>
      </c>
      <c r="D538" s="233">
        <v>0</v>
      </c>
      <c r="E538" s="180">
        <f>AS59</f>
        <v>0</v>
      </c>
      <c r="F538" s="256" t="str">
        <f t="shared" si="18"/>
        <v/>
      </c>
      <c r="G538" s="256" t="str">
        <f t="shared" si="18"/>
        <v/>
      </c>
      <c r="H538" s="258" t="str">
        <f t="shared" si="16"/>
        <v/>
      </c>
      <c r="I538" s="260"/>
      <c r="K538" s="254"/>
      <c r="L538" s="254"/>
    </row>
    <row r="539" spans="1:12" ht="12.6" customHeight="1" x14ac:dyDescent="0.25">
      <c r="A539" s="180" t="s">
        <v>554</v>
      </c>
      <c r="B539" s="233">
        <v>2821464</v>
      </c>
      <c r="C539" s="233">
        <f>AT71</f>
        <v>4037220</v>
      </c>
      <c r="D539" s="233">
        <v>41</v>
      </c>
      <c r="E539" s="180">
        <f>AT59</f>
        <v>62</v>
      </c>
      <c r="F539" s="256">
        <f t="shared" si="18"/>
        <v>68816.195121951227</v>
      </c>
      <c r="G539" s="256">
        <f t="shared" si="18"/>
        <v>65116.451612903227</v>
      </c>
      <c r="H539" s="258" t="str">
        <f t="shared" si="16"/>
        <v/>
      </c>
      <c r="I539" s="260"/>
      <c r="K539" s="254"/>
      <c r="L539" s="254"/>
    </row>
    <row r="540" spans="1:12" ht="12.6" customHeight="1" x14ac:dyDescent="0.25">
      <c r="A540" s="180" t="s">
        <v>555</v>
      </c>
      <c r="B540" s="233">
        <v>0</v>
      </c>
      <c r="C540" s="233">
        <f>AU71</f>
        <v>0</v>
      </c>
      <c r="D540" s="233">
        <v>0</v>
      </c>
      <c r="E540" s="180">
        <f>AU59</f>
        <v>0</v>
      </c>
      <c r="F540" s="256" t="str">
        <f t="shared" si="18"/>
        <v/>
      </c>
      <c r="G540" s="256" t="str">
        <f t="shared" si="18"/>
        <v/>
      </c>
      <c r="H540" s="258" t="str">
        <f t="shared" si="16"/>
        <v/>
      </c>
      <c r="I540" s="260"/>
      <c r="K540" s="254"/>
      <c r="L540" s="254"/>
    </row>
    <row r="541" spans="1:12" ht="12.6" customHeight="1" x14ac:dyDescent="0.25">
      <c r="A541" s="180" t="s">
        <v>556</v>
      </c>
      <c r="B541" s="233">
        <v>1402068</v>
      </c>
      <c r="C541" s="233">
        <f>AV71</f>
        <v>4757874.2200000007</v>
      </c>
      <c r="D541" s="181" t="s">
        <v>529</v>
      </c>
      <c r="E541" s="181" t="s">
        <v>529</v>
      </c>
      <c r="F541" s="256"/>
      <c r="G541" s="256"/>
      <c r="H541" s="258"/>
      <c r="I541" s="260"/>
      <c r="K541" s="254"/>
      <c r="L541" s="254"/>
    </row>
    <row r="542" spans="1:12" ht="12.6" customHeight="1" x14ac:dyDescent="0.25">
      <c r="A542" s="180" t="s">
        <v>985</v>
      </c>
      <c r="B542" s="233">
        <v>92033255</v>
      </c>
      <c r="C542" s="233">
        <f>AW71</f>
        <v>92814569.969999999</v>
      </c>
      <c r="D542" s="181" t="s">
        <v>529</v>
      </c>
      <c r="E542" s="181" t="s">
        <v>529</v>
      </c>
      <c r="F542" s="256"/>
      <c r="G542" s="256"/>
      <c r="H542" s="258"/>
      <c r="I542" s="260"/>
      <c r="K542" s="254"/>
      <c r="L542" s="254"/>
    </row>
    <row r="543" spans="1:12" ht="12.6" customHeight="1" x14ac:dyDescent="0.25">
      <c r="A543" s="180" t="s">
        <v>557</v>
      </c>
      <c r="B543" s="233">
        <v>2193967</v>
      </c>
      <c r="C543" s="233">
        <f>AX71</f>
        <v>1995515</v>
      </c>
      <c r="D543" s="181" t="s">
        <v>529</v>
      </c>
      <c r="E543" s="181" t="s">
        <v>529</v>
      </c>
      <c r="F543" s="256"/>
      <c r="G543" s="256"/>
      <c r="H543" s="258"/>
      <c r="I543" s="260"/>
      <c r="K543" s="254"/>
      <c r="L543" s="254"/>
    </row>
    <row r="544" spans="1:12" ht="12.6" customHeight="1" x14ac:dyDescent="0.25">
      <c r="A544" s="180" t="s">
        <v>558</v>
      </c>
      <c r="B544" s="233">
        <v>14390395</v>
      </c>
      <c r="C544" s="233">
        <f>AY71</f>
        <v>14999152</v>
      </c>
      <c r="D544" s="233">
        <v>254169.90000000002</v>
      </c>
      <c r="E544" s="180">
        <f>AY59</f>
        <v>1092264</v>
      </c>
      <c r="F544" s="256">
        <f t="shared" ref="F544:G550" si="19">IF(B544=0,"",IF(D544=0,"",B544/D544))</f>
        <v>56.617227295600301</v>
      </c>
      <c r="G544" s="256">
        <f t="shared" si="19"/>
        <v>13.732167314861609</v>
      </c>
      <c r="H544" s="258">
        <f t="shared" si="16"/>
        <v>-0.7574560258282248</v>
      </c>
      <c r="I544" s="260"/>
      <c r="K544" s="254"/>
      <c r="L544" s="254"/>
    </row>
    <row r="545" spans="1:13" ht="12.6" customHeight="1" x14ac:dyDescent="0.25">
      <c r="A545" s="180" t="s">
        <v>559</v>
      </c>
      <c r="B545" s="233">
        <v>534335</v>
      </c>
      <c r="C545" s="233">
        <f>AZ71</f>
        <v>557815.19999999995</v>
      </c>
      <c r="D545" s="233">
        <v>0</v>
      </c>
      <c r="E545" s="180">
        <f>AZ59</f>
        <v>1092264</v>
      </c>
      <c r="F545" s="256" t="str">
        <f t="shared" si="19"/>
        <v/>
      </c>
      <c r="G545" s="256">
        <f t="shared" si="19"/>
        <v>0.51069631517655067</v>
      </c>
      <c r="H545" s="258" t="str">
        <f t="shared" si="16"/>
        <v/>
      </c>
      <c r="I545" s="260"/>
      <c r="K545" s="254"/>
      <c r="L545" s="254"/>
    </row>
    <row r="546" spans="1:13" ht="12.6" customHeight="1" x14ac:dyDescent="0.25">
      <c r="A546" s="180" t="s">
        <v>560</v>
      </c>
      <c r="B546" s="233">
        <v>3360223</v>
      </c>
      <c r="C546" s="233">
        <f>BA71</f>
        <v>3521252</v>
      </c>
      <c r="D546" s="233">
        <v>0</v>
      </c>
      <c r="E546" s="180">
        <f>BA59</f>
        <v>0</v>
      </c>
      <c r="F546" s="256" t="str">
        <f t="shared" si="19"/>
        <v/>
      </c>
      <c r="G546" s="256" t="str">
        <f t="shared" si="19"/>
        <v/>
      </c>
      <c r="H546" s="258" t="str">
        <f t="shared" si="16"/>
        <v/>
      </c>
      <c r="I546" s="260"/>
      <c r="K546" s="254"/>
      <c r="L546" s="254"/>
    </row>
    <row r="547" spans="1:13" ht="12.6" customHeight="1" x14ac:dyDescent="0.25">
      <c r="A547" s="180" t="s">
        <v>561</v>
      </c>
      <c r="B547" s="233">
        <v>12955399</v>
      </c>
      <c r="C547" s="233">
        <f>BB71</f>
        <v>16646579.43</v>
      </c>
      <c r="D547" s="181" t="s">
        <v>529</v>
      </c>
      <c r="E547" s="181" t="s">
        <v>529</v>
      </c>
      <c r="F547" s="256"/>
      <c r="G547" s="256"/>
      <c r="H547" s="258"/>
      <c r="I547" s="260"/>
      <c r="K547" s="254"/>
      <c r="L547" s="254"/>
    </row>
    <row r="548" spans="1:13" ht="12.6" customHeight="1" x14ac:dyDescent="0.25">
      <c r="A548" s="180" t="s">
        <v>562</v>
      </c>
      <c r="B548" s="233">
        <v>269283</v>
      </c>
      <c r="C548" s="233">
        <f>BC71</f>
        <v>285377</v>
      </c>
      <c r="D548" s="181" t="s">
        <v>529</v>
      </c>
      <c r="E548" s="181" t="s">
        <v>529</v>
      </c>
      <c r="F548" s="256"/>
      <c r="G548" s="256"/>
      <c r="H548" s="258"/>
      <c r="I548" s="260"/>
      <c r="K548" s="254"/>
      <c r="L548" s="254"/>
    </row>
    <row r="549" spans="1:13" ht="12.6" customHeight="1" x14ac:dyDescent="0.25">
      <c r="A549" s="180" t="s">
        <v>563</v>
      </c>
      <c r="B549" s="233">
        <v>3142125</v>
      </c>
      <c r="C549" s="233">
        <f>BD71</f>
        <v>3330868.93</v>
      </c>
      <c r="D549" s="181" t="s">
        <v>529</v>
      </c>
      <c r="E549" s="181" t="s">
        <v>529</v>
      </c>
      <c r="F549" s="256"/>
      <c r="G549" s="256"/>
      <c r="H549" s="258"/>
      <c r="I549" s="260"/>
      <c r="K549" s="254"/>
      <c r="L549" s="254"/>
    </row>
    <row r="550" spans="1:13" ht="12.6" customHeight="1" x14ac:dyDescent="0.25">
      <c r="A550" s="180" t="s">
        <v>564</v>
      </c>
      <c r="B550" s="233">
        <v>38018355</v>
      </c>
      <c r="C550" s="233">
        <f>BE71</f>
        <v>45137202.539999999</v>
      </c>
      <c r="D550" s="233">
        <v>1217868</v>
      </c>
      <c r="E550" s="180">
        <f>BE59</f>
        <v>1387128</v>
      </c>
      <c r="F550" s="256">
        <f t="shared" si="19"/>
        <v>31.217139295884284</v>
      </c>
      <c r="G550" s="256">
        <f t="shared" si="19"/>
        <v>32.540041394882088</v>
      </c>
      <c r="H550" s="258" t="str">
        <f t="shared" si="16"/>
        <v/>
      </c>
      <c r="I550" s="260"/>
      <c r="K550" s="254"/>
      <c r="L550" s="254"/>
    </row>
    <row r="551" spans="1:13" ht="12.6" customHeight="1" x14ac:dyDescent="0.25">
      <c r="A551" s="180" t="s">
        <v>565</v>
      </c>
      <c r="B551" s="233">
        <v>10253945</v>
      </c>
      <c r="C551" s="233">
        <f>BF71</f>
        <v>11633646.27</v>
      </c>
      <c r="D551" s="181" t="s">
        <v>529</v>
      </c>
      <c r="E551" s="181" t="s">
        <v>529</v>
      </c>
      <c r="F551" s="256"/>
      <c r="G551" s="256"/>
      <c r="H551" s="258"/>
      <c r="I551" s="260"/>
      <c r="J551" s="199"/>
      <c r="M551" s="258"/>
    </row>
    <row r="552" spans="1:13" ht="12.6" customHeight="1" x14ac:dyDescent="0.25">
      <c r="A552" s="180" t="s">
        <v>566</v>
      </c>
      <c r="B552" s="233">
        <v>3907984</v>
      </c>
      <c r="C552" s="233">
        <f>BG71</f>
        <v>4712246.33</v>
      </c>
      <c r="D552" s="181" t="s">
        <v>529</v>
      </c>
      <c r="E552" s="181" t="s">
        <v>529</v>
      </c>
      <c r="F552" s="256"/>
      <c r="G552" s="256"/>
      <c r="H552" s="258"/>
      <c r="J552" s="199"/>
      <c r="M552" s="258"/>
    </row>
    <row r="553" spans="1:13" ht="12.6" customHeight="1" x14ac:dyDescent="0.25">
      <c r="A553" s="180" t="s">
        <v>567</v>
      </c>
      <c r="B553" s="233">
        <v>78928509</v>
      </c>
      <c r="C553" s="233">
        <f>BH71</f>
        <v>84753659.980000004</v>
      </c>
      <c r="D553" s="181" t="s">
        <v>529</v>
      </c>
      <c r="E553" s="181" t="s">
        <v>529</v>
      </c>
      <c r="F553" s="256"/>
      <c r="G553" s="256"/>
      <c r="H553" s="258"/>
      <c r="J553" s="199"/>
      <c r="M553" s="258"/>
    </row>
    <row r="554" spans="1:13" ht="12.6" customHeight="1" x14ac:dyDescent="0.25">
      <c r="A554" s="180" t="s">
        <v>568</v>
      </c>
      <c r="B554" s="233">
        <v>6727366</v>
      </c>
      <c r="C554" s="233">
        <f>BI71</f>
        <v>7086926.5299999993</v>
      </c>
      <c r="D554" s="181" t="s">
        <v>529</v>
      </c>
      <c r="E554" s="181" t="s">
        <v>529</v>
      </c>
      <c r="F554" s="256"/>
      <c r="G554" s="256"/>
      <c r="H554" s="258"/>
      <c r="J554" s="199"/>
      <c r="M554" s="258"/>
    </row>
    <row r="555" spans="1:13" ht="12.6" customHeight="1" x14ac:dyDescent="0.25">
      <c r="A555" s="180" t="s">
        <v>569</v>
      </c>
      <c r="B555" s="233">
        <v>8679973</v>
      </c>
      <c r="C555" s="233">
        <f>BJ71</f>
        <v>12784579.699999999</v>
      </c>
      <c r="D555" s="181" t="s">
        <v>529</v>
      </c>
      <c r="E555" s="181" t="s">
        <v>529</v>
      </c>
      <c r="F555" s="256"/>
      <c r="G555" s="256"/>
      <c r="H555" s="258"/>
      <c r="J555" s="199"/>
      <c r="M555" s="258"/>
    </row>
    <row r="556" spans="1:13" ht="12.6" customHeight="1" x14ac:dyDescent="0.25">
      <c r="A556" s="180" t="s">
        <v>570</v>
      </c>
      <c r="B556" s="233">
        <v>13399669</v>
      </c>
      <c r="C556" s="233">
        <f>BK71</f>
        <v>11786428.050000001</v>
      </c>
      <c r="D556" s="181" t="s">
        <v>529</v>
      </c>
      <c r="E556" s="181" t="s">
        <v>529</v>
      </c>
      <c r="F556" s="256"/>
      <c r="G556" s="256"/>
      <c r="H556" s="258"/>
      <c r="J556" s="199"/>
      <c r="M556" s="258"/>
    </row>
    <row r="557" spans="1:13" ht="12.6" customHeight="1" x14ac:dyDescent="0.25">
      <c r="A557" s="180" t="s">
        <v>571</v>
      </c>
      <c r="B557" s="233">
        <v>9929732</v>
      </c>
      <c r="C557" s="233">
        <f>BL71</f>
        <v>7167072.8599999994</v>
      </c>
      <c r="D557" s="181" t="s">
        <v>529</v>
      </c>
      <c r="E557" s="181" t="s">
        <v>529</v>
      </c>
      <c r="F557" s="256"/>
      <c r="G557" s="256"/>
      <c r="H557" s="258"/>
      <c r="J557" s="199"/>
      <c r="M557" s="258"/>
    </row>
    <row r="558" spans="1:13" ht="12.6" customHeight="1" x14ac:dyDescent="0.25">
      <c r="A558" s="180" t="s">
        <v>572</v>
      </c>
      <c r="B558" s="233">
        <v>0</v>
      </c>
      <c r="C558" s="233">
        <f>BM71</f>
        <v>0</v>
      </c>
      <c r="D558" s="181" t="s">
        <v>529</v>
      </c>
      <c r="E558" s="181" t="s">
        <v>529</v>
      </c>
      <c r="F558" s="256"/>
      <c r="G558" s="256"/>
      <c r="H558" s="258"/>
      <c r="J558" s="199"/>
      <c r="M558" s="258"/>
    </row>
    <row r="559" spans="1:13" ht="12.6" customHeight="1" x14ac:dyDescent="0.25">
      <c r="A559" s="180" t="s">
        <v>573</v>
      </c>
      <c r="B559" s="233">
        <v>27612403</v>
      </c>
      <c r="C559" s="233">
        <f>BN71</f>
        <v>29673474.149999999</v>
      </c>
      <c r="D559" s="181" t="s">
        <v>529</v>
      </c>
      <c r="E559" s="181" t="s">
        <v>529</v>
      </c>
      <c r="F559" s="256"/>
      <c r="G559" s="256"/>
      <c r="H559" s="258"/>
      <c r="J559" s="199"/>
      <c r="M559" s="258"/>
    </row>
    <row r="560" spans="1:13" ht="12.6" customHeight="1" x14ac:dyDescent="0.25">
      <c r="A560" s="180" t="s">
        <v>574</v>
      </c>
      <c r="B560" s="233">
        <v>2224637</v>
      </c>
      <c r="C560" s="233">
        <f>BO71</f>
        <v>2178015.2199999997</v>
      </c>
      <c r="D560" s="181" t="s">
        <v>529</v>
      </c>
      <c r="E560" s="181" t="s">
        <v>529</v>
      </c>
      <c r="F560" s="256"/>
      <c r="G560" s="256"/>
      <c r="H560" s="258"/>
      <c r="J560" s="199"/>
      <c r="M560" s="258"/>
    </row>
    <row r="561" spans="1:13" ht="12.6" customHeight="1" x14ac:dyDescent="0.25">
      <c r="A561" s="180" t="s">
        <v>575</v>
      </c>
      <c r="B561" s="233">
        <v>9284242</v>
      </c>
      <c r="C561" s="233">
        <f>BP71</f>
        <v>10847611</v>
      </c>
      <c r="D561" s="181" t="s">
        <v>529</v>
      </c>
      <c r="E561" s="181" t="s">
        <v>529</v>
      </c>
      <c r="F561" s="256"/>
      <c r="G561" s="256"/>
      <c r="H561" s="258"/>
      <c r="J561" s="199"/>
      <c r="M561" s="258"/>
    </row>
    <row r="562" spans="1:13" ht="12.6" customHeight="1" x14ac:dyDescent="0.25">
      <c r="A562" s="180" t="s">
        <v>576</v>
      </c>
      <c r="B562" s="233">
        <v>6428656</v>
      </c>
      <c r="C562" s="233">
        <f>BQ71</f>
        <v>7074078</v>
      </c>
      <c r="D562" s="181" t="s">
        <v>529</v>
      </c>
      <c r="E562" s="181" t="s">
        <v>529</v>
      </c>
      <c r="F562" s="256"/>
      <c r="G562" s="256"/>
      <c r="H562" s="258"/>
      <c r="J562" s="199"/>
      <c r="M562" s="258"/>
    </row>
    <row r="563" spans="1:13" ht="12.6" customHeight="1" x14ac:dyDescent="0.25">
      <c r="A563" s="180" t="s">
        <v>577</v>
      </c>
      <c r="B563" s="233">
        <v>11277140</v>
      </c>
      <c r="C563" s="233">
        <f>BR71</f>
        <v>12647345.310000001</v>
      </c>
      <c r="D563" s="181" t="s">
        <v>529</v>
      </c>
      <c r="E563" s="181" t="s">
        <v>529</v>
      </c>
      <c r="F563" s="256"/>
      <c r="G563" s="256"/>
      <c r="H563" s="258"/>
      <c r="J563" s="199"/>
      <c r="M563" s="258"/>
    </row>
    <row r="564" spans="1:13" ht="12.6" customHeight="1" x14ac:dyDescent="0.25">
      <c r="A564" s="180" t="s">
        <v>986</v>
      </c>
      <c r="B564" s="233">
        <v>555946</v>
      </c>
      <c r="C564" s="233">
        <f>BS71</f>
        <v>633906.83000000007</v>
      </c>
      <c r="D564" s="181" t="s">
        <v>529</v>
      </c>
      <c r="E564" s="181" t="s">
        <v>529</v>
      </c>
      <c r="F564" s="256"/>
      <c r="G564" s="256"/>
      <c r="H564" s="258"/>
      <c r="J564" s="199"/>
      <c r="M564" s="258"/>
    </row>
    <row r="565" spans="1:13" ht="12.6" customHeight="1" x14ac:dyDescent="0.25">
      <c r="A565" s="180" t="s">
        <v>578</v>
      </c>
      <c r="B565" s="233">
        <v>682164</v>
      </c>
      <c r="C565" s="233">
        <f>BT71</f>
        <v>941351</v>
      </c>
      <c r="D565" s="181" t="s">
        <v>529</v>
      </c>
      <c r="E565" s="181" t="s">
        <v>529</v>
      </c>
      <c r="F565" s="256"/>
      <c r="G565" s="256"/>
      <c r="H565" s="258"/>
      <c r="J565" s="199"/>
      <c r="M565" s="258"/>
    </row>
    <row r="566" spans="1:13" ht="12.6" customHeight="1" x14ac:dyDescent="0.25">
      <c r="A566" s="180" t="s">
        <v>579</v>
      </c>
      <c r="B566" s="233">
        <v>1391751</v>
      </c>
      <c r="C566" s="233">
        <f>BU71</f>
        <v>1416188</v>
      </c>
      <c r="D566" s="181" t="s">
        <v>529</v>
      </c>
      <c r="E566" s="181" t="s">
        <v>529</v>
      </c>
      <c r="F566" s="256"/>
      <c r="G566" s="256"/>
      <c r="H566" s="258"/>
      <c r="J566" s="199"/>
      <c r="M566" s="258"/>
    </row>
    <row r="567" spans="1:13" ht="12.6" customHeight="1" x14ac:dyDescent="0.25">
      <c r="A567" s="180" t="s">
        <v>580</v>
      </c>
      <c r="B567" s="233">
        <v>7178823</v>
      </c>
      <c r="C567" s="233">
        <f>BV71</f>
        <v>7071473.7299999995</v>
      </c>
      <c r="D567" s="181" t="s">
        <v>529</v>
      </c>
      <c r="E567" s="181" t="s">
        <v>529</v>
      </c>
      <c r="F567" s="256"/>
      <c r="G567" s="256"/>
      <c r="H567" s="258"/>
      <c r="J567" s="199"/>
      <c r="M567" s="258"/>
    </row>
    <row r="568" spans="1:13" ht="12.6" customHeight="1" x14ac:dyDescent="0.25">
      <c r="A568" s="180" t="s">
        <v>581</v>
      </c>
      <c r="B568" s="233">
        <v>32436663</v>
      </c>
      <c r="C568" s="233">
        <f>BW71</f>
        <v>32488690.890000001</v>
      </c>
      <c r="D568" s="181" t="s">
        <v>529</v>
      </c>
      <c r="E568" s="181" t="s">
        <v>529</v>
      </c>
      <c r="F568" s="256"/>
      <c r="G568" s="256"/>
      <c r="H568" s="258"/>
      <c r="J568" s="199"/>
      <c r="M568" s="258"/>
    </row>
    <row r="569" spans="1:13" ht="12.6" customHeight="1" x14ac:dyDescent="0.25">
      <c r="A569" s="180" t="s">
        <v>582</v>
      </c>
      <c r="B569" s="233">
        <v>9945552</v>
      </c>
      <c r="C569" s="233">
        <f>BX71</f>
        <v>14789712.49</v>
      </c>
      <c r="D569" s="181" t="s">
        <v>529</v>
      </c>
      <c r="E569" s="181" t="s">
        <v>529</v>
      </c>
      <c r="F569" s="256"/>
      <c r="G569" s="256"/>
      <c r="H569" s="258"/>
      <c r="J569" s="199"/>
      <c r="M569" s="258"/>
    </row>
    <row r="570" spans="1:13" ht="12.6" customHeight="1" x14ac:dyDescent="0.25">
      <c r="A570" s="180" t="s">
        <v>583</v>
      </c>
      <c r="B570" s="233">
        <v>5609788</v>
      </c>
      <c r="C570" s="233">
        <f>BY71</f>
        <v>8014840.7999999998</v>
      </c>
      <c r="D570" s="181" t="s">
        <v>529</v>
      </c>
      <c r="E570" s="181" t="s">
        <v>529</v>
      </c>
      <c r="F570" s="256"/>
      <c r="G570" s="256"/>
      <c r="H570" s="258"/>
      <c r="J570" s="199"/>
      <c r="M570" s="258"/>
    </row>
    <row r="571" spans="1:13" ht="12.6" customHeight="1" x14ac:dyDescent="0.25">
      <c r="A571" s="180" t="s">
        <v>584</v>
      </c>
      <c r="B571" s="233">
        <v>6233339</v>
      </c>
      <c r="C571" s="233">
        <f>BZ71</f>
        <v>7313644</v>
      </c>
      <c r="D571" s="181" t="s">
        <v>529</v>
      </c>
      <c r="E571" s="181" t="s">
        <v>529</v>
      </c>
      <c r="F571" s="256"/>
      <c r="G571" s="256"/>
      <c r="H571" s="258"/>
      <c r="J571" s="199"/>
      <c r="M571" s="258"/>
    </row>
    <row r="572" spans="1:13" ht="12.6" customHeight="1" x14ac:dyDescent="0.25">
      <c r="A572" s="180" t="s">
        <v>585</v>
      </c>
      <c r="B572" s="233">
        <v>0</v>
      </c>
      <c r="C572" s="233">
        <f>CA71</f>
        <v>0</v>
      </c>
      <c r="D572" s="181" t="s">
        <v>529</v>
      </c>
      <c r="E572" s="181" t="s">
        <v>529</v>
      </c>
      <c r="F572" s="256"/>
      <c r="G572" s="256"/>
      <c r="H572" s="258"/>
      <c r="J572" s="199"/>
      <c r="M572" s="258"/>
    </row>
    <row r="573" spans="1:13" ht="12.6" customHeight="1" x14ac:dyDescent="0.25">
      <c r="A573" s="180" t="s">
        <v>586</v>
      </c>
      <c r="B573" s="233">
        <v>0</v>
      </c>
      <c r="C573" s="233">
        <f>CB71</f>
        <v>0</v>
      </c>
      <c r="D573" s="181" t="s">
        <v>529</v>
      </c>
      <c r="E573" s="181" t="s">
        <v>529</v>
      </c>
      <c r="F573" s="256"/>
      <c r="G573" s="256"/>
      <c r="H573" s="258"/>
      <c r="J573" s="199"/>
      <c r="M573" s="258"/>
    </row>
    <row r="574" spans="1:13" ht="12.6" customHeight="1" x14ac:dyDescent="0.25">
      <c r="A574" s="180" t="s">
        <v>587</v>
      </c>
      <c r="B574" s="233">
        <v>59266034</v>
      </c>
      <c r="C574" s="233">
        <f>CC71</f>
        <v>21064484.50999999</v>
      </c>
      <c r="D574" s="181" t="s">
        <v>529</v>
      </c>
      <c r="E574" s="181" t="s">
        <v>529</v>
      </c>
      <c r="F574" s="256"/>
      <c r="G574" s="256"/>
      <c r="H574" s="258"/>
      <c r="J574" s="199"/>
      <c r="M574" s="258"/>
    </row>
    <row r="575" spans="1:13" ht="12.6" customHeight="1" x14ac:dyDescent="0.25">
      <c r="A575" s="180" t="s">
        <v>588</v>
      </c>
      <c r="B575" s="233">
        <v>46202329</v>
      </c>
      <c r="C575" s="233">
        <f>CD71</f>
        <v>56889772</v>
      </c>
      <c r="D575" s="181" t="s">
        <v>529</v>
      </c>
      <c r="E575" s="181" t="s">
        <v>529</v>
      </c>
      <c r="F575" s="256"/>
      <c r="G575" s="256"/>
      <c r="H575" s="258"/>
    </row>
    <row r="576" spans="1:13" ht="12.6" customHeight="1" x14ac:dyDescent="0.25">
      <c r="M576" s="258"/>
    </row>
    <row r="577" spans="13:13" ht="12.6" customHeight="1" x14ac:dyDescent="0.25">
      <c r="M577" s="258"/>
    </row>
    <row r="578" spans="13:13" ht="12.6" customHeight="1" x14ac:dyDescent="0.25">
      <c r="M578" s="258"/>
    </row>
    <row r="612" spans="1:14" ht="12.6" customHeight="1" x14ac:dyDescent="0.25">
      <c r="A612" s="196"/>
      <c r="C612" s="181" t="s">
        <v>589</v>
      </c>
      <c r="D612" s="180">
        <f>CE76-(BE76+CD76)</f>
        <v>1235527.1276800872</v>
      </c>
      <c r="E612" s="180">
        <f>SUM(C624:D647)+SUM(C668:D713)</f>
        <v>1083183258.0183318</v>
      </c>
      <c r="F612" s="180">
        <f>CE64-(AX64+BD64+BE64+BG64+BJ64+BN64+BP64+BQ64+CB64+CC64+CD64)</f>
        <v>172584295.29000002</v>
      </c>
      <c r="G612" s="180">
        <f>CE77-(AX77+AY77+BD77+BE77+BG77+BJ77+BN77+BP77+BQ77+CB77+CC77+CD77)</f>
        <v>1092264</v>
      </c>
      <c r="H612" s="197">
        <f>CE60-(AX60+AY60+AZ60+BD60+BE60+BG60+BJ60+BN60+BO60+BP60+BQ60+BR60+CB60+CC60+CD60)</f>
        <v>5438.989999999998</v>
      </c>
      <c r="I612" s="180">
        <f>CE78-(AX78+AY78+AZ78+BD78+BE78+BF78+BG78+BJ78+BN78+BO78+BP78+BQ78+BR78+CB78+CC78+CD78)</f>
        <v>207564</v>
      </c>
      <c r="J612" s="180">
        <f>CE79-(AX79+AY79+AZ79+BA79+BD79+BE79+BF79+BG79+BJ79+BN79+BO79+BP79+BQ79+BR79+CB79+CC79+CD79)</f>
        <v>3536896</v>
      </c>
      <c r="K612" s="180">
        <f>CE75-(AW75+AX75+AY75+AZ75+BA75+BB75+BC75+BD75+BE75+BF75+BG75+BH75+BI75+BJ75+BK75+BL75+BM75+BN75+BO75+BP75+BQ75+BR75+BS75+BT75+BU75+BV75+BW75+BX75+CB75+CC75+CD75)</f>
        <v>2735398100</v>
      </c>
      <c r="L612" s="197">
        <f>CE80-(AW80+AX80+AY80+AZ80+BA80+BB80+BC80+BD80+BE80+BF80+BG80+BH80+BI80+BJ80+BK80+BL80+BM80+BN80+BO80+BP80+BQ80+BR80+BS80+BT80+BU80+BV80+BW80+BX80+BY80+BZ80+CA80+CB80+CC80+CD80)</f>
        <v>1367.41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45137202.539999999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4">
        <f>CD69-CD70</f>
        <v>56889772</v>
      </c>
      <c r="D615" s="259">
        <f>SUM(C614:C615)</f>
        <v>102026974.53999999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1995515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12784579.699999999</v>
      </c>
      <c r="D617" s="180">
        <f>(D615/D612)*BJ76</f>
        <v>18277.745618654586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4712246.33</v>
      </c>
      <c r="D618" s="180">
        <f>(D615/D612)*BG76</f>
        <v>113073.6291480244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29673474.149999999</v>
      </c>
      <c r="D619" s="180">
        <f>(D615/D612)*BN76</f>
        <v>4537616.7438737471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21064484.50999999</v>
      </c>
      <c r="D620" s="180">
        <f>(D615/D612)*CC76</f>
        <v>3012063.3102498036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10847611</v>
      </c>
      <c r="D621" s="180">
        <f>(D615/D612)*BP76</f>
        <v>659642.96405374364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7074078</v>
      </c>
      <c r="D623" s="180">
        <f>(D615/D612)*BQ76</f>
        <v>283025.11872442556</v>
      </c>
      <c r="E623" s="180">
        <f>SUM(C616:D623)</f>
        <v>96775688.201668397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3330868.93</v>
      </c>
      <c r="D624" s="180">
        <f>(D615/D612)*BD76</f>
        <v>498393.01584727166</v>
      </c>
      <c r="E624" s="180">
        <f>(E623/E612)*SUM(C624:D624)</f>
        <v>342120.74214643921</v>
      </c>
      <c r="F624" s="180">
        <f>SUM(C624:E624)</f>
        <v>4171382.6879937113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14999152</v>
      </c>
      <c r="D625" s="180">
        <f>(D615/D612)*AY76</f>
        <v>2876098.320015002</v>
      </c>
      <c r="E625" s="180">
        <f>(E623/E612)*SUM(C625:D625)</f>
        <v>1597042.4567504427</v>
      </c>
      <c r="F625" s="180">
        <f>(F624/F612)*AY64</f>
        <v>83918.792823378521</v>
      </c>
      <c r="G625" s="180">
        <f>SUM(C625:F625)</f>
        <v>19556211.569588821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12647345.310000001</v>
      </c>
      <c r="D626" s="180">
        <f>(D615/D612)*BR76</f>
        <v>1074261.410172763</v>
      </c>
      <c r="E626" s="180">
        <f>(E623/E612)*SUM(C626:D626)</f>
        <v>1225940.2310249549</v>
      </c>
      <c r="F626" s="180">
        <f>(F624/F612)*BR64</f>
        <v>3960.6416141381505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2178015.2199999997</v>
      </c>
      <c r="D627" s="180">
        <f>(D615/D612)*BO76</f>
        <v>0</v>
      </c>
      <c r="E627" s="180">
        <f>(E623/E612)*SUM(C627:D627)</f>
        <v>194592.1156636276</v>
      </c>
      <c r="F627" s="180">
        <f>(F624/F612)*BO64</f>
        <v>12435.31273340294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557815.19999999995</v>
      </c>
      <c r="D628" s="180">
        <f>(D615/D612)*AZ76</f>
        <v>658474.48975852376</v>
      </c>
      <c r="E628" s="180">
        <f>(E623/E612)*SUM(C628:D628)</f>
        <v>108667.92013968038</v>
      </c>
      <c r="F628" s="180">
        <f>(F624/F612)*AZ64</f>
        <v>2237.8144946596649</v>
      </c>
      <c r="G628" s="180">
        <f>(G625/G612)*AZ77</f>
        <v>19556211.569588821</v>
      </c>
      <c r="H628" s="180">
        <f>SUM(C626:G628)</f>
        <v>38219957.23519057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11633646.27</v>
      </c>
      <c r="D629" s="180">
        <f>(D615/D612)*BF76</f>
        <v>525898.48786830343</v>
      </c>
      <c r="E629" s="180">
        <f>(E623/E612)*SUM(C629:D629)</f>
        <v>1086379.7085587701</v>
      </c>
      <c r="F629" s="180">
        <f>(F624/F612)*BF64</f>
        <v>25284.706710533705</v>
      </c>
      <c r="G629" s="180">
        <f>(G625/G612)*BF77</f>
        <v>0</v>
      </c>
      <c r="H629" s="180">
        <f>(H628/H612)*BF60</f>
        <v>1058130.491226312</v>
      </c>
      <c r="I629" s="180">
        <f>SUM(C629:H629)</f>
        <v>14329339.664363919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3521252</v>
      </c>
      <c r="D630" s="180">
        <f>(D615/D612)*BA76</f>
        <v>0</v>
      </c>
      <c r="E630" s="180">
        <f>(E623/E612)*SUM(C630:D630)</f>
        <v>314601.96888099803</v>
      </c>
      <c r="F630" s="180">
        <f>(F624/F612)*BA64</f>
        <v>7500.6883795956101</v>
      </c>
      <c r="G630" s="180">
        <f>(G625/G612)*BA77</f>
        <v>0</v>
      </c>
      <c r="H630" s="180">
        <f>(H628/H612)*BA60</f>
        <v>27475.695448896797</v>
      </c>
      <c r="I630" s="180">
        <f>(I629/I612)*BA78</f>
        <v>0</v>
      </c>
      <c r="J630" s="180">
        <f>SUM(C630:I630)</f>
        <v>3870830.3527094903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92814569.969999999</v>
      </c>
      <c r="D631" s="180">
        <f>(D615/D612)*AW76</f>
        <v>456619.93592662876</v>
      </c>
      <c r="E631" s="180">
        <f>(E623/E612)*SUM(C631:D631)</f>
        <v>8333200.8002488846</v>
      </c>
      <c r="F631" s="180">
        <f>(F624/F612)*AW64</f>
        <v>417329.48732396757</v>
      </c>
      <c r="G631" s="180">
        <f>(G625/G612)*AW77</f>
        <v>0</v>
      </c>
      <c r="H631" s="180">
        <f>(H628/H612)*AW60</f>
        <v>5632587.8373446837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16646579.43</v>
      </c>
      <c r="D632" s="180">
        <f>(D615/D612)*BB76</f>
        <v>1088542.8911240769</v>
      </c>
      <c r="E632" s="180">
        <f>(E623/E612)*SUM(C632:D632)</f>
        <v>1584522.8914519523</v>
      </c>
      <c r="F632" s="180">
        <f>(F624/F612)*BB64</f>
        <v>5675.0715514105286</v>
      </c>
      <c r="G632" s="180">
        <f>(G625/G612)*BB77</f>
        <v>0</v>
      </c>
      <c r="H632" s="180">
        <f>(H628/H612)*BB60</f>
        <v>801222.19823100069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285377</v>
      </c>
      <c r="D633" s="180">
        <f>(D615/D612)*BC76</f>
        <v>0</v>
      </c>
      <c r="E633" s="180">
        <f>(E623/E612)*SUM(C633:D633)</f>
        <v>25496.660299618594</v>
      </c>
      <c r="F633" s="180">
        <f>(F624/F612)*BC64</f>
        <v>0</v>
      </c>
      <c r="G633" s="180">
        <f>(G625/G612)*BC77</f>
        <v>0</v>
      </c>
      <c r="H633" s="180">
        <f>(H628/H612)*BC60</f>
        <v>36751.377799931011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7086926.5299999993</v>
      </c>
      <c r="D634" s="180">
        <f>(D615/D612)*BI76</f>
        <v>95560.55292680698</v>
      </c>
      <c r="E634" s="180">
        <f>(E623/E612)*SUM(C634:D634)</f>
        <v>641710.55572026921</v>
      </c>
      <c r="F634" s="180">
        <f>(F624/F612)*BI64</f>
        <v>3217.820185897378</v>
      </c>
      <c r="G634" s="180">
        <f>(G625/G612)*BI77</f>
        <v>0</v>
      </c>
      <c r="H634" s="180">
        <f>(H628/H612)*BI60</f>
        <v>282556.96010233765</v>
      </c>
      <c r="I634" s="180">
        <f>(I629/I612)*BI78</f>
        <v>0</v>
      </c>
      <c r="J634" s="180">
        <f>(J630/J612)*BI79</f>
        <v>9209.4982204877851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11786428.050000001</v>
      </c>
      <c r="D635" s="180">
        <f>(D615/D612)*BK76</f>
        <v>31770.114176673796</v>
      </c>
      <c r="E635" s="180">
        <f>(E623/E612)*SUM(C635:D635)</f>
        <v>1055882.5131162945</v>
      </c>
      <c r="F635" s="180">
        <f>(F624/F612)*BK64</f>
        <v>5030.5860043329758</v>
      </c>
      <c r="G635" s="180">
        <f>(G625/G612)*BK77</f>
        <v>0</v>
      </c>
      <c r="H635" s="180">
        <f>(H628/H612)*BK60</f>
        <v>1280044.1644427213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84753659.980000004</v>
      </c>
      <c r="D636" s="180">
        <f>(D615/D612)*BH76</f>
        <v>4065854.5371687119</v>
      </c>
      <c r="E636" s="180">
        <f>(E623/E612)*SUM(C636:D636)</f>
        <v>7935471.2875294536</v>
      </c>
      <c r="F636" s="180">
        <f>(F624/F612)*BH64</f>
        <v>42843.621003178712</v>
      </c>
      <c r="G636" s="180">
        <f>(G625/G612)*BH77</f>
        <v>0</v>
      </c>
      <c r="H636" s="180">
        <f>(H628/H612)*BH60</f>
        <v>1788871.5576536208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7167072.8599999994</v>
      </c>
      <c r="D637" s="180">
        <f>(D615/D612)*BL76</f>
        <v>93568.779075167215</v>
      </c>
      <c r="E637" s="180">
        <f>(E623/E612)*SUM(C637:D637)</f>
        <v>648693.17929884139</v>
      </c>
      <c r="F637" s="180">
        <f>(F624/F612)*BL64</f>
        <v>1517.7690514987926</v>
      </c>
      <c r="G637" s="180">
        <f>(G625/G612)*BL77</f>
        <v>0</v>
      </c>
      <c r="H637" s="180">
        <f>(H628/H612)*BL60</f>
        <v>716405.92097571061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633906.83000000007</v>
      </c>
      <c r="D639" s="180">
        <f>(D615/D612)*BS76</f>
        <v>235605.70676067652</v>
      </c>
      <c r="E639" s="180">
        <f>(E623/E612)*SUM(C639:D639)</f>
        <v>77685.537993764738</v>
      </c>
      <c r="F639" s="180">
        <f>(F624/F612)*BS64</f>
        <v>58.560085672739675</v>
      </c>
      <c r="G639" s="180">
        <f>(G625/G612)*BS77</f>
        <v>0</v>
      </c>
      <c r="H639" s="180">
        <f>(H628/H612)*BS60</f>
        <v>37383.810687501522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941351</v>
      </c>
      <c r="D640" s="180">
        <f>(D615/D612)*BT76</f>
        <v>135084.71207317294</v>
      </c>
      <c r="E640" s="180">
        <f>(E623/E612)*SUM(C640:D640)</f>
        <v>96172.836931875165</v>
      </c>
      <c r="F640" s="180">
        <f>(F624/F612)*BT64</f>
        <v>493.26375701525546</v>
      </c>
      <c r="G640" s="180">
        <f>(G625/G612)*BT77</f>
        <v>0</v>
      </c>
      <c r="H640" s="180">
        <f>(H628/H612)*BT60</f>
        <v>48064.899455359104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1416188</v>
      </c>
      <c r="D641" s="180">
        <f>(D615/D612)*BU76</f>
        <v>339285.29804126557</v>
      </c>
      <c r="E641" s="180">
        <f>(E623/E612)*SUM(C641:D641)</f>
        <v>156840.6225631682</v>
      </c>
      <c r="F641" s="180">
        <f>(F624/F612)*BU64</f>
        <v>184.92556864581141</v>
      </c>
      <c r="G641" s="180">
        <f>(G625/G612)*BU77</f>
        <v>0</v>
      </c>
      <c r="H641" s="180">
        <f>(H628/H612)*BU60</f>
        <v>19605.419514685949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7071473.7299999995</v>
      </c>
      <c r="D642" s="180">
        <f>(D615/D612)*BV76</f>
        <v>1174996.2810740205</v>
      </c>
      <c r="E642" s="180">
        <f>(E623/E612)*SUM(C642:D642)</f>
        <v>736770.8138474588</v>
      </c>
      <c r="F642" s="180">
        <f>(F624/F612)*BV64</f>
        <v>907.3696542628868</v>
      </c>
      <c r="G642" s="180">
        <f>(G625/G612)*BV77</f>
        <v>0</v>
      </c>
      <c r="H642" s="180">
        <f>(H628/H612)*BV60</f>
        <v>424784.08948486223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32488690.890000001</v>
      </c>
      <c r="D643" s="180">
        <f>(D615/D612)*BW76</f>
        <v>3593546.1616305597</v>
      </c>
      <c r="E643" s="180">
        <f>(E623/E612)*SUM(C643:D643)</f>
        <v>3223723.4989355691</v>
      </c>
      <c r="F643" s="180">
        <f>(F624/F612)*BW64</f>
        <v>15861.301197994078</v>
      </c>
      <c r="G643" s="180">
        <f>(G625/G612)*BW77</f>
        <v>0</v>
      </c>
      <c r="H643" s="180">
        <f>(H628/H612)*BW60</f>
        <v>171529.85317329178</v>
      </c>
      <c r="I643" s="180">
        <f>(I629/I612)*BW78</f>
        <v>0</v>
      </c>
      <c r="J643" s="180">
        <f>(J630/J612)*BW79</f>
        <v>24229.243149539998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14789712.49</v>
      </c>
      <c r="D644" s="180">
        <f>(D615/D612)*BX76</f>
        <v>304798.37790609471</v>
      </c>
      <c r="E644" s="180">
        <f>(E623/E612)*SUM(C644:D644)</f>
        <v>1348600.6790592892</v>
      </c>
      <c r="F644" s="180">
        <f>(F624/F612)*BX64</f>
        <v>7181.8306310063626</v>
      </c>
      <c r="G644" s="180">
        <f>(G625/G612)*BX77</f>
        <v>0</v>
      </c>
      <c r="H644" s="180">
        <f>(H628/H612)*BX60</f>
        <v>632643.69853303803</v>
      </c>
      <c r="I644" s="180">
        <f>(I629/I612)*BX78</f>
        <v>0</v>
      </c>
      <c r="J644" s="180">
        <f>(J630/J612)*BX79</f>
        <v>0</v>
      </c>
      <c r="K644" s="180">
        <f>SUM(C631:J644)</f>
        <v>327768134.11966407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8014840.7999999998</v>
      </c>
      <c r="D645" s="180">
        <f>(D615/D612)*BY76</f>
        <v>410993.28558473295</v>
      </c>
      <c r="E645" s="180">
        <f>(E623/E612)*SUM(C645:D645)</f>
        <v>752795.87850843417</v>
      </c>
      <c r="F645" s="180">
        <f>(F624/F612)*BY64</f>
        <v>1908.5459513791598</v>
      </c>
      <c r="G645" s="180">
        <f>(G625/G612)*BY77</f>
        <v>0</v>
      </c>
      <c r="H645" s="180">
        <f>(H628/H612)*BY60</f>
        <v>339124.56837947806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7313644</v>
      </c>
      <c r="D646" s="180">
        <f>(D615/D612)*BZ76</f>
        <v>197604.28019408821</v>
      </c>
      <c r="E646" s="180">
        <f>(E623/E612)*SUM(C646:D646)</f>
        <v>671083.32425599487</v>
      </c>
      <c r="F646" s="180">
        <f>(F624/F612)*BZ64</f>
        <v>259.70791205061346</v>
      </c>
      <c r="G646" s="180">
        <f>(G625/G612)*BZ77</f>
        <v>0</v>
      </c>
      <c r="H646" s="180">
        <f>(H628/H612)*BZ60</f>
        <v>594978.80656217178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18297233.19734833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532257479.72000003</v>
      </c>
      <c r="L648" s="259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65782806.509999998</v>
      </c>
      <c r="D668" s="180">
        <f>(D615/D612)*C76</f>
        <v>6134495.6651870627</v>
      </c>
      <c r="E668" s="180">
        <f>(E623/E612)*SUM(C668:D668)</f>
        <v>6425363.723165378</v>
      </c>
      <c r="F668" s="180">
        <f>(F624/F612)*C64</f>
        <v>99348.374392731042</v>
      </c>
      <c r="G668" s="180">
        <f>(G625/G612)*C77</f>
        <v>0</v>
      </c>
      <c r="H668" s="180">
        <f>(H628/H612)*C60</f>
        <v>2811234.4555717781</v>
      </c>
      <c r="I668" s="180">
        <f>(I629/I612)*C78</f>
        <v>15671.118805817046</v>
      </c>
      <c r="J668" s="180">
        <f>(J630/J612)*C79</f>
        <v>1192185.1400491125</v>
      </c>
      <c r="K668" s="180">
        <f>(K644/K612)*C75</f>
        <v>47570394.458202533</v>
      </c>
      <c r="L668" s="180">
        <f>(L647/L612)*C80</f>
        <v>4050678.6066368441</v>
      </c>
      <c r="M668" s="180">
        <f t="shared" ref="M668:M713" si="20">ROUND(SUM(D668:L668),0)</f>
        <v>68299372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79637942.729999989</v>
      </c>
      <c r="D670" s="180">
        <f>(D615/D612)*E76</f>
        <v>18279575.870547108</v>
      </c>
      <c r="E670" s="180">
        <f>(E623/E612)*SUM(C670:D670)</f>
        <v>8748321.3753726985</v>
      </c>
      <c r="F670" s="180">
        <f>(F624/F612)*E64</f>
        <v>94188.568656254763</v>
      </c>
      <c r="G670" s="180">
        <f>(G625/G612)*E77</f>
        <v>0</v>
      </c>
      <c r="H670" s="180">
        <f>(H628/H612)*E60</f>
        <v>3786024.3462804644</v>
      </c>
      <c r="I670" s="180">
        <f>(I629/I612)*E78</f>
        <v>1540740.2180979068</v>
      </c>
      <c r="J670" s="180">
        <f>(J630/J612)*E79</f>
        <v>1739966.9697353453</v>
      </c>
      <c r="K670" s="180">
        <f>(K644/K612)*E75</f>
        <v>47129307.201061904</v>
      </c>
      <c r="L670" s="180">
        <f>(L647/L612)*E80</f>
        <v>5705767.2590381093</v>
      </c>
      <c r="M670" s="180">
        <f t="shared" si="20"/>
        <v>87023892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4845693.3</v>
      </c>
      <c r="D672" s="180">
        <f>(D615/D612)*G76</f>
        <v>987826.51762508985</v>
      </c>
      <c r="E672" s="180">
        <f>(E623/E612)*SUM(C672:D672)</f>
        <v>521188.71927688608</v>
      </c>
      <c r="F672" s="180">
        <f>(F624/F612)*G64</f>
        <v>3614.3638341012584</v>
      </c>
      <c r="G672" s="180">
        <f>(G625/G612)*G77</f>
        <v>0</v>
      </c>
      <c r="H672" s="180">
        <f>(H628/H612)*G60</f>
        <v>219173.13070360388</v>
      </c>
      <c r="I672" s="180">
        <f>(I629/I612)*G78</f>
        <v>14428.475023857985</v>
      </c>
      <c r="J672" s="180">
        <f>(J630/J612)*G79</f>
        <v>41666.54976237801</v>
      </c>
      <c r="K672" s="180">
        <f>(K644/K612)*G75</f>
        <v>2549712.890234184</v>
      </c>
      <c r="L672" s="180">
        <f>(L647/L612)*G80</f>
        <v>303881.18114667916</v>
      </c>
      <c r="M672" s="180">
        <f t="shared" si="20"/>
        <v>4641492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15541781.479999999</v>
      </c>
      <c r="D673" s="180">
        <f>(D615/D612)*H76</f>
        <v>5083192.8343396848</v>
      </c>
      <c r="E673" s="180">
        <f>(E623/E612)*SUM(C673:D673)</f>
        <v>1842713.1961618415</v>
      </c>
      <c r="F673" s="180">
        <f>(F624/F612)*H64</f>
        <v>8420.4686640679556</v>
      </c>
      <c r="G673" s="180">
        <f>(G625/G612)*H77</f>
        <v>0</v>
      </c>
      <c r="H673" s="180">
        <f>(H628/H612)*H60</f>
        <v>886460.09741133789</v>
      </c>
      <c r="I673" s="180">
        <f>(I629/I612)*H78</f>
        <v>149669.53996040244</v>
      </c>
      <c r="J673" s="180">
        <f>(J630/J612)*H79</f>
        <v>252536.15144118317</v>
      </c>
      <c r="K673" s="180">
        <f>(K644/K612)*H75</f>
        <v>9384416.2008986473</v>
      </c>
      <c r="L673" s="180">
        <f>(L647/L612)*H80</f>
        <v>518243.86375213048</v>
      </c>
      <c r="M673" s="180">
        <f t="shared" si="20"/>
        <v>18125652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55536479.859999999</v>
      </c>
      <c r="D681" s="180">
        <f>(D615/D612)*P76</f>
        <v>8234834.7918321304</v>
      </c>
      <c r="E681" s="180">
        <f>(E623/E612)*SUM(C681:D681)</f>
        <v>5697570.3947334718</v>
      </c>
      <c r="F681" s="180">
        <f>(F624/F612)*P64</f>
        <v>561721.93069635436</v>
      </c>
      <c r="G681" s="180">
        <f>(G625/G612)*P77</f>
        <v>0</v>
      </c>
      <c r="H681" s="180">
        <f>(H628/H612)*P60</f>
        <v>1368725.3093442756</v>
      </c>
      <c r="I681" s="180">
        <f>(I629/I612)*P78</f>
        <v>340346.32472545392</v>
      </c>
      <c r="J681" s="180">
        <f>(J630/J612)*P79</f>
        <v>0</v>
      </c>
      <c r="K681" s="180">
        <f>(K644/K612)*P75</f>
        <v>38735301.088451833</v>
      </c>
      <c r="L681" s="180">
        <f>(L647/L612)*P80</f>
        <v>923151.15311798302</v>
      </c>
      <c r="M681" s="180">
        <f t="shared" si="20"/>
        <v>55861651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10438281.83</v>
      </c>
      <c r="D682" s="180">
        <f>(D615/D612)*Q76</f>
        <v>809574.31877974898</v>
      </c>
      <c r="E682" s="180">
        <f>(E623/E612)*SUM(C682:D682)</f>
        <v>1004926.0007793674</v>
      </c>
      <c r="F682" s="180">
        <f>(F624/F612)*Q64</f>
        <v>7992.799947111801</v>
      </c>
      <c r="G682" s="180">
        <f>(G625/G612)*Q77</f>
        <v>0</v>
      </c>
      <c r="H682" s="180">
        <f>(H628/H612)*Q60</f>
        <v>465821.95685610455</v>
      </c>
      <c r="I682" s="180">
        <f>(I629/I612)*Q78</f>
        <v>79667.273576708685</v>
      </c>
      <c r="J682" s="180">
        <f>(J630/J612)*Q79</f>
        <v>0</v>
      </c>
      <c r="K682" s="180">
        <f>(K644/K612)*Q75</f>
        <v>4205136.9935481399</v>
      </c>
      <c r="L682" s="180">
        <f>(L647/L612)*Q80</f>
        <v>659948.03408869298</v>
      </c>
      <c r="M682" s="180">
        <f t="shared" si="20"/>
        <v>7233067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6002749.1499999994</v>
      </c>
      <c r="D683" s="180">
        <f>(D615/D612)*R76</f>
        <v>627522.22501081519</v>
      </c>
      <c r="E683" s="180">
        <f>(E623/E612)*SUM(C683:D683)</f>
        <v>592373.5162361922</v>
      </c>
      <c r="F683" s="180">
        <f>(F624/F612)*R64</f>
        <v>44319.445474547822</v>
      </c>
      <c r="G683" s="180">
        <f>(G625/G612)*R77</f>
        <v>0</v>
      </c>
      <c r="H683" s="180">
        <f>(H628/H612)*R60</f>
        <v>151502.8117335588</v>
      </c>
      <c r="I683" s="180">
        <f>(I629/I612)*R78</f>
        <v>643758.5148204579</v>
      </c>
      <c r="J683" s="180">
        <f>(J630/J612)*R79</f>
        <v>0</v>
      </c>
      <c r="K683" s="180">
        <f>(K644/K612)*R75</f>
        <v>10973706.920173528</v>
      </c>
      <c r="L683" s="180">
        <f>(L647/L612)*R80</f>
        <v>3211.4259566359751</v>
      </c>
      <c r="M683" s="180">
        <f t="shared" si="20"/>
        <v>13036395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13874850.32</v>
      </c>
      <c r="D684" s="180">
        <f>(D615/D612)*S76</f>
        <v>2780713.4034799472</v>
      </c>
      <c r="E684" s="180">
        <f>(E623/E612)*SUM(C684:D684)</f>
        <v>1488071.0441143429</v>
      </c>
      <c r="F684" s="180">
        <f>(F624/F612)*S64</f>
        <v>39200.709359949375</v>
      </c>
      <c r="G684" s="180">
        <f>(G625/G612)*S77</f>
        <v>0</v>
      </c>
      <c r="H684" s="180">
        <f>(H628/H612)*S60</f>
        <v>559492.29453738185</v>
      </c>
      <c r="I684" s="180">
        <f>(I629/I612)*S78</f>
        <v>300650.75946842832</v>
      </c>
      <c r="J684" s="180">
        <f>(J630/J612)*S79</f>
        <v>31862.784455291905</v>
      </c>
      <c r="K684" s="180">
        <f>(K644/K612)*S75</f>
        <v>2452968.6204835391</v>
      </c>
      <c r="L684" s="180">
        <f>(L647/L612)*S80</f>
        <v>0</v>
      </c>
      <c r="M684" s="180">
        <f t="shared" si="20"/>
        <v>7652960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620921.94999999995</v>
      </c>
      <c r="D685" s="180">
        <f>(D615/D612)*T76</f>
        <v>39444.884565206179</v>
      </c>
      <c r="E685" s="180">
        <f>(E623/E612)*SUM(C685:D685)</f>
        <v>58999.670099704919</v>
      </c>
      <c r="F685" s="180">
        <f>(F624/F612)*T64</f>
        <v>3341.880081366447</v>
      </c>
      <c r="G685" s="180">
        <f>(G625/G612)*T77</f>
        <v>0</v>
      </c>
      <c r="H685" s="180">
        <f>(H628/H612)*T60</f>
        <v>78491.948379584966</v>
      </c>
      <c r="I685" s="180">
        <f>(I629/I612)*T78</f>
        <v>6282.254675459697</v>
      </c>
      <c r="J685" s="180">
        <f>(J630/J612)*T79</f>
        <v>0</v>
      </c>
      <c r="K685" s="180">
        <f>(K644/K612)*T75</f>
        <v>0</v>
      </c>
      <c r="L685" s="180">
        <f>(L647/L612)*T80</f>
        <v>134344.65251927162</v>
      </c>
      <c r="M685" s="180">
        <f t="shared" si="20"/>
        <v>320905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46251131.060000002</v>
      </c>
      <c r="D686" s="180">
        <f>(D615/D612)*U76</f>
        <v>3650212.9534865981</v>
      </c>
      <c r="E686" s="180">
        <f>(E623/E612)*SUM(C686:D686)</f>
        <v>4458374.7702382244</v>
      </c>
      <c r="F686" s="180">
        <f>(F624/F612)*U64</f>
        <v>292905.6159897577</v>
      </c>
      <c r="G686" s="180">
        <f>(G625/G612)*U77</f>
        <v>0</v>
      </c>
      <c r="H686" s="180">
        <f>(H628/H612)*U60</f>
        <v>1381022.6154914801</v>
      </c>
      <c r="I686" s="180">
        <f>(I629/I612)*U78</f>
        <v>8323297.0873274542</v>
      </c>
      <c r="J686" s="180">
        <f>(J630/J612)*U79</f>
        <v>0</v>
      </c>
      <c r="K686" s="180">
        <f>(K644/K612)*U75</f>
        <v>22304849.708334882</v>
      </c>
      <c r="L686" s="180">
        <f>(L647/L612)*U80</f>
        <v>0</v>
      </c>
      <c r="M686" s="180">
        <f t="shared" si="20"/>
        <v>40410663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8597659.1999999993</v>
      </c>
      <c r="D687" s="180">
        <f>(D615/D612)*V76</f>
        <v>451924.07308055303</v>
      </c>
      <c r="E687" s="180">
        <f>(E623/E612)*SUM(C687:D687)</f>
        <v>808523.98955362698</v>
      </c>
      <c r="F687" s="180">
        <f>(F624/F612)*V64</f>
        <v>4953.3180060491341</v>
      </c>
      <c r="G687" s="180">
        <f>(G625/G612)*V77</f>
        <v>0</v>
      </c>
      <c r="H687" s="180">
        <f>(H628/H612)*V60</f>
        <v>421340.84376364498</v>
      </c>
      <c r="I687" s="180">
        <f>(I629/I612)*V78</f>
        <v>522393.63878245634</v>
      </c>
      <c r="J687" s="180">
        <f>(J630/J612)*V79</f>
        <v>54126.459119508545</v>
      </c>
      <c r="K687" s="180">
        <f>(K644/K612)*V75</f>
        <v>7758051.2540116468</v>
      </c>
      <c r="L687" s="180">
        <f>(L647/L612)*V80</f>
        <v>14183.797975142224</v>
      </c>
      <c r="M687" s="180">
        <f t="shared" si="20"/>
        <v>10035497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1965808.73</v>
      </c>
      <c r="D688" s="180">
        <f>(D615/D612)*W76</f>
        <v>0</v>
      </c>
      <c r="E688" s="180">
        <f>(E623/E612)*SUM(C688:D688)</f>
        <v>175632.78541310143</v>
      </c>
      <c r="F688" s="180">
        <f>(F624/F612)*W64</f>
        <v>1746.971616608671</v>
      </c>
      <c r="G688" s="180">
        <f>(G625/G612)*W77</f>
        <v>0</v>
      </c>
      <c r="H688" s="180">
        <f>(H628/H612)*W60</f>
        <v>63805.451323780799</v>
      </c>
      <c r="I688" s="180">
        <f>(I629/I612)*W78</f>
        <v>0</v>
      </c>
      <c r="J688" s="180">
        <f>(J630/J612)*W79</f>
        <v>0</v>
      </c>
      <c r="K688" s="180">
        <f>(K644/K612)*W75</f>
        <v>4599363.1047153035</v>
      </c>
      <c r="L688" s="180">
        <f>(L647/L612)*W80</f>
        <v>0</v>
      </c>
      <c r="M688" s="180">
        <f t="shared" si="20"/>
        <v>4840548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2147815.1900000004</v>
      </c>
      <c r="D689" s="180">
        <f>(D615/D612)*X76</f>
        <v>343686.61719933606</v>
      </c>
      <c r="E689" s="180">
        <f>(E623/E612)*SUM(C689:D689)</f>
        <v>222600.19277673852</v>
      </c>
      <c r="F689" s="180">
        <f>(F624/F612)*X64</f>
        <v>1786.0293179095727</v>
      </c>
      <c r="G689" s="180">
        <f>(G625/G612)*X77</f>
        <v>0</v>
      </c>
      <c r="H689" s="180">
        <f>(H628/H612)*X60</f>
        <v>68864.914424344912</v>
      </c>
      <c r="I689" s="180">
        <f>(I629/I612)*X78</f>
        <v>0</v>
      </c>
      <c r="J689" s="180">
        <f>(J630/J612)*X79</f>
        <v>0</v>
      </c>
      <c r="K689" s="180">
        <f>(K644/K612)*X75</f>
        <v>2802702.5191101925</v>
      </c>
      <c r="L689" s="180">
        <f>(L647/L612)*X80</f>
        <v>0</v>
      </c>
      <c r="M689" s="180">
        <f t="shared" si="20"/>
        <v>3439640</v>
      </c>
      <c r="N689" s="198" t="s">
        <v>699</v>
      </c>
    </row>
    <row r="690" spans="1:14" ht="12.6" customHeight="1" x14ac:dyDescent="0.25">
      <c r="A690" s="196">
        <v>7140</v>
      </c>
      <c r="B690" s="198" t="s">
        <v>987</v>
      </c>
      <c r="C690" s="180">
        <f>Y71</f>
        <v>22289402.43</v>
      </c>
      <c r="D690" s="180">
        <f>(D615/D612)*Y76</f>
        <v>4310024.6156078642</v>
      </c>
      <c r="E690" s="180">
        <f>(E623/E612)*SUM(C690:D690)</f>
        <v>2376493.394864867</v>
      </c>
      <c r="F690" s="180">
        <f>(F624/F612)*Y64</f>
        <v>124462.12489570305</v>
      </c>
      <c r="G690" s="180">
        <f>(G625/G612)*Y77</f>
        <v>0</v>
      </c>
      <c r="H690" s="180">
        <f>(H628/H612)*Y60</f>
        <v>660400.47526529955</v>
      </c>
      <c r="I690" s="180">
        <f>(I629/I612)*Y78</f>
        <v>285186.74795960449</v>
      </c>
      <c r="J690" s="180">
        <f>(J630/J612)*Y79</f>
        <v>304456.27088006149</v>
      </c>
      <c r="K690" s="180">
        <f>(K644/K612)*Y75</f>
        <v>14812672.948195685</v>
      </c>
      <c r="L690" s="180">
        <f>(L647/L612)*Y80</f>
        <v>260928.35897667299</v>
      </c>
      <c r="M690" s="180">
        <f t="shared" si="20"/>
        <v>23134625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1073724</v>
      </c>
      <c r="D691" s="180">
        <f>(D615/D612)*Z76</f>
        <v>32080.529430962288</v>
      </c>
      <c r="E691" s="180">
        <f>(E623/E612)*SUM(C691:D691)</f>
        <v>98796.758129354639</v>
      </c>
      <c r="F691" s="180">
        <f>(F624/F612)*Z64</f>
        <v>19.698645725570032</v>
      </c>
      <c r="G691" s="180">
        <f>(G625/G612)*Z77</f>
        <v>0</v>
      </c>
      <c r="H691" s="180">
        <f>(H628/H612)*Z60</f>
        <v>0</v>
      </c>
      <c r="I691" s="180">
        <f>(I629/I612)*Z78</f>
        <v>14359.439258193594</v>
      </c>
      <c r="J691" s="180">
        <f>(J630/J612)*Z79</f>
        <v>0</v>
      </c>
      <c r="K691" s="180">
        <f>(K644/K612)*Z75</f>
        <v>294019.028706396</v>
      </c>
      <c r="L691" s="180">
        <f>(L647/L612)*Z80</f>
        <v>0</v>
      </c>
      <c r="M691" s="180">
        <f t="shared" si="20"/>
        <v>439275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1446741.8299999998</v>
      </c>
      <c r="D692" s="180">
        <f>(D615/D612)*AA76</f>
        <v>183326.92436798353</v>
      </c>
      <c r="E692" s="180">
        <f>(E623/E612)*SUM(C692:D692)</f>
        <v>145636.50642883938</v>
      </c>
      <c r="F692" s="180">
        <f>(F624/F612)*AA64</f>
        <v>11653.167249166914</v>
      </c>
      <c r="G692" s="180">
        <f>(G625/G612)*AA77</f>
        <v>0</v>
      </c>
      <c r="H692" s="180">
        <f>(H628/H612)*AA60</f>
        <v>27054.073523849787</v>
      </c>
      <c r="I692" s="180">
        <f>(I629/I612)*AA78</f>
        <v>463851.30949905165</v>
      </c>
      <c r="J692" s="180">
        <f>(J630/J612)*AA79</f>
        <v>0</v>
      </c>
      <c r="K692" s="180">
        <f>(K644/K612)*AA75</f>
        <v>479532.15898338729</v>
      </c>
      <c r="L692" s="180">
        <f>(L647/L612)*AA80</f>
        <v>0</v>
      </c>
      <c r="M692" s="180">
        <f t="shared" si="20"/>
        <v>1311054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101539739</v>
      </c>
      <c r="D693" s="180">
        <f>(D615/D612)*AB76</f>
        <v>1382020.1982190437</v>
      </c>
      <c r="E693" s="180">
        <f>(E623/E612)*SUM(C693:D693)</f>
        <v>9195419.1533169672</v>
      </c>
      <c r="F693" s="180">
        <f>(F624/F612)*AB64</f>
        <v>1799822.4546673214</v>
      </c>
      <c r="G693" s="180">
        <f>(G625/G612)*AB77</f>
        <v>0</v>
      </c>
      <c r="H693" s="180">
        <f>(H628/H612)*AB60</f>
        <v>1322487.4382307869</v>
      </c>
      <c r="I693" s="180">
        <f>(I629/I612)*AB78</f>
        <v>505410.84042901581</v>
      </c>
      <c r="J693" s="180">
        <f>(J630/J612)*AB79</f>
        <v>15581.179579926868</v>
      </c>
      <c r="K693" s="180">
        <f>(K644/K612)*AB75</f>
        <v>49794787.603478871</v>
      </c>
      <c r="L693" s="180">
        <f>(L647/L612)*AB80</f>
        <v>0</v>
      </c>
      <c r="M693" s="180">
        <f t="shared" si="20"/>
        <v>64015529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16431917.619999999</v>
      </c>
      <c r="D694" s="180">
        <f>(D615/D612)*AC76</f>
        <v>419592.1003099092</v>
      </c>
      <c r="E694" s="180">
        <f>(E623/E612)*SUM(C694:D694)</f>
        <v>1505577.600417912</v>
      </c>
      <c r="F694" s="180">
        <f>(F624/F612)*AC64</f>
        <v>84299.14297629011</v>
      </c>
      <c r="G694" s="180">
        <f>(G625/G612)*AC77</f>
        <v>0</v>
      </c>
      <c r="H694" s="180">
        <f>(H628/H612)*AC60</f>
        <v>767351.90358555759</v>
      </c>
      <c r="I694" s="180">
        <f>(I629/I612)*AC78</f>
        <v>2347.2160325893374</v>
      </c>
      <c r="J694" s="180">
        <f>(J630/J612)*AC79</f>
        <v>0</v>
      </c>
      <c r="K694" s="180">
        <f>(K644/K612)*AC75</f>
        <v>14537858.935923336</v>
      </c>
      <c r="L694" s="180">
        <f>(L647/L612)*AC80</f>
        <v>0</v>
      </c>
      <c r="M694" s="180">
        <f t="shared" si="20"/>
        <v>17317027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6580869.5199999996</v>
      </c>
      <c r="D695" s="180">
        <f>(D615/D612)*AD76</f>
        <v>399420.02251229039</v>
      </c>
      <c r="E695" s="180">
        <f>(E623/E612)*SUM(C695:D695)</f>
        <v>623645.46287337784</v>
      </c>
      <c r="F695" s="180">
        <f>(F624/F612)*AD64</f>
        <v>29155.58920968743</v>
      </c>
      <c r="G695" s="180">
        <f>(G625/G612)*AD77</f>
        <v>0</v>
      </c>
      <c r="H695" s="180">
        <f>(H628/H612)*AD60</f>
        <v>252410.99246147648</v>
      </c>
      <c r="I695" s="180">
        <f>(I629/I612)*AD78</f>
        <v>39557.493725696775</v>
      </c>
      <c r="J695" s="180">
        <f>(J630/J612)*AD79</f>
        <v>0</v>
      </c>
      <c r="K695" s="180">
        <f>(K644/K612)*AD75</f>
        <v>4817455.8397885151</v>
      </c>
      <c r="L695" s="180">
        <f>(L647/L612)*AD80</f>
        <v>343087.33970061003</v>
      </c>
      <c r="M695" s="180">
        <f t="shared" si="20"/>
        <v>6504733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6863290.4500000002</v>
      </c>
      <c r="D696" s="180">
        <f>(D615/D612)*AE76</f>
        <v>932874.36889738659</v>
      </c>
      <c r="E696" s="180">
        <f>(E623/E612)*SUM(C696:D696)</f>
        <v>696538.84520218591</v>
      </c>
      <c r="F696" s="180">
        <f>(F624/F612)*AE64</f>
        <v>4178.3740083087323</v>
      </c>
      <c r="G696" s="180">
        <f>(G625/G612)*AE77</f>
        <v>0</v>
      </c>
      <c r="H696" s="180">
        <f>(H628/H612)*AE60</f>
        <v>398502.98949026532</v>
      </c>
      <c r="I696" s="180">
        <f>(I629/I612)*AE78</f>
        <v>155054.32968222504</v>
      </c>
      <c r="J696" s="180">
        <f>(J630/J612)*AE79</f>
        <v>0</v>
      </c>
      <c r="K696" s="180">
        <f>(K644/K612)*AE75</f>
        <v>2324983.5468090284</v>
      </c>
      <c r="L696" s="180">
        <f>(L647/L612)*AE80</f>
        <v>0</v>
      </c>
      <c r="M696" s="180">
        <f t="shared" si="20"/>
        <v>4512132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13877055.49</v>
      </c>
      <c r="D697" s="180">
        <f>(D615/D612)*AF76</f>
        <v>888898.94201889832</v>
      </c>
      <c r="E697" s="180">
        <f>(E623/E612)*SUM(C697:D697)</f>
        <v>1319246.2046795413</v>
      </c>
      <c r="F697" s="180">
        <f>(F624/F612)*AF64</f>
        <v>6105.0267614778968</v>
      </c>
      <c r="G697" s="180">
        <f>(G625/G612)*AF77</f>
        <v>0</v>
      </c>
      <c r="H697" s="180">
        <f>(H628/H612)*AF60</f>
        <v>762081.62952246994</v>
      </c>
      <c r="I697" s="180">
        <f>(I629/I612)*AF78</f>
        <v>0</v>
      </c>
      <c r="J697" s="180">
        <f>(J630/J612)*AF79</f>
        <v>0</v>
      </c>
      <c r="K697" s="180">
        <f>(K644/K612)*AF75</f>
        <v>1507108.6200439222</v>
      </c>
      <c r="L697" s="180">
        <f>(L647/L612)*AF80</f>
        <v>95941.350454499756</v>
      </c>
      <c r="M697" s="180">
        <f t="shared" si="20"/>
        <v>4579382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17875645.880000003</v>
      </c>
      <c r="D698" s="180">
        <f>(D615/D612)*AG76</f>
        <v>2750079.3169189608</v>
      </c>
      <c r="E698" s="180">
        <f>(E623/E612)*SUM(C698:D698)</f>
        <v>1842780.2828508487</v>
      </c>
      <c r="F698" s="180">
        <f>(F624/F612)*AG64</f>
        <v>36533.609892579363</v>
      </c>
      <c r="G698" s="180">
        <f>(G625/G612)*AG77</f>
        <v>0</v>
      </c>
      <c r="H698" s="180">
        <f>(H628/H612)*AG60</f>
        <v>803330.30785623565</v>
      </c>
      <c r="I698" s="180">
        <f>(I629/I612)*AG78</f>
        <v>0</v>
      </c>
      <c r="J698" s="180">
        <f>(J630/J612)*AG79</f>
        <v>93152.186635179838</v>
      </c>
      <c r="K698" s="180">
        <f>(K644/K612)*AG75</f>
        <v>12298678.229950918</v>
      </c>
      <c r="L698" s="180">
        <f>(L647/L612)*AG80</f>
        <v>902009.2655701295</v>
      </c>
      <c r="M698" s="180">
        <f t="shared" si="20"/>
        <v>18726563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1951498.2599999998</v>
      </c>
      <c r="D699" s="180">
        <f>(D615/D612)*AH76</f>
        <v>17559.319726893966</v>
      </c>
      <c r="E699" s="180">
        <f>(E623/E612)*SUM(C699:D699)</f>
        <v>175923.0499328459</v>
      </c>
      <c r="F699" s="180">
        <f>(F624/F612)*AH64</f>
        <v>720.9452966337102</v>
      </c>
      <c r="G699" s="180">
        <f>(G625/G612)*AH77</f>
        <v>0</v>
      </c>
      <c r="H699" s="180">
        <f>(H628/H612)*AH60</f>
        <v>113908.19008353379</v>
      </c>
      <c r="I699" s="180">
        <f>(I629/I612)*AH78</f>
        <v>0</v>
      </c>
      <c r="J699" s="180">
        <f>(J630/J612)*AH79</f>
        <v>0</v>
      </c>
      <c r="K699" s="180">
        <f>(K644/K612)*AH75</f>
        <v>70210.298107008333</v>
      </c>
      <c r="L699" s="180">
        <f>(L647/L612)*AH80</f>
        <v>147859.40342011472</v>
      </c>
      <c r="M699" s="180">
        <f t="shared" si="20"/>
        <v>526181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115222617.31</v>
      </c>
      <c r="D701" s="180">
        <f>(D615/D612)*AJ76</f>
        <v>15650084.339982059</v>
      </c>
      <c r="E701" s="180">
        <f>(E623/E612)*SUM(C701:D701)</f>
        <v>11692662.045164559</v>
      </c>
      <c r="F701" s="180">
        <f>(F624/F612)*AJ64</f>
        <v>92935.59266781788</v>
      </c>
      <c r="G701" s="180">
        <f>(G625/G612)*AJ77</f>
        <v>0</v>
      </c>
      <c r="H701" s="180">
        <f>(H628/H612)*AJ60</f>
        <v>5656128.3948264755</v>
      </c>
      <c r="I701" s="180">
        <f>(I629/I612)*AJ78</f>
        <v>858528.78180238232</v>
      </c>
      <c r="J701" s="180">
        <f>(J630/J612)*AJ79</f>
        <v>111857.91968147541</v>
      </c>
      <c r="K701" s="180">
        <f>(K644/K612)*AJ75</f>
        <v>14305442.361569595</v>
      </c>
      <c r="L701" s="180">
        <f>(L647/L612)*AJ80</f>
        <v>4017493.8717516051</v>
      </c>
      <c r="M701" s="180">
        <f t="shared" si="20"/>
        <v>52385133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2725534.66</v>
      </c>
      <c r="D702" s="180">
        <f>(D615/D612)*AK76</f>
        <v>309269.95974963921</v>
      </c>
      <c r="E702" s="180">
        <f>(E623/E612)*SUM(C702:D702)</f>
        <v>271140.92048577749</v>
      </c>
      <c r="F702" s="180">
        <f>(F624/F612)*AK64</f>
        <v>3244.2016273979939</v>
      </c>
      <c r="G702" s="180">
        <f>(G625/G612)*AK77</f>
        <v>0</v>
      </c>
      <c r="H702" s="180">
        <f>(H628/H612)*AK60</f>
        <v>148762.26922075325</v>
      </c>
      <c r="I702" s="180">
        <f>(I629/I612)*AK78</f>
        <v>0</v>
      </c>
      <c r="J702" s="180">
        <f>(J630/J612)*AK79</f>
        <v>0</v>
      </c>
      <c r="K702" s="180">
        <f>(K644/K612)*AK75</f>
        <v>956525.83264673105</v>
      </c>
      <c r="L702" s="180">
        <f>(L647/L612)*AK80</f>
        <v>0</v>
      </c>
      <c r="M702" s="180">
        <f t="shared" si="20"/>
        <v>1688943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2433979.35</v>
      </c>
      <c r="D703" s="180">
        <f>(D615/D612)*AL76</f>
        <v>231348.001130886</v>
      </c>
      <c r="E703" s="180">
        <f>(E623/E612)*SUM(C703:D703)</f>
        <v>238130.42417246816</v>
      </c>
      <c r="F703" s="180">
        <f>(F624/F612)*AL64</f>
        <v>806.68612959129291</v>
      </c>
      <c r="G703" s="180">
        <f>(G625/G612)*AL77</f>
        <v>0</v>
      </c>
      <c r="H703" s="180">
        <f>(H628/H612)*AL60</f>
        <v>133162.25799401387</v>
      </c>
      <c r="I703" s="180">
        <f>(I629/I612)*AL78</f>
        <v>0</v>
      </c>
      <c r="J703" s="180">
        <f>(J630/J612)*AL79</f>
        <v>0</v>
      </c>
      <c r="K703" s="180">
        <f>(K644/K612)*AL75</f>
        <v>835086.66006019141</v>
      </c>
      <c r="L703" s="180">
        <f>(L647/L612)*AL80</f>
        <v>0</v>
      </c>
      <c r="M703" s="180">
        <f t="shared" si="20"/>
        <v>1438534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2804808.54</v>
      </c>
      <c r="D704" s="180">
        <f>(D615/D612)*AM76</f>
        <v>553111.13940517628</v>
      </c>
      <c r="E704" s="180">
        <f>(E623/E612)*SUM(C704:D704)</f>
        <v>300009.24173706345</v>
      </c>
      <c r="F704" s="180">
        <f>(F624/F612)*AM64</f>
        <v>170.82327191569965</v>
      </c>
      <c r="G704" s="180">
        <f>(G625/G612)*AM77</f>
        <v>0</v>
      </c>
      <c r="H704" s="180">
        <f>(H628/H612)*AM60</f>
        <v>190994.73204629536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1044286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14545626.630000001</v>
      </c>
      <c r="D709" s="180">
        <f>(D615/D612)*AR76</f>
        <v>0</v>
      </c>
      <c r="E709" s="180">
        <f>(E623/E612)*SUM(C709:D709)</f>
        <v>1299561.2857034591</v>
      </c>
      <c r="F709" s="180">
        <f>(F624/F612)*AR64</f>
        <v>163806.16401896343</v>
      </c>
      <c r="G709" s="180">
        <f>(G625/G612)*AR77</f>
        <v>0</v>
      </c>
      <c r="H709" s="180">
        <f>(H628/H612)*AR60</f>
        <v>456194.92290086445</v>
      </c>
      <c r="I709" s="180">
        <f>(I629/I612)*AR78</f>
        <v>0</v>
      </c>
      <c r="J709" s="180">
        <f>(J630/J612)*AR79</f>
        <v>0</v>
      </c>
      <c r="K709" s="180">
        <f>(K644/K612)*AR75</f>
        <v>7727352.4170031724</v>
      </c>
      <c r="L709" s="180">
        <f>(L647/L612)*AR80</f>
        <v>70785.18046085129</v>
      </c>
      <c r="M709" s="180">
        <f t="shared" si="20"/>
        <v>9717700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4037220</v>
      </c>
      <c r="D711" s="180">
        <f>(D615/D612)*AT76</f>
        <v>8179.3200665389741</v>
      </c>
      <c r="E711" s="180">
        <f>(E623/E612)*SUM(C711:D711)</f>
        <v>361431.27245729184</v>
      </c>
      <c r="F711" s="180">
        <f>(F624/F612)*AT64</f>
        <v>252.16683540475108</v>
      </c>
      <c r="G711" s="180">
        <f>(G625/G612)*AT77</f>
        <v>0</v>
      </c>
      <c r="H711" s="180">
        <f>(H628/H612)*AT60</f>
        <v>23821.638765156047</v>
      </c>
      <c r="I711" s="180">
        <f>(I629/I612)*AT78</f>
        <v>68138.300710755168</v>
      </c>
      <c r="J711" s="180">
        <f>(J630/J612)*AT79</f>
        <v>0</v>
      </c>
      <c r="K711" s="180">
        <f>(K644/K612)*AT75</f>
        <v>887085.28812461579</v>
      </c>
      <c r="L711" s="180">
        <f>(L647/L612)*AT80</f>
        <v>32114.259566359753</v>
      </c>
      <c r="M711" s="180">
        <f t="shared" si="20"/>
        <v>1381022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4757874.2200000007</v>
      </c>
      <c r="D713" s="180">
        <f>(D615/D612)*AV76</f>
        <v>55445.137529290892</v>
      </c>
      <c r="E713" s="180">
        <f>(E623/E612)*SUM(C713:D713)</f>
        <v>430040.15240367223</v>
      </c>
      <c r="F713" s="180">
        <f>(F624/F612)*AV64</f>
        <v>11868.627168894405</v>
      </c>
      <c r="G713" s="180">
        <f>(G625/G612)*AV77</f>
        <v>0</v>
      </c>
      <c r="H713" s="180">
        <f>(H628/H612)*AV60</f>
        <v>349243.49458060635</v>
      </c>
      <c r="I713" s="180">
        <f>(I629/I612)*AV78</f>
        <v>0</v>
      </c>
      <c r="J713" s="180">
        <f>(J630/J612)*AV79</f>
        <v>0</v>
      </c>
      <c r="K713" s="180">
        <f>(K644/K612)*AV75</f>
        <v>1653423.3910463715</v>
      </c>
      <c r="L713" s="180">
        <f>(L647/L612)*AV80</f>
        <v>113604.19321599763</v>
      </c>
      <c r="M713" s="180">
        <f t="shared" si="20"/>
        <v>2613625</v>
      </c>
      <c r="N713" s="199" t="s">
        <v>741</v>
      </c>
    </row>
    <row r="715" spans="1:15" ht="12.6" customHeight="1" x14ac:dyDescent="0.25">
      <c r="C715" s="180">
        <f>SUM(C614:C647)+SUM(C668:C713)</f>
        <v>1179958946.2199998</v>
      </c>
      <c r="D715" s="180">
        <f>SUM(D616:D647)+SUM(D668:D713)</f>
        <v>102026974.53999999</v>
      </c>
      <c r="E715" s="180">
        <f>SUM(E624:E647)+SUM(E668:E713)</f>
        <v>96775688.201668397</v>
      </c>
      <c r="F715" s="180">
        <f>SUM(F625:F648)+SUM(F668:F713)</f>
        <v>4171382.6879937113</v>
      </c>
      <c r="G715" s="180">
        <f>SUM(G626:G647)+SUM(G668:G713)</f>
        <v>19556211.569588821</v>
      </c>
      <c r="H715" s="180">
        <f>SUM(H629:H647)+SUM(H668:H713)</f>
        <v>38219957.235190585</v>
      </c>
      <c r="I715" s="180">
        <f>SUM(I630:I647)+SUM(I668:I713)</f>
        <v>14329339.664363917</v>
      </c>
      <c r="J715" s="180">
        <f>SUM(J631:J647)+SUM(J668:J713)</f>
        <v>3870830.3527094913</v>
      </c>
      <c r="K715" s="180">
        <f>SUM(K668:K713)</f>
        <v>327768134.11966407</v>
      </c>
      <c r="L715" s="180">
        <f>SUM(L668:L713)</f>
        <v>18297233.19734833</v>
      </c>
      <c r="M715" s="180">
        <f>SUM(M668:M713)</f>
        <v>532257478</v>
      </c>
      <c r="N715" s="198" t="s">
        <v>742</v>
      </c>
    </row>
    <row r="716" spans="1:15" ht="12.6" customHeight="1" x14ac:dyDescent="0.25">
      <c r="C716" s="180">
        <f>CE71</f>
        <v>1179958946.22</v>
      </c>
      <c r="D716" s="180">
        <f>D615</f>
        <v>102026974.53999999</v>
      </c>
      <c r="E716" s="180">
        <f>E623</f>
        <v>96775688.201668397</v>
      </c>
      <c r="F716" s="180">
        <f>F624</f>
        <v>4171382.6879937113</v>
      </c>
      <c r="G716" s="180">
        <f>G625</f>
        <v>19556211.569588821</v>
      </c>
      <c r="H716" s="180">
        <f>H628</f>
        <v>38219957.23519057</v>
      </c>
      <c r="I716" s="180">
        <f>I629</f>
        <v>14329339.664363919</v>
      </c>
      <c r="J716" s="180">
        <f>J630</f>
        <v>3870830.3527094903</v>
      </c>
      <c r="K716" s="180">
        <f>K644</f>
        <v>327768134.11966407</v>
      </c>
      <c r="L716" s="180">
        <f>L647</f>
        <v>18297233.19734833</v>
      </c>
      <c r="M716" s="180">
        <f>C648</f>
        <v>532257479.72000003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1"/>
  </sheetPr>
  <dimension ref="A1:E10"/>
  <sheetViews>
    <sheetView workbookViewId="0">
      <selection activeCell="B7" sqref="B7"/>
    </sheetView>
  </sheetViews>
  <sheetFormatPr defaultRowHeight="15" x14ac:dyDescent="0.25"/>
  <cols>
    <col min="2" max="5" width="12.4140625" customWidth="1"/>
  </cols>
  <sheetData>
    <row r="1" spans="1:5" ht="15.6" x14ac:dyDescent="0.3">
      <c r="A1" s="271" t="s">
        <v>1014</v>
      </c>
      <c r="B1" s="271"/>
      <c r="C1" s="271"/>
      <c r="D1" s="271"/>
      <c r="E1" s="271"/>
    </row>
    <row r="2" spans="1:5" ht="15.6" x14ac:dyDescent="0.3">
      <c r="A2" s="271" t="s">
        <v>302</v>
      </c>
      <c r="B2" s="271"/>
      <c r="C2" s="271"/>
      <c r="D2" s="271"/>
      <c r="E2" s="271"/>
    </row>
    <row r="3" spans="1:5" ht="15.6" x14ac:dyDescent="0.3">
      <c r="A3" s="271" t="s">
        <v>1017</v>
      </c>
      <c r="B3" s="271"/>
      <c r="C3" s="271"/>
      <c r="D3" s="271"/>
      <c r="E3" s="271"/>
    </row>
    <row r="4" spans="1:5" ht="15.6" x14ac:dyDescent="0.3">
      <c r="A4" s="271"/>
      <c r="B4" s="271"/>
      <c r="C4" s="271"/>
      <c r="D4" s="271"/>
      <c r="E4" s="271"/>
    </row>
    <row r="5" spans="1:5" ht="15.6" x14ac:dyDescent="0.3">
      <c r="A5" s="271"/>
      <c r="B5" s="922" t="s">
        <v>1017</v>
      </c>
      <c r="C5" s="922"/>
      <c r="D5" s="922"/>
      <c r="E5" s="922"/>
    </row>
    <row r="6" spans="1:5" ht="15.6" x14ac:dyDescent="0.3">
      <c r="A6" s="271"/>
      <c r="B6" s="272" t="s">
        <v>344</v>
      </c>
      <c r="C6" s="272" t="s">
        <v>345</v>
      </c>
      <c r="D6" s="272" t="s">
        <v>349</v>
      </c>
      <c r="E6" s="272" t="s">
        <v>203</v>
      </c>
    </row>
    <row r="7" spans="1:5" ht="15.6" x14ac:dyDescent="0.3">
      <c r="A7" s="273" t="s">
        <v>1015</v>
      </c>
      <c r="B7" s="274">
        <f>'NACHRI 19'!I9</f>
        <v>19023178.949999999</v>
      </c>
      <c r="C7" s="274">
        <f>'NACHRI 19'!I18</f>
        <v>906401645.53999996</v>
      </c>
      <c r="D7" s="274">
        <f>1754258239.02-B7-C7</f>
        <v>828833414.52999997</v>
      </c>
      <c r="E7" s="274">
        <f>SUM(B7:D7)</f>
        <v>1754258239.02</v>
      </c>
    </row>
    <row r="8" spans="1:5" ht="15.6" x14ac:dyDescent="0.3">
      <c r="A8" s="273" t="s">
        <v>1016</v>
      </c>
      <c r="B8" s="274">
        <f>'NACHRI 19'!K9</f>
        <v>22314693.120000001</v>
      </c>
      <c r="C8" s="274">
        <f>'NACHRI 19'!K18</f>
        <v>419132792.91999996</v>
      </c>
      <c r="D8" s="274">
        <f>1020402294.62-B8-C8</f>
        <v>578954808.58000004</v>
      </c>
      <c r="E8" s="274">
        <f>SUM(B8:D8)</f>
        <v>1020402294.62</v>
      </c>
    </row>
    <row r="9" spans="1:5" ht="16.2" thickBot="1" x14ac:dyDescent="0.35">
      <c r="A9" s="271"/>
      <c r="B9" s="275">
        <f>SUM(B7:B8)</f>
        <v>41337872.07</v>
      </c>
      <c r="C9" s="275">
        <f t="shared" ref="C9:D9" si="0">SUM(C7:C8)</f>
        <v>1325534438.46</v>
      </c>
      <c r="D9" s="275">
        <f t="shared" si="0"/>
        <v>1407788223.1100001</v>
      </c>
      <c r="E9" s="275">
        <f>SUM(E7:E8)</f>
        <v>2774660533.6399999</v>
      </c>
    </row>
    <row r="10" spans="1:5" ht="15.6" thickTop="1" x14ac:dyDescent="0.25"/>
  </sheetData>
  <mergeCells count="1">
    <mergeCell ref="B5:E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1"/>
  </sheetPr>
  <dimension ref="A1:H2039"/>
  <sheetViews>
    <sheetView topLeftCell="A1482" workbookViewId="0">
      <selection activeCell="E796" sqref="E796"/>
    </sheetView>
  </sheetViews>
  <sheetFormatPr defaultRowHeight="15" x14ac:dyDescent="0.25"/>
  <cols>
    <col min="1" max="1" width="36.25" customWidth="1"/>
    <col min="2" max="2" width="9" bestFit="1" customWidth="1"/>
    <col min="3" max="3" width="25.58203125" customWidth="1"/>
    <col min="4" max="4" width="14" bestFit="1" customWidth="1"/>
    <col min="5" max="5" width="15.4140625" bestFit="1" customWidth="1"/>
    <col min="6" max="6" width="14" bestFit="1" customWidth="1"/>
    <col min="7" max="7" width="15.4140625" bestFit="1" customWidth="1"/>
  </cols>
  <sheetData>
    <row r="1" spans="2:7" x14ac:dyDescent="0.25">
      <c r="B1" s="501" t="s">
        <v>1191</v>
      </c>
      <c r="C1" s="501" t="s">
        <v>1192</v>
      </c>
      <c r="D1" s="501" t="s">
        <v>1193</v>
      </c>
      <c r="E1" s="501"/>
      <c r="F1" s="501"/>
      <c r="G1" s="501"/>
    </row>
    <row r="2" spans="2:7" x14ac:dyDescent="0.25">
      <c r="B2" s="501" t="s">
        <v>1194</v>
      </c>
      <c r="C2" s="502">
        <v>0.61249999999999993</v>
      </c>
      <c r="D2" s="501"/>
      <c r="E2" s="501"/>
      <c r="F2" s="501"/>
      <c r="G2" s="501"/>
    </row>
    <row r="3" spans="2:7" x14ac:dyDescent="0.25">
      <c r="B3" s="501"/>
      <c r="C3" s="501"/>
      <c r="D3" s="501"/>
      <c r="E3" s="501"/>
      <c r="F3" s="501"/>
      <c r="G3" s="501"/>
    </row>
    <row r="4" spans="2:7" x14ac:dyDescent="0.25">
      <c r="B4" s="501"/>
      <c r="C4" s="501"/>
      <c r="D4" s="501"/>
      <c r="E4" s="501"/>
      <c r="F4" s="501"/>
      <c r="G4" s="501"/>
    </row>
    <row r="5" spans="2:7" x14ac:dyDescent="0.25">
      <c r="B5" s="501" t="s">
        <v>1195</v>
      </c>
      <c r="C5" s="501" t="s">
        <v>1196</v>
      </c>
      <c r="D5" s="501"/>
      <c r="E5" s="501"/>
      <c r="F5" s="501"/>
      <c r="G5" s="501"/>
    </row>
    <row r="6" spans="2:7" x14ac:dyDescent="0.25">
      <c r="B6" s="501" t="s">
        <v>1197</v>
      </c>
      <c r="C6" s="501" t="s">
        <v>1198</v>
      </c>
      <c r="D6" s="501"/>
      <c r="E6" s="501"/>
      <c r="F6" s="501"/>
      <c r="G6" s="501"/>
    </row>
    <row r="7" spans="2:7" x14ac:dyDescent="0.25">
      <c r="B7" s="501" t="s">
        <v>1199</v>
      </c>
      <c r="C7" s="501"/>
      <c r="D7" s="501"/>
      <c r="E7" s="501"/>
      <c r="F7" s="501"/>
      <c r="G7" s="501"/>
    </row>
    <row r="8" spans="2:7" x14ac:dyDescent="0.25">
      <c r="B8" s="501"/>
      <c r="C8" s="501"/>
      <c r="D8" s="501"/>
      <c r="E8" s="501"/>
      <c r="F8" s="501"/>
      <c r="G8" s="501"/>
    </row>
    <row r="9" spans="2:7" x14ac:dyDescent="0.25">
      <c r="B9" s="501"/>
      <c r="C9" s="501"/>
      <c r="D9" s="501"/>
      <c r="E9" s="501"/>
      <c r="F9" s="501"/>
      <c r="G9" s="501"/>
    </row>
    <row r="10" spans="2:7" x14ac:dyDescent="0.25">
      <c r="B10" s="501"/>
      <c r="C10" s="501"/>
      <c r="D10" s="501"/>
      <c r="E10" s="501"/>
      <c r="F10" s="501"/>
      <c r="G10" s="501"/>
    </row>
    <row r="11" spans="2:7" x14ac:dyDescent="0.25">
      <c r="B11" s="501" t="s">
        <v>1200</v>
      </c>
      <c r="C11" s="501" t="s">
        <v>1201</v>
      </c>
      <c r="D11" s="501" t="s">
        <v>1202</v>
      </c>
      <c r="E11" s="501" t="s">
        <v>1203</v>
      </c>
      <c r="F11" s="501"/>
      <c r="G11" s="501"/>
    </row>
    <row r="12" spans="2:7" x14ac:dyDescent="0.25">
      <c r="B12" s="501"/>
      <c r="C12" s="501"/>
      <c r="D12" s="501"/>
      <c r="E12" s="501"/>
      <c r="F12" s="501"/>
      <c r="G12" s="501"/>
    </row>
    <row r="13" spans="2:7" x14ac:dyDescent="0.25">
      <c r="B13" s="501"/>
      <c r="C13" s="501"/>
      <c r="D13" s="501"/>
      <c r="E13" s="501"/>
      <c r="F13" s="501"/>
      <c r="G13" s="501"/>
    </row>
    <row r="14" spans="2:7" x14ac:dyDescent="0.25">
      <c r="B14" s="501"/>
      <c r="C14" s="501"/>
      <c r="D14" s="501"/>
      <c r="E14" s="501"/>
      <c r="F14" s="501"/>
      <c r="G14" s="501"/>
    </row>
    <row r="15" spans="2:7" x14ac:dyDescent="0.25">
      <c r="B15" s="501" t="s">
        <v>1200</v>
      </c>
      <c r="C15" s="501" t="s">
        <v>1201</v>
      </c>
      <c r="D15" s="501" t="s">
        <v>1202</v>
      </c>
      <c r="E15" s="501" t="s">
        <v>1203</v>
      </c>
      <c r="F15" s="501"/>
      <c r="G15" s="501"/>
    </row>
    <row r="16" spans="2:7" x14ac:dyDescent="0.25">
      <c r="B16" s="501"/>
      <c r="C16" s="501"/>
      <c r="D16" s="501"/>
      <c r="E16" s="501"/>
      <c r="F16" s="501"/>
      <c r="G16" s="501"/>
    </row>
    <row r="17" spans="2:7" x14ac:dyDescent="0.25">
      <c r="B17" s="501" t="s">
        <v>1204</v>
      </c>
      <c r="C17" s="501"/>
      <c r="D17" s="501"/>
      <c r="E17" s="501"/>
      <c r="F17" s="501"/>
      <c r="G17" s="501"/>
    </row>
    <row r="18" spans="2:7" x14ac:dyDescent="0.25">
      <c r="B18" s="501"/>
      <c r="C18" s="501"/>
      <c r="D18" s="501"/>
      <c r="E18" s="501"/>
      <c r="F18" s="501"/>
      <c r="G18" s="501"/>
    </row>
    <row r="19" spans="2:7" x14ac:dyDescent="0.25">
      <c r="B19" s="501"/>
      <c r="C19" s="501"/>
      <c r="D19" s="501"/>
      <c r="E19" s="501"/>
      <c r="F19" s="501"/>
      <c r="G19" s="501"/>
    </row>
    <row r="20" spans="2:7" x14ac:dyDescent="0.25">
      <c r="B20" s="501"/>
      <c r="C20" s="501" t="s">
        <v>1205</v>
      </c>
      <c r="D20" s="501"/>
      <c r="E20" s="501"/>
      <c r="F20" s="501"/>
      <c r="G20" s="501"/>
    </row>
    <row r="21" spans="2:7" x14ac:dyDescent="0.25">
      <c r="B21" s="501" t="s">
        <v>1206</v>
      </c>
      <c r="C21" s="501" t="s">
        <v>1207</v>
      </c>
      <c r="D21" s="501"/>
      <c r="E21" s="501"/>
      <c r="F21" s="501"/>
      <c r="G21" s="501"/>
    </row>
    <row r="22" spans="2:7" x14ac:dyDescent="0.25">
      <c r="B22" s="501"/>
      <c r="C22" s="501"/>
      <c r="D22" s="501"/>
      <c r="E22" s="501"/>
      <c r="F22" s="501"/>
      <c r="G22" s="501"/>
    </row>
    <row r="23" spans="2:7" x14ac:dyDescent="0.25">
      <c r="B23" s="501"/>
      <c r="C23" s="501" t="s">
        <v>1208</v>
      </c>
      <c r="D23" s="501"/>
      <c r="E23" s="501"/>
      <c r="F23" s="501"/>
      <c r="G23" s="501"/>
    </row>
    <row r="24" spans="2:7" x14ac:dyDescent="0.25">
      <c r="B24" s="501"/>
      <c r="C24" s="501" t="s">
        <v>1209</v>
      </c>
      <c r="D24" s="501"/>
      <c r="E24" s="501"/>
      <c r="F24" s="501"/>
      <c r="G24" s="501"/>
    </row>
    <row r="25" spans="2:7" x14ac:dyDescent="0.25">
      <c r="B25" s="501"/>
      <c r="C25" s="501" t="s">
        <v>1210</v>
      </c>
      <c r="D25" s="501"/>
      <c r="E25" s="501"/>
      <c r="F25" s="501"/>
      <c r="G25" s="501"/>
    </row>
    <row r="26" spans="2:7" x14ac:dyDescent="0.25">
      <c r="B26" s="501"/>
      <c r="C26" s="501" t="s">
        <v>1211</v>
      </c>
      <c r="D26" s="501"/>
      <c r="E26" s="501"/>
      <c r="F26" s="501"/>
      <c r="G26" s="501"/>
    </row>
    <row r="27" spans="2:7" x14ac:dyDescent="0.25">
      <c r="B27" s="501"/>
      <c r="C27" s="501"/>
      <c r="D27" s="501"/>
      <c r="E27" s="501"/>
      <c r="F27" s="501"/>
      <c r="G27" s="501"/>
    </row>
    <row r="28" spans="2:7" x14ac:dyDescent="0.25">
      <c r="B28" s="501"/>
      <c r="C28" s="501"/>
      <c r="D28" s="501"/>
      <c r="E28" s="501"/>
      <c r="F28" s="501"/>
      <c r="G28" s="501"/>
    </row>
    <row r="29" spans="2:7" x14ac:dyDescent="0.25">
      <c r="B29" s="501" t="s">
        <v>1200</v>
      </c>
      <c r="C29" s="501" t="s">
        <v>1201</v>
      </c>
      <c r="D29" s="501" t="s">
        <v>1202</v>
      </c>
      <c r="E29" s="501" t="s">
        <v>1203</v>
      </c>
      <c r="F29" s="501"/>
      <c r="G29" s="501"/>
    </row>
    <row r="30" spans="2:7" x14ac:dyDescent="0.25">
      <c r="B30" s="501"/>
      <c r="C30" s="501"/>
      <c r="D30" s="501"/>
      <c r="E30" s="501"/>
      <c r="F30" s="501"/>
      <c r="G30" s="501"/>
    </row>
    <row r="31" spans="2:7" x14ac:dyDescent="0.25">
      <c r="B31" s="501" t="s">
        <v>1212</v>
      </c>
      <c r="C31" s="501" t="s">
        <v>958</v>
      </c>
      <c r="D31" s="501"/>
      <c r="E31" s="501"/>
      <c r="F31" s="501"/>
      <c r="G31" s="501"/>
    </row>
    <row r="32" spans="2:7" x14ac:dyDescent="0.25">
      <c r="B32" s="501"/>
      <c r="C32" s="501"/>
      <c r="D32" s="501"/>
      <c r="E32" s="501"/>
      <c r="F32" s="501"/>
      <c r="G32" s="501"/>
    </row>
    <row r="33" spans="2:7" x14ac:dyDescent="0.25">
      <c r="B33" s="501"/>
      <c r="C33" s="501"/>
      <c r="D33" s="501"/>
      <c r="E33" s="501"/>
      <c r="F33" s="501"/>
      <c r="G33" s="501"/>
    </row>
    <row r="34" spans="2:7" x14ac:dyDescent="0.25">
      <c r="B34" s="501" t="s">
        <v>1213</v>
      </c>
      <c r="C34" s="501" t="s">
        <v>1214</v>
      </c>
      <c r="D34" s="501"/>
      <c r="E34" s="501"/>
      <c r="F34" s="501"/>
      <c r="G34" s="501"/>
    </row>
    <row r="35" spans="2:7" x14ac:dyDescent="0.25">
      <c r="B35" s="501"/>
      <c r="C35" s="501"/>
      <c r="D35" s="501"/>
      <c r="E35" s="501"/>
      <c r="F35" s="501"/>
      <c r="G35" s="501"/>
    </row>
    <row r="36" spans="2:7" x14ac:dyDescent="0.25">
      <c r="B36" s="501"/>
      <c r="C36" s="501"/>
      <c r="D36" s="501"/>
      <c r="E36" s="501"/>
      <c r="F36" s="501"/>
      <c r="G36" s="501"/>
    </row>
    <row r="37" spans="2:7" x14ac:dyDescent="0.25">
      <c r="B37" s="501" t="s">
        <v>1215</v>
      </c>
      <c r="C37" s="501" t="s">
        <v>1216</v>
      </c>
      <c r="D37" s="501"/>
      <c r="E37" s="501"/>
      <c r="F37" s="501"/>
      <c r="G37" s="501"/>
    </row>
    <row r="38" spans="2:7" x14ac:dyDescent="0.25">
      <c r="B38" s="501"/>
      <c r="C38" s="501"/>
      <c r="D38" s="501"/>
      <c r="E38" s="501"/>
      <c r="F38" s="501"/>
      <c r="G38" s="501"/>
    </row>
    <row r="39" spans="2:7" x14ac:dyDescent="0.25">
      <c r="B39" s="501"/>
      <c r="C39" s="501" t="s">
        <v>1217</v>
      </c>
      <c r="D39" s="501"/>
      <c r="E39" s="501"/>
      <c r="F39" s="501"/>
      <c r="G39" s="501"/>
    </row>
    <row r="40" spans="2:7" x14ac:dyDescent="0.25">
      <c r="B40" s="501"/>
      <c r="C40" s="501"/>
      <c r="D40" s="501"/>
      <c r="E40" s="501"/>
      <c r="F40" s="501"/>
      <c r="G40" s="501"/>
    </row>
    <row r="41" spans="2:7" x14ac:dyDescent="0.25">
      <c r="B41" s="501"/>
      <c r="C41" s="501"/>
      <c r="D41" s="501"/>
      <c r="E41" s="501"/>
      <c r="F41" s="501"/>
      <c r="G41" s="501"/>
    </row>
    <row r="42" spans="2:7" x14ac:dyDescent="0.25">
      <c r="B42" s="501" t="s">
        <v>1200</v>
      </c>
      <c r="C42" s="501" t="s">
        <v>1201</v>
      </c>
      <c r="D42" s="501" t="s">
        <v>1202</v>
      </c>
      <c r="E42" s="501" t="s">
        <v>1203</v>
      </c>
      <c r="F42" s="501"/>
      <c r="G42" s="501"/>
    </row>
    <row r="43" spans="2:7" x14ac:dyDescent="0.25">
      <c r="B43" s="501"/>
      <c r="C43" s="501"/>
      <c r="D43" s="501"/>
      <c r="E43" s="501"/>
      <c r="F43" s="501"/>
      <c r="G43" s="501"/>
    </row>
    <row r="44" spans="2:7" x14ac:dyDescent="0.25">
      <c r="B44" s="501" t="s">
        <v>1218</v>
      </c>
      <c r="C44" s="501" t="s">
        <v>1219</v>
      </c>
      <c r="D44" s="501"/>
      <c r="E44" s="501"/>
      <c r="F44" s="501"/>
      <c r="G44" s="501"/>
    </row>
    <row r="45" spans="2:7" x14ac:dyDescent="0.25">
      <c r="B45" s="501"/>
      <c r="C45" s="501"/>
      <c r="D45" s="501"/>
      <c r="E45" s="501"/>
      <c r="F45" s="501"/>
      <c r="G45" s="501"/>
    </row>
    <row r="46" spans="2:7" x14ac:dyDescent="0.25">
      <c r="B46" s="501"/>
      <c r="C46" s="501"/>
      <c r="D46" s="501"/>
      <c r="E46" s="501"/>
      <c r="F46" s="501"/>
      <c r="G46" s="501"/>
    </row>
    <row r="47" spans="2:7" x14ac:dyDescent="0.25">
      <c r="B47" s="501"/>
      <c r="C47" s="501"/>
      <c r="D47" s="501"/>
      <c r="E47" s="501"/>
      <c r="F47" s="501"/>
      <c r="G47" s="501"/>
    </row>
    <row r="48" spans="2:7" x14ac:dyDescent="0.25">
      <c r="B48" s="501"/>
      <c r="C48" s="501" t="s">
        <v>1220</v>
      </c>
      <c r="D48" s="501" t="s">
        <v>1221</v>
      </c>
      <c r="E48" s="501" t="s">
        <v>1222</v>
      </c>
      <c r="F48" s="501"/>
      <c r="G48" s="501"/>
    </row>
    <row r="49" spans="2:7" x14ac:dyDescent="0.25">
      <c r="B49" s="501"/>
      <c r="C49" s="501" t="s">
        <v>1223</v>
      </c>
      <c r="D49" s="501" t="s">
        <v>1224</v>
      </c>
      <c r="E49" s="501"/>
      <c r="F49" s="501"/>
      <c r="G49" s="501"/>
    </row>
    <row r="50" spans="2:7" x14ac:dyDescent="0.25">
      <c r="B50" s="501"/>
      <c r="C50" s="501"/>
      <c r="D50" s="501"/>
      <c r="E50" s="501"/>
      <c r="F50" s="501"/>
      <c r="G50" s="501"/>
    </row>
    <row r="51" spans="2:7" x14ac:dyDescent="0.25">
      <c r="B51" s="501"/>
      <c r="C51" s="501"/>
      <c r="D51" s="501"/>
      <c r="E51" s="501"/>
      <c r="F51" s="501"/>
      <c r="G51" s="501"/>
    </row>
    <row r="52" spans="2:7" x14ac:dyDescent="0.25">
      <c r="B52" s="501" t="s">
        <v>1200</v>
      </c>
      <c r="C52" s="501" t="s">
        <v>1201</v>
      </c>
      <c r="D52" s="501" t="s">
        <v>1202</v>
      </c>
      <c r="E52" s="501" t="s">
        <v>1203</v>
      </c>
      <c r="F52" s="501"/>
      <c r="G52" s="501"/>
    </row>
    <row r="53" spans="2:7" x14ac:dyDescent="0.25">
      <c r="B53" s="501"/>
      <c r="C53" s="501"/>
      <c r="D53" s="501"/>
      <c r="E53" s="501"/>
      <c r="F53" s="501"/>
      <c r="G53" s="501"/>
    </row>
    <row r="54" spans="2:7" x14ac:dyDescent="0.25">
      <c r="B54" s="501" t="s">
        <v>1225</v>
      </c>
      <c r="C54" s="501" t="s">
        <v>1226</v>
      </c>
      <c r="D54" s="501"/>
      <c r="E54" s="501"/>
      <c r="F54" s="501"/>
      <c r="G54" s="501"/>
    </row>
    <row r="55" spans="2:7" x14ac:dyDescent="0.25">
      <c r="B55" s="501"/>
      <c r="C55" s="501"/>
      <c r="D55" s="501"/>
      <c r="E55" s="501"/>
      <c r="F55" s="501"/>
      <c r="G55" s="501"/>
    </row>
    <row r="56" spans="2:7" x14ac:dyDescent="0.25">
      <c r="B56" s="501"/>
      <c r="C56" s="501"/>
      <c r="D56" s="501"/>
      <c r="E56" s="501"/>
      <c r="F56" s="501"/>
      <c r="G56" s="501"/>
    </row>
    <row r="57" spans="2:7" x14ac:dyDescent="0.25">
      <c r="B57" s="501"/>
      <c r="C57" s="501" t="s">
        <v>1227</v>
      </c>
      <c r="D57" s="501" t="s">
        <v>1228</v>
      </c>
      <c r="E57" s="501"/>
      <c r="F57" s="501"/>
      <c r="G57" s="501"/>
    </row>
    <row r="58" spans="2:7" x14ac:dyDescent="0.25">
      <c r="B58" s="501"/>
      <c r="C58" s="501" t="s">
        <v>1229</v>
      </c>
      <c r="D58" s="501" t="s">
        <v>1230</v>
      </c>
      <c r="E58" s="501"/>
      <c r="F58" s="501"/>
      <c r="G58" s="501"/>
    </row>
    <row r="59" spans="2:7" x14ac:dyDescent="0.25">
      <c r="B59" s="501"/>
      <c r="C59" s="501" t="s">
        <v>1231</v>
      </c>
      <c r="D59" s="501" t="s">
        <v>1232</v>
      </c>
      <c r="E59" s="501"/>
      <c r="F59" s="501"/>
      <c r="G59" s="501"/>
    </row>
    <row r="60" spans="2:7" x14ac:dyDescent="0.25">
      <c r="B60" s="501"/>
      <c r="C60" s="501" t="s">
        <v>1233</v>
      </c>
      <c r="D60" s="501" t="s">
        <v>1234</v>
      </c>
      <c r="E60" s="501"/>
      <c r="F60" s="501"/>
      <c r="G60" s="501"/>
    </row>
    <row r="61" spans="2:7" x14ac:dyDescent="0.25">
      <c r="B61" s="501"/>
      <c r="C61" s="501" t="s">
        <v>1235</v>
      </c>
      <c r="D61" s="501"/>
      <c r="E61" s="501"/>
      <c r="F61" s="501"/>
      <c r="G61" s="501"/>
    </row>
    <row r="62" spans="2:7" x14ac:dyDescent="0.25">
      <c r="B62" s="501"/>
      <c r="C62" s="501" t="s">
        <v>1236</v>
      </c>
      <c r="D62" s="501" t="s">
        <v>1237</v>
      </c>
      <c r="E62" s="501"/>
      <c r="F62" s="501"/>
      <c r="G62" s="501"/>
    </row>
    <row r="63" spans="2:7" x14ac:dyDescent="0.25">
      <c r="B63" s="501"/>
      <c r="C63" s="501" t="s">
        <v>1238</v>
      </c>
      <c r="D63" s="501" t="s">
        <v>1239</v>
      </c>
      <c r="E63" s="501"/>
      <c r="F63" s="501"/>
      <c r="G63" s="501"/>
    </row>
    <row r="64" spans="2:7" x14ac:dyDescent="0.25">
      <c r="B64" s="501"/>
      <c r="C64" s="501"/>
      <c r="D64" s="501"/>
      <c r="E64" s="501"/>
      <c r="F64" s="501"/>
      <c r="G64" s="501"/>
    </row>
    <row r="65" spans="2:7" x14ac:dyDescent="0.25">
      <c r="B65" s="501"/>
      <c r="C65" s="501"/>
      <c r="D65" s="501"/>
      <c r="E65" s="501"/>
      <c r="F65" s="501"/>
      <c r="G65" s="501"/>
    </row>
    <row r="66" spans="2:7" x14ac:dyDescent="0.25">
      <c r="B66" s="501"/>
      <c r="C66" s="501"/>
      <c r="D66" s="501"/>
      <c r="E66" s="501"/>
      <c r="F66" s="501"/>
      <c r="G66" s="501"/>
    </row>
    <row r="67" spans="2:7" x14ac:dyDescent="0.25">
      <c r="B67" s="501" t="s">
        <v>1200</v>
      </c>
      <c r="C67" s="501" t="s">
        <v>1201</v>
      </c>
      <c r="D67" s="501" t="s">
        <v>1202</v>
      </c>
      <c r="E67" s="501" t="s">
        <v>1203</v>
      </c>
      <c r="F67" s="501"/>
      <c r="G67" s="501"/>
    </row>
    <row r="68" spans="2:7" x14ac:dyDescent="0.25">
      <c r="B68" s="501"/>
      <c r="C68" s="501"/>
      <c r="D68" s="501"/>
      <c r="E68" s="501"/>
      <c r="F68" s="501"/>
      <c r="G68" s="501"/>
    </row>
    <row r="69" spans="2:7" x14ac:dyDescent="0.25">
      <c r="B69" s="501"/>
      <c r="C69" s="501"/>
      <c r="D69" s="501"/>
      <c r="E69" s="501"/>
      <c r="F69" s="501"/>
      <c r="G69" s="501"/>
    </row>
    <row r="70" spans="2:7" x14ac:dyDescent="0.25">
      <c r="B70" s="501"/>
      <c r="C70" s="501"/>
      <c r="D70" s="501"/>
      <c r="E70" s="501"/>
      <c r="F70" s="501"/>
      <c r="G70" s="501"/>
    </row>
    <row r="71" spans="2:7" x14ac:dyDescent="0.25">
      <c r="B71" s="501" t="s">
        <v>1240</v>
      </c>
      <c r="C71" s="501" t="s">
        <v>1241</v>
      </c>
      <c r="D71" s="501" t="s">
        <v>1242</v>
      </c>
      <c r="E71" s="501" t="s">
        <v>1243</v>
      </c>
      <c r="F71" s="501"/>
      <c r="G71" s="501" t="s">
        <v>1244</v>
      </c>
    </row>
    <row r="72" spans="2:7" x14ac:dyDescent="0.25">
      <c r="B72" s="501" t="s">
        <v>1245</v>
      </c>
      <c r="C72" s="501" t="s">
        <v>1246</v>
      </c>
      <c r="D72" s="501" t="s">
        <v>1247</v>
      </c>
      <c r="E72" s="501"/>
      <c r="F72" s="501"/>
      <c r="G72" s="501"/>
    </row>
    <row r="73" spans="2:7" x14ac:dyDescent="0.25">
      <c r="B73" s="501"/>
      <c r="C73" s="501" t="s">
        <v>1248</v>
      </c>
      <c r="D73" s="501" t="s">
        <v>1249</v>
      </c>
      <c r="E73" s="501" t="s">
        <v>1250</v>
      </c>
      <c r="F73" s="501" t="s">
        <v>1251</v>
      </c>
      <c r="G73" s="501">
        <v>9</v>
      </c>
    </row>
    <row r="74" spans="2:7" x14ac:dyDescent="0.25">
      <c r="B74" s="501"/>
      <c r="C74" s="501"/>
      <c r="D74" s="501"/>
      <c r="E74" s="501"/>
      <c r="F74" s="501"/>
      <c r="G74" s="501"/>
    </row>
    <row r="75" spans="2:7" x14ac:dyDescent="0.25">
      <c r="B75" s="501">
        <v>1</v>
      </c>
      <c r="C75" s="501">
        <v>1</v>
      </c>
      <c r="D75" s="501" t="s">
        <v>1252</v>
      </c>
      <c r="E75" s="501" t="s">
        <v>1253</v>
      </c>
      <c r="F75" s="501"/>
      <c r="G75" s="501" t="s">
        <v>1254</v>
      </c>
    </row>
    <row r="76" spans="2:7" x14ac:dyDescent="0.25">
      <c r="B76" s="501"/>
      <c r="C76" s="501"/>
      <c r="D76" s="501"/>
      <c r="E76" s="501"/>
      <c r="F76" s="501"/>
      <c r="G76" s="501"/>
    </row>
    <row r="77" spans="2:7" x14ac:dyDescent="0.25">
      <c r="B77" s="501" t="s">
        <v>1255</v>
      </c>
      <c r="C77" s="501" t="s">
        <v>1256</v>
      </c>
      <c r="D77" s="501" t="s">
        <v>1257</v>
      </c>
      <c r="E77" s="501" t="s">
        <v>1258</v>
      </c>
      <c r="F77" s="501" t="s">
        <v>1259</v>
      </c>
      <c r="G77" s="501" t="s">
        <v>1260</v>
      </c>
    </row>
    <row r="78" spans="2:7" x14ac:dyDescent="0.25">
      <c r="B78" s="501"/>
      <c r="C78" s="501"/>
      <c r="D78" s="501"/>
      <c r="E78" s="501"/>
      <c r="F78" s="501"/>
      <c r="G78" s="501"/>
    </row>
    <row r="79" spans="2:7" x14ac:dyDescent="0.25">
      <c r="B79" s="501"/>
      <c r="C79" s="501"/>
      <c r="D79" s="501"/>
      <c r="E79" s="501"/>
      <c r="F79" s="501"/>
      <c r="G79" s="501"/>
    </row>
    <row r="80" spans="2:7" x14ac:dyDescent="0.25">
      <c r="B80" s="501" t="s">
        <v>598</v>
      </c>
      <c r="C80" s="501" t="s">
        <v>1261</v>
      </c>
      <c r="D80" s="501"/>
      <c r="E80" s="501"/>
      <c r="F80" s="501"/>
      <c r="G80" s="501"/>
    </row>
    <row r="81" spans="1:7" x14ac:dyDescent="0.25">
      <c r="B81" s="501" t="s">
        <v>1262</v>
      </c>
      <c r="C81" s="501" t="s">
        <v>428</v>
      </c>
      <c r="D81" s="503">
        <v>142366014.25</v>
      </c>
      <c r="E81" s="503">
        <v>1723003193.6099999</v>
      </c>
      <c r="F81" s="503">
        <v>147689725.05000001</v>
      </c>
      <c r="G81" s="503">
        <v>1745495832.04</v>
      </c>
    </row>
    <row r="82" spans="1:7" x14ac:dyDescent="0.25">
      <c r="B82" s="501" t="s">
        <v>1263</v>
      </c>
      <c r="C82" s="501" t="s">
        <v>1264</v>
      </c>
      <c r="D82" s="503">
        <v>2117785.6000000001</v>
      </c>
      <c r="E82" s="503">
        <v>21708229.609999999</v>
      </c>
      <c r="F82" s="503">
        <v>2502779.7999999998</v>
      </c>
      <c r="G82" s="503">
        <v>31000730</v>
      </c>
    </row>
    <row r="83" spans="1:7" x14ac:dyDescent="0.25">
      <c r="B83" s="501" t="s">
        <v>1265</v>
      </c>
      <c r="C83" s="501" t="s">
        <v>1266</v>
      </c>
      <c r="D83" s="503">
        <v>650007.30000000005</v>
      </c>
      <c r="E83" s="503">
        <v>9546815.8000000007</v>
      </c>
      <c r="F83" s="503">
        <v>860627.1</v>
      </c>
      <c r="G83" s="503">
        <v>10896960.449999999</v>
      </c>
    </row>
    <row r="84" spans="1:7" x14ac:dyDescent="0.25">
      <c r="B84" s="501"/>
      <c r="C84" s="501"/>
      <c r="D84" s="501"/>
      <c r="E84" s="501"/>
      <c r="F84" s="501"/>
      <c r="G84" s="501"/>
    </row>
    <row r="85" spans="1:7" x14ac:dyDescent="0.25">
      <c r="B85" s="501"/>
      <c r="C85" s="501" t="s">
        <v>1267</v>
      </c>
      <c r="D85" s="503">
        <v>145133807.15000001</v>
      </c>
      <c r="E85" s="506">
        <v>1754258239.02</v>
      </c>
      <c r="F85" s="503">
        <v>151053131.94999999</v>
      </c>
      <c r="G85" s="503">
        <v>1787393522.49</v>
      </c>
    </row>
    <row r="86" spans="1:7" x14ac:dyDescent="0.25">
      <c r="B86" s="501" t="s">
        <v>1268</v>
      </c>
      <c r="C86" s="501" t="s">
        <v>429</v>
      </c>
      <c r="D86" s="503">
        <v>86885886.650000006</v>
      </c>
      <c r="E86" s="503">
        <v>996861272.88</v>
      </c>
      <c r="F86" s="503">
        <v>78603983.069999993</v>
      </c>
      <c r="G86" s="503">
        <v>935880634.27999997</v>
      </c>
    </row>
    <row r="87" spans="1:7" x14ac:dyDescent="0.25">
      <c r="B87" s="501" t="s">
        <v>1269</v>
      </c>
      <c r="C87" s="501" t="s">
        <v>1270</v>
      </c>
      <c r="D87" s="503">
        <v>524767.69999999995</v>
      </c>
      <c r="E87" s="503">
        <v>3581798.6</v>
      </c>
      <c r="F87" s="503">
        <v>483092.9</v>
      </c>
      <c r="G87" s="503">
        <v>3895219.6</v>
      </c>
    </row>
    <row r="88" spans="1:7" x14ac:dyDescent="0.25">
      <c r="B88" s="501" t="s">
        <v>1271</v>
      </c>
      <c r="C88" s="501" t="s">
        <v>1272</v>
      </c>
      <c r="D88" s="503">
        <v>754790.6</v>
      </c>
      <c r="E88" s="503">
        <v>9541865.6600000001</v>
      </c>
      <c r="F88" s="503">
        <v>617146.25</v>
      </c>
      <c r="G88" s="503">
        <v>8674231.3499999996</v>
      </c>
    </row>
    <row r="89" spans="1:7" x14ac:dyDescent="0.25">
      <c r="B89" s="501" t="s">
        <v>1273</v>
      </c>
      <c r="C89" s="501" t="s">
        <v>1274</v>
      </c>
      <c r="D89" s="503">
        <v>757324.47</v>
      </c>
      <c r="E89" s="503">
        <v>10417357.48</v>
      </c>
      <c r="F89" s="503">
        <v>882259.58</v>
      </c>
      <c r="G89" s="503">
        <v>11276837.449999999</v>
      </c>
    </row>
    <row r="90" spans="1:7" x14ac:dyDescent="0.25">
      <c r="B90" s="501"/>
      <c r="C90" s="501"/>
      <c r="D90" s="501"/>
      <c r="E90" s="501"/>
      <c r="F90" s="501"/>
      <c r="G90" s="501"/>
    </row>
    <row r="91" spans="1:7" x14ac:dyDescent="0.25">
      <c r="B91" s="501"/>
      <c r="C91" s="501" t="s">
        <v>1275</v>
      </c>
      <c r="D91" s="503">
        <v>88922769.420000002</v>
      </c>
      <c r="E91" s="506">
        <v>1020402294.62</v>
      </c>
      <c r="F91" s="503">
        <v>80586481.799999997</v>
      </c>
      <c r="G91" s="503">
        <v>959726922.67999995</v>
      </c>
    </row>
    <row r="92" spans="1:7" x14ac:dyDescent="0.25">
      <c r="B92" s="501"/>
      <c r="C92" s="501" t="s">
        <v>1276</v>
      </c>
      <c r="D92" s="503">
        <v>234056576.56999999</v>
      </c>
      <c r="E92" s="506">
        <v>2774660533.6399999</v>
      </c>
      <c r="F92" s="503">
        <v>231639613.75</v>
      </c>
      <c r="G92" s="503">
        <v>2747120445.1700001</v>
      </c>
    </row>
    <row r="93" spans="1:7" x14ac:dyDescent="0.25">
      <c r="B93" s="501"/>
      <c r="C93" s="501"/>
      <c r="D93" s="501"/>
      <c r="E93" s="501"/>
      <c r="F93" s="501"/>
      <c r="G93" s="501"/>
    </row>
    <row r="94" spans="1:7" x14ac:dyDescent="0.25">
      <c r="B94" s="501" t="s">
        <v>1277</v>
      </c>
      <c r="C94" s="501" t="s">
        <v>431</v>
      </c>
      <c r="D94" s="501"/>
      <c r="E94" s="501"/>
      <c r="F94" s="501"/>
      <c r="G94" s="501"/>
    </row>
    <row r="95" spans="1:7" x14ac:dyDescent="0.25">
      <c r="A95" s="171" t="s">
        <v>353</v>
      </c>
      <c r="B95" s="501" t="s">
        <v>1278</v>
      </c>
      <c r="C95" s="501" t="s">
        <v>1279</v>
      </c>
      <c r="D95" s="501">
        <v>0</v>
      </c>
      <c r="E95" s="501">
        <v>417.9</v>
      </c>
      <c r="F95" s="501">
        <v>0</v>
      </c>
      <c r="G95" s="503">
        <v>6332.99</v>
      </c>
    </row>
    <row r="96" spans="1:7" x14ac:dyDescent="0.25">
      <c r="A96" s="171" t="s">
        <v>353</v>
      </c>
      <c r="B96" s="501" t="s">
        <v>1280</v>
      </c>
      <c r="C96" s="501" t="s">
        <v>1281</v>
      </c>
      <c r="D96" s="503">
        <v>-1085343.75</v>
      </c>
      <c r="E96" s="503">
        <v>-5288046.4400000004</v>
      </c>
      <c r="F96" s="503">
        <v>-468966.13</v>
      </c>
      <c r="G96" s="503">
        <v>-12801949.130000001</v>
      </c>
    </row>
    <row r="97" spans="1:7" x14ac:dyDescent="0.25">
      <c r="A97" s="171" t="s">
        <v>353</v>
      </c>
      <c r="B97" s="501" t="s">
        <v>1282</v>
      </c>
      <c r="C97" s="501" t="s">
        <v>1283</v>
      </c>
      <c r="D97" s="503">
        <v>-105400</v>
      </c>
      <c r="E97" s="503">
        <v>333600</v>
      </c>
      <c r="F97" s="503">
        <v>83600</v>
      </c>
      <c r="G97" s="503">
        <v>-361700</v>
      </c>
    </row>
    <row r="98" spans="1:7" x14ac:dyDescent="0.25">
      <c r="A98" s="171" t="s">
        <v>354</v>
      </c>
      <c r="B98" s="501" t="s">
        <v>1284</v>
      </c>
      <c r="C98" s="501" t="s">
        <v>1285</v>
      </c>
      <c r="D98" s="503">
        <v>-1957618.21</v>
      </c>
      <c r="E98" s="503">
        <v>-20578317.41</v>
      </c>
      <c r="F98" s="503">
        <v>-1572735.69</v>
      </c>
      <c r="G98" s="503">
        <v>-20004438.800000001</v>
      </c>
    </row>
    <row r="99" spans="1:7" x14ac:dyDescent="0.25">
      <c r="A99" s="171" t="s">
        <v>354</v>
      </c>
      <c r="B99" s="501" t="s">
        <v>1286</v>
      </c>
      <c r="C99" s="501" t="s">
        <v>1287</v>
      </c>
      <c r="D99" s="503">
        <v>-53100</v>
      </c>
      <c r="E99" s="503">
        <v>-396800</v>
      </c>
      <c r="F99" s="503">
        <v>99100</v>
      </c>
      <c r="G99" s="503">
        <v>-306900</v>
      </c>
    </row>
    <row r="100" spans="1:7" x14ac:dyDescent="0.25">
      <c r="B100" s="501"/>
      <c r="C100" s="501"/>
      <c r="D100" s="501"/>
      <c r="E100" s="501"/>
      <c r="F100" s="501"/>
      <c r="G100" s="501"/>
    </row>
    <row r="101" spans="1:7" x14ac:dyDescent="0.25">
      <c r="B101" s="501"/>
      <c r="C101" s="501" t="s">
        <v>1288</v>
      </c>
      <c r="D101" s="503">
        <v>-3201461.96</v>
      </c>
      <c r="E101" s="503">
        <v>-25929145.949999999</v>
      </c>
      <c r="F101" s="503">
        <v>-1859001.82</v>
      </c>
      <c r="G101" s="503">
        <v>-33468654.940000001</v>
      </c>
    </row>
    <row r="102" spans="1:7" x14ac:dyDescent="0.25">
      <c r="A102" s="263" t="s">
        <v>992</v>
      </c>
      <c r="B102" s="501" t="s">
        <v>1289</v>
      </c>
      <c r="C102" s="501" t="s">
        <v>1290</v>
      </c>
      <c r="D102" s="501">
        <v>0</v>
      </c>
      <c r="E102" s="501">
        <v>0.93</v>
      </c>
      <c r="F102" s="501">
        <v>0</v>
      </c>
      <c r="G102" s="501">
        <v>6.24</v>
      </c>
    </row>
    <row r="103" spans="1:7" x14ac:dyDescent="0.25">
      <c r="A103" s="263" t="s">
        <v>992</v>
      </c>
      <c r="B103" s="501" t="s">
        <v>1291</v>
      </c>
      <c r="C103" s="501" t="s">
        <v>1290</v>
      </c>
      <c r="D103" s="503">
        <v>-23728.31</v>
      </c>
      <c r="E103" s="503">
        <v>-453791.98</v>
      </c>
      <c r="F103" s="503">
        <v>-10838.21</v>
      </c>
      <c r="G103" s="503">
        <v>-236076.39</v>
      </c>
    </row>
    <row r="104" spans="1:7" x14ac:dyDescent="0.25">
      <c r="A104" s="263" t="s">
        <v>992</v>
      </c>
      <c r="B104" s="501" t="s">
        <v>1292</v>
      </c>
      <c r="C104" s="501" t="s">
        <v>1290</v>
      </c>
      <c r="D104" s="503">
        <v>-24800</v>
      </c>
      <c r="E104" s="503">
        <v>18400</v>
      </c>
      <c r="F104" s="503">
        <v>41900</v>
      </c>
      <c r="G104" s="503">
        <v>-82700</v>
      </c>
    </row>
    <row r="105" spans="1:7" x14ac:dyDescent="0.25">
      <c r="A105" s="263" t="s">
        <v>992</v>
      </c>
      <c r="B105" s="501" t="s">
        <v>1293</v>
      </c>
      <c r="C105" s="501" t="s">
        <v>1290</v>
      </c>
      <c r="D105" s="503">
        <v>-166240.56</v>
      </c>
      <c r="E105" s="503">
        <v>-1762885.72</v>
      </c>
      <c r="F105" s="503">
        <v>-99231.679999999993</v>
      </c>
      <c r="G105" s="503">
        <v>-1332309.8400000001</v>
      </c>
    </row>
    <row r="106" spans="1:7" x14ac:dyDescent="0.25">
      <c r="A106" s="263" t="s">
        <v>992</v>
      </c>
      <c r="B106" s="501" t="s">
        <v>1294</v>
      </c>
      <c r="C106" s="501" t="s">
        <v>1290</v>
      </c>
      <c r="D106" s="503">
        <v>33800</v>
      </c>
      <c r="E106" s="503">
        <v>-208500</v>
      </c>
      <c r="F106" s="503">
        <v>-9500</v>
      </c>
      <c r="G106" s="503">
        <v>-214700</v>
      </c>
    </row>
    <row r="107" spans="1:7" x14ac:dyDescent="0.25">
      <c r="B107" s="501"/>
      <c r="C107" s="501"/>
      <c r="D107" s="501"/>
      <c r="E107" s="501"/>
      <c r="F107" s="501"/>
      <c r="G107" s="501"/>
    </row>
    <row r="108" spans="1:7" x14ac:dyDescent="0.25">
      <c r="B108" s="501"/>
      <c r="C108" s="501" t="s">
        <v>1295</v>
      </c>
      <c r="D108" s="503">
        <v>-180968.87</v>
      </c>
      <c r="E108" s="503">
        <v>-2406776.77</v>
      </c>
      <c r="F108" s="503">
        <v>-77669.89</v>
      </c>
      <c r="G108" s="503">
        <v>-1865779.99</v>
      </c>
    </row>
    <row r="109" spans="1:7" x14ac:dyDescent="0.25">
      <c r="A109" s="173" t="s">
        <v>347</v>
      </c>
      <c r="B109" s="501" t="s">
        <v>1296</v>
      </c>
      <c r="C109" s="501" t="s">
        <v>1297</v>
      </c>
      <c r="D109" s="501">
        <v>0</v>
      </c>
      <c r="E109" s="501">
        <v>0</v>
      </c>
      <c r="F109" s="501">
        <v>0</v>
      </c>
      <c r="G109" s="503">
        <v>1346.28</v>
      </c>
    </row>
    <row r="110" spans="1:7" x14ac:dyDescent="0.25">
      <c r="A110" s="173" t="s">
        <v>347</v>
      </c>
      <c r="B110" s="501" t="s">
        <v>1298</v>
      </c>
      <c r="C110" s="501" t="s">
        <v>1299</v>
      </c>
      <c r="D110" s="501">
        <v>0</v>
      </c>
      <c r="E110" s="501">
        <v>0</v>
      </c>
      <c r="F110" s="501">
        <v>0</v>
      </c>
      <c r="G110" s="503">
        <v>-6877.48</v>
      </c>
    </row>
    <row r="111" spans="1:7" x14ac:dyDescent="0.25">
      <c r="A111" s="173" t="s">
        <v>344</v>
      </c>
      <c r="B111" s="501" t="s">
        <v>1300</v>
      </c>
      <c r="C111" s="501" t="s">
        <v>1301</v>
      </c>
      <c r="D111" s="503">
        <v>32690.68</v>
      </c>
      <c r="E111" s="503">
        <v>32690.68</v>
      </c>
      <c r="F111" s="501">
        <v>0</v>
      </c>
      <c r="G111" s="501">
        <v>0</v>
      </c>
    </row>
    <row r="112" spans="1:7" x14ac:dyDescent="0.25">
      <c r="A112" s="173" t="s">
        <v>344</v>
      </c>
      <c r="B112" s="501" t="s">
        <v>1302</v>
      </c>
      <c r="C112" s="501" t="s">
        <v>1303</v>
      </c>
      <c r="D112" s="503">
        <v>-1220066.03</v>
      </c>
      <c r="E112" s="503">
        <v>-11969142.77</v>
      </c>
      <c r="F112" s="503">
        <v>-1616855.37</v>
      </c>
      <c r="G112" s="503">
        <v>-11390081.130000001</v>
      </c>
    </row>
    <row r="113" spans="1:7" x14ac:dyDescent="0.25">
      <c r="A113" s="173" t="s">
        <v>344</v>
      </c>
      <c r="B113" s="501" t="s">
        <v>1304</v>
      </c>
      <c r="C113" s="501" t="s">
        <v>1303</v>
      </c>
      <c r="D113" s="503">
        <v>-1858401</v>
      </c>
      <c r="E113" s="503">
        <v>-1952559</v>
      </c>
      <c r="F113" s="503">
        <v>1544861</v>
      </c>
      <c r="G113" s="503">
        <v>1754913</v>
      </c>
    </row>
    <row r="114" spans="1:7" x14ac:dyDescent="0.25">
      <c r="A114" s="173" t="s">
        <v>344</v>
      </c>
      <c r="B114" s="501" t="s">
        <v>1305</v>
      </c>
      <c r="C114" s="501" t="s">
        <v>1306</v>
      </c>
      <c r="D114" s="503">
        <v>-1828724.42</v>
      </c>
      <c r="E114" s="503">
        <v>-19120704.329999998</v>
      </c>
      <c r="F114" s="503">
        <v>-1833534.38</v>
      </c>
      <c r="G114" s="503">
        <v>-19023765.5</v>
      </c>
    </row>
    <row r="115" spans="1:7" x14ac:dyDescent="0.25">
      <c r="A115" s="173" t="s">
        <v>344</v>
      </c>
      <c r="B115" s="501" t="s">
        <v>1307</v>
      </c>
      <c r="C115" s="501" t="s">
        <v>1306</v>
      </c>
      <c r="D115" s="503">
        <v>266000</v>
      </c>
      <c r="E115" s="503">
        <v>-950039</v>
      </c>
      <c r="F115" s="503">
        <v>142388</v>
      </c>
      <c r="G115" s="503">
        <v>371998</v>
      </c>
    </row>
    <row r="116" spans="1:7" x14ac:dyDescent="0.25">
      <c r="A116" s="173" t="s">
        <v>345</v>
      </c>
      <c r="B116" s="501" t="s">
        <v>1308</v>
      </c>
      <c r="C116" s="501" t="s">
        <v>1309</v>
      </c>
      <c r="D116" s="501">
        <v>132.78</v>
      </c>
      <c r="E116" s="501">
        <v>132.78</v>
      </c>
      <c r="F116" s="501">
        <v>0</v>
      </c>
      <c r="G116" s="501">
        <v>0</v>
      </c>
    </row>
    <row r="117" spans="1:7" x14ac:dyDescent="0.25">
      <c r="A117" s="173" t="s">
        <v>345</v>
      </c>
      <c r="B117" s="501" t="s">
        <v>1310</v>
      </c>
      <c r="C117" s="501" t="s">
        <v>1311</v>
      </c>
      <c r="D117" s="503">
        <v>-4312104.67</v>
      </c>
      <c r="E117" s="503">
        <v>-69310673.390000001</v>
      </c>
      <c r="F117" s="503">
        <v>-2982727.53</v>
      </c>
      <c r="G117" s="503">
        <v>-77304349.200000003</v>
      </c>
    </row>
    <row r="118" spans="1:7" x14ac:dyDescent="0.25">
      <c r="A118" s="173" t="s">
        <v>345</v>
      </c>
      <c r="B118" s="501" t="s">
        <v>1312</v>
      </c>
      <c r="C118" s="501" t="s">
        <v>1313</v>
      </c>
      <c r="D118" s="503">
        <v>5476696.7199999997</v>
      </c>
      <c r="E118" s="503">
        <v>10860518.59</v>
      </c>
      <c r="F118" s="503">
        <v>-1765929.5</v>
      </c>
      <c r="G118" s="503">
        <v>14384849.5</v>
      </c>
    </row>
    <row r="119" spans="1:7" x14ac:dyDescent="0.25">
      <c r="A119" s="173" t="s">
        <v>345</v>
      </c>
      <c r="B119" s="501" t="s">
        <v>1314</v>
      </c>
      <c r="C119" s="501" t="s">
        <v>1315</v>
      </c>
      <c r="D119" s="503">
        <v>-3476903.59</v>
      </c>
      <c r="E119" s="503">
        <v>-37691142.469999999</v>
      </c>
      <c r="F119" s="503">
        <v>-4140910.63</v>
      </c>
      <c r="G119" s="503">
        <v>-43286718.18</v>
      </c>
    </row>
    <row r="120" spans="1:7" x14ac:dyDescent="0.25">
      <c r="A120" s="173" t="s">
        <v>345</v>
      </c>
      <c r="B120" s="501" t="s">
        <v>1316</v>
      </c>
      <c r="C120" s="501" t="s">
        <v>1313</v>
      </c>
      <c r="D120" s="503">
        <v>1837104.04</v>
      </c>
      <c r="E120" s="503">
        <v>4435810.42</v>
      </c>
      <c r="F120" s="503">
        <v>431052.25</v>
      </c>
      <c r="G120" s="503">
        <v>4726317</v>
      </c>
    </row>
    <row r="121" spans="1:7" x14ac:dyDescent="0.25">
      <c r="A121" s="173" t="s">
        <v>345</v>
      </c>
      <c r="B121" s="501" t="s">
        <v>1317</v>
      </c>
      <c r="C121" s="501" t="s">
        <v>1318</v>
      </c>
      <c r="D121" s="503">
        <v>-8696622.4299999997</v>
      </c>
      <c r="E121" s="503">
        <v>-71060301.629999995</v>
      </c>
      <c r="F121" s="503">
        <v>-6274968.6200000001</v>
      </c>
      <c r="G121" s="503">
        <v>-100540084.23999999</v>
      </c>
    </row>
    <row r="122" spans="1:7" x14ac:dyDescent="0.25">
      <c r="A122" s="173" t="s">
        <v>345</v>
      </c>
      <c r="B122" s="501" t="s">
        <v>1319</v>
      </c>
      <c r="C122" s="501" t="s">
        <v>1318</v>
      </c>
      <c r="D122" s="503">
        <v>3002369</v>
      </c>
      <c r="E122" s="503">
        <v>1230981</v>
      </c>
      <c r="F122" s="503">
        <v>850536</v>
      </c>
      <c r="G122" s="503">
        <v>13183052</v>
      </c>
    </row>
    <row r="123" spans="1:7" x14ac:dyDescent="0.25">
      <c r="A123" s="173" t="s">
        <v>345</v>
      </c>
      <c r="B123" s="501" t="s">
        <v>1320</v>
      </c>
      <c r="C123" s="501" t="s">
        <v>1318</v>
      </c>
      <c r="D123" s="503">
        <v>-1097366.52</v>
      </c>
      <c r="E123" s="503">
        <v>-14297475.029999999</v>
      </c>
      <c r="F123" s="503">
        <v>-1440313.59</v>
      </c>
      <c r="G123" s="503">
        <v>-16982768.989999998</v>
      </c>
    </row>
    <row r="124" spans="1:7" x14ac:dyDescent="0.25">
      <c r="A124" s="173" t="s">
        <v>345</v>
      </c>
      <c r="B124" s="501" t="s">
        <v>1321</v>
      </c>
      <c r="C124" s="501" t="s">
        <v>1318</v>
      </c>
      <c r="D124" s="503">
        <v>-5907</v>
      </c>
      <c r="E124" s="503">
        <v>-381554.41</v>
      </c>
      <c r="F124" s="503">
        <v>287904</v>
      </c>
      <c r="G124" s="503">
        <v>278959</v>
      </c>
    </row>
    <row r="125" spans="1:7" x14ac:dyDescent="0.25">
      <c r="A125" s="173" t="s">
        <v>345</v>
      </c>
      <c r="B125" s="501" t="s">
        <v>1322</v>
      </c>
      <c r="C125" s="501" t="s">
        <v>1323</v>
      </c>
      <c r="D125" s="501">
        <v>0</v>
      </c>
      <c r="E125" s="503">
        <v>108359.85</v>
      </c>
      <c r="F125" s="503">
        <v>39517</v>
      </c>
      <c r="G125" s="503">
        <v>497402.57</v>
      </c>
    </row>
    <row r="126" spans="1:7" x14ac:dyDescent="0.25">
      <c r="A126" s="173" t="s">
        <v>345</v>
      </c>
      <c r="B126" s="501" t="s">
        <v>1324</v>
      </c>
      <c r="C126" s="501" t="s">
        <v>1325</v>
      </c>
      <c r="D126" s="501">
        <v>405.6</v>
      </c>
      <c r="E126" s="503">
        <v>-150622.92000000001</v>
      </c>
      <c r="F126" s="503">
        <v>-60320.480000000003</v>
      </c>
      <c r="G126" s="503">
        <v>-1085496.99</v>
      </c>
    </row>
    <row r="127" spans="1:7" x14ac:dyDescent="0.25">
      <c r="A127" s="173" t="s">
        <v>345</v>
      </c>
      <c r="B127" s="501" t="s">
        <v>1326</v>
      </c>
      <c r="C127" s="501" t="s">
        <v>1327</v>
      </c>
      <c r="D127" s="501">
        <v>0</v>
      </c>
      <c r="E127" s="501">
        <v>0</v>
      </c>
      <c r="F127" s="501">
        <v>0</v>
      </c>
      <c r="G127" s="501">
        <v>-900</v>
      </c>
    </row>
    <row r="128" spans="1:7" x14ac:dyDescent="0.25">
      <c r="A128" s="173" t="s">
        <v>345</v>
      </c>
      <c r="B128" s="501" t="s">
        <v>1328</v>
      </c>
      <c r="C128" s="501" t="s">
        <v>1329</v>
      </c>
      <c r="D128" s="501">
        <v>0</v>
      </c>
      <c r="E128" s="503">
        <v>25343065</v>
      </c>
      <c r="F128" s="501">
        <v>0</v>
      </c>
      <c r="G128" s="501">
        <v>0</v>
      </c>
    </row>
    <row r="129" spans="1:7" x14ac:dyDescent="0.25">
      <c r="A129" s="173" t="s">
        <v>345</v>
      </c>
      <c r="B129" s="501" t="s">
        <v>1330</v>
      </c>
      <c r="C129" s="501" t="s">
        <v>1331</v>
      </c>
      <c r="D129" s="501">
        <v>0</v>
      </c>
      <c r="E129" s="501">
        <v>0</v>
      </c>
      <c r="F129" s="501">
        <v>0</v>
      </c>
      <c r="G129" s="503">
        <v>3404.99</v>
      </c>
    </row>
    <row r="130" spans="1:7" x14ac:dyDescent="0.25">
      <c r="A130" s="173" t="s">
        <v>345</v>
      </c>
      <c r="B130" s="501" t="s">
        <v>1332</v>
      </c>
      <c r="C130" s="501" t="s">
        <v>1331</v>
      </c>
      <c r="D130" s="503">
        <v>-44364353.43</v>
      </c>
      <c r="E130" s="503">
        <v>-512721726.94</v>
      </c>
      <c r="F130" s="503">
        <v>-27455519.329999998</v>
      </c>
      <c r="G130" s="503">
        <v>-488710464.72000003</v>
      </c>
    </row>
    <row r="131" spans="1:7" x14ac:dyDescent="0.25">
      <c r="B131" s="501"/>
      <c r="C131" s="501"/>
      <c r="D131" s="501"/>
      <c r="E131" s="501"/>
      <c r="F131" s="501"/>
      <c r="G131" s="501"/>
    </row>
    <row r="132" spans="1:7" x14ac:dyDescent="0.25">
      <c r="B132" s="501"/>
      <c r="C132" s="501"/>
      <c r="D132" s="501"/>
      <c r="E132" s="501"/>
      <c r="F132" s="501"/>
      <c r="G132" s="501"/>
    </row>
    <row r="133" spans="1:7" x14ac:dyDescent="0.25">
      <c r="B133" s="501" t="s">
        <v>1240</v>
      </c>
      <c r="C133" s="501" t="s">
        <v>1241</v>
      </c>
      <c r="D133" s="501" t="s">
        <v>1242</v>
      </c>
      <c r="E133" s="501" t="s">
        <v>1243</v>
      </c>
      <c r="F133" s="501"/>
      <c r="G133" s="501" t="s">
        <v>1333</v>
      </c>
    </row>
    <row r="134" spans="1:7" x14ac:dyDescent="0.25">
      <c r="B134" s="501" t="s">
        <v>1245</v>
      </c>
      <c r="C134" s="501" t="s">
        <v>1246</v>
      </c>
      <c r="D134" s="501" t="s">
        <v>1247</v>
      </c>
      <c r="E134" s="501"/>
      <c r="F134" s="501"/>
      <c r="G134" s="501"/>
    </row>
    <row r="135" spans="1:7" x14ac:dyDescent="0.25">
      <c r="B135" s="501"/>
      <c r="C135" s="501" t="s">
        <v>1248</v>
      </c>
      <c r="D135" s="501" t="s">
        <v>1249</v>
      </c>
      <c r="E135" s="501" t="s">
        <v>1250</v>
      </c>
      <c r="F135" s="501" t="s">
        <v>1251</v>
      </c>
      <c r="G135" s="501">
        <v>9</v>
      </c>
    </row>
    <row r="136" spans="1:7" x14ac:dyDescent="0.25">
      <c r="B136" s="501"/>
      <c r="C136" s="501"/>
      <c r="D136" s="501"/>
      <c r="E136" s="501"/>
      <c r="F136" s="501"/>
      <c r="G136" s="501"/>
    </row>
    <row r="137" spans="1:7" x14ac:dyDescent="0.25">
      <c r="B137" s="501">
        <v>1</v>
      </c>
      <c r="C137" s="501">
        <v>1</v>
      </c>
      <c r="D137" s="501" t="s">
        <v>1252</v>
      </c>
      <c r="E137" s="501" t="s">
        <v>1253</v>
      </c>
      <c r="F137" s="501"/>
      <c r="G137" s="501" t="s">
        <v>1254</v>
      </c>
    </row>
    <row r="138" spans="1:7" x14ac:dyDescent="0.25">
      <c r="B138" s="501"/>
      <c r="C138" s="501"/>
      <c r="D138" s="501"/>
      <c r="E138" s="501"/>
      <c r="F138" s="501"/>
      <c r="G138" s="501"/>
    </row>
    <row r="139" spans="1:7" x14ac:dyDescent="0.25">
      <c r="B139" s="501" t="s">
        <v>1255</v>
      </c>
      <c r="C139" s="501" t="s">
        <v>1256</v>
      </c>
      <c r="D139" s="501" t="s">
        <v>1257</v>
      </c>
      <c r="E139" s="501" t="s">
        <v>1258</v>
      </c>
      <c r="F139" s="501" t="s">
        <v>1259</v>
      </c>
      <c r="G139" s="501" t="s">
        <v>1260</v>
      </c>
    </row>
    <row r="140" spans="1:7" x14ac:dyDescent="0.25">
      <c r="B140" s="501"/>
      <c r="C140" s="501"/>
      <c r="D140" s="501"/>
      <c r="E140" s="501"/>
      <c r="F140" s="501"/>
      <c r="G140" s="501"/>
    </row>
    <row r="141" spans="1:7" x14ac:dyDescent="0.25">
      <c r="B141" s="501"/>
      <c r="C141" s="501"/>
      <c r="D141" s="501"/>
      <c r="E141" s="501"/>
      <c r="F141" s="501"/>
      <c r="G141" s="501"/>
    </row>
    <row r="142" spans="1:7" x14ac:dyDescent="0.25">
      <c r="A142" s="173" t="s">
        <v>345</v>
      </c>
      <c r="B142" s="501" t="s">
        <v>1334</v>
      </c>
      <c r="C142" s="501" t="s">
        <v>1331</v>
      </c>
      <c r="D142" s="503">
        <v>-4421232.25</v>
      </c>
      <c r="E142" s="503">
        <v>25739697.73</v>
      </c>
      <c r="F142" s="503">
        <v>-18149474.829999998</v>
      </c>
      <c r="G142" s="503">
        <v>-10106292.75</v>
      </c>
    </row>
    <row r="143" spans="1:7" x14ac:dyDescent="0.25">
      <c r="A143" s="173" t="s">
        <v>345</v>
      </c>
      <c r="B143" s="501" t="s">
        <v>1335</v>
      </c>
      <c r="C143" s="501" t="s">
        <v>1331</v>
      </c>
      <c r="D143" s="503">
        <v>-26900120.43</v>
      </c>
      <c r="E143" s="503">
        <v>-270914781.99000001</v>
      </c>
      <c r="F143" s="503">
        <v>-21155161.640000001</v>
      </c>
      <c r="G143" s="503">
        <v>-284732579.38</v>
      </c>
    </row>
    <row r="144" spans="1:7" x14ac:dyDescent="0.25">
      <c r="A144" s="173" t="s">
        <v>345</v>
      </c>
      <c r="B144" s="501" t="s">
        <v>1336</v>
      </c>
      <c r="C144" s="501" t="s">
        <v>1331</v>
      </c>
      <c r="D144" s="503">
        <v>1244184.8999999999</v>
      </c>
      <c r="E144" s="503">
        <v>-5857606.0800000001</v>
      </c>
      <c r="F144" s="503">
        <v>-302957.78999999998</v>
      </c>
      <c r="G144" s="503">
        <v>18469940.280000001</v>
      </c>
    </row>
    <row r="145" spans="1:7" x14ac:dyDescent="0.25">
      <c r="A145" s="173" t="s">
        <v>347</v>
      </c>
      <c r="B145" s="501" t="s">
        <v>1337</v>
      </c>
      <c r="C145" s="501" t="s">
        <v>1338</v>
      </c>
      <c r="D145" s="503">
        <v>-3154594.49</v>
      </c>
      <c r="E145" s="503">
        <v>-51260376.939999998</v>
      </c>
      <c r="F145" s="503">
        <v>-4551876.62</v>
      </c>
      <c r="G145" s="503">
        <v>-45603607.950000003</v>
      </c>
    </row>
    <row r="146" spans="1:7" x14ac:dyDescent="0.25">
      <c r="A146" s="173" t="s">
        <v>347</v>
      </c>
      <c r="B146" s="501" t="s">
        <v>1339</v>
      </c>
      <c r="C146" s="501" t="s">
        <v>1340</v>
      </c>
      <c r="D146" s="503">
        <v>-1397500</v>
      </c>
      <c r="E146" s="503">
        <v>3129099.61</v>
      </c>
      <c r="F146" s="503">
        <v>-350200</v>
      </c>
      <c r="G146" s="503">
        <v>-3080000</v>
      </c>
    </row>
    <row r="147" spans="1:7" x14ac:dyDescent="0.25">
      <c r="A147" s="173" t="s">
        <v>347</v>
      </c>
      <c r="B147" s="501" t="s">
        <v>1341</v>
      </c>
      <c r="C147" s="501" t="s">
        <v>1342</v>
      </c>
      <c r="D147" s="503">
        <v>-1161741.25</v>
      </c>
      <c r="E147" s="503">
        <v>-16318476.449999999</v>
      </c>
      <c r="F147" s="503">
        <v>-1248193.04</v>
      </c>
      <c r="G147" s="503">
        <v>-15387849.35</v>
      </c>
    </row>
    <row r="148" spans="1:7" x14ac:dyDescent="0.25">
      <c r="A148" s="173" t="s">
        <v>347</v>
      </c>
      <c r="B148" s="501" t="s">
        <v>1343</v>
      </c>
      <c r="C148" s="501" t="s">
        <v>1344</v>
      </c>
      <c r="D148" s="503">
        <v>-239600</v>
      </c>
      <c r="E148" s="503">
        <v>-4305900</v>
      </c>
      <c r="F148" s="503">
        <v>-50300</v>
      </c>
      <c r="G148" s="503">
        <v>-502200</v>
      </c>
    </row>
    <row r="149" spans="1:7" x14ac:dyDescent="0.25">
      <c r="A149" s="173" t="s">
        <v>347</v>
      </c>
      <c r="B149" s="501" t="s">
        <v>1345</v>
      </c>
      <c r="C149" s="501" t="s">
        <v>1346</v>
      </c>
      <c r="D149" s="503">
        <v>-18087.240000000002</v>
      </c>
      <c r="E149" s="503">
        <v>-643901.59</v>
      </c>
      <c r="F149" s="501">
        <v>0</v>
      </c>
      <c r="G149" s="503">
        <v>-1282122.45</v>
      </c>
    </row>
    <row r="150" spans="1:7" x14ac:dyDescent="0.25">
      <c r="A150" s="173" t="s">
        <v>347</v>
      </c>
      <c r="B150" s="501" t="s">
        <v>1347</v>
      </c>
      <c r="C150" s="501" t="s">
        <v>1346</v>
      </c>
      <c r="D150" s="503">
        <v>16900</v>
      </c>
      <c r="E150" s="503">
        <v>564500</v>
      </c>
      <c r="F150" s="503">
        <v>-295800</v>
      </c>
      <c r="G150" s="503">
        <v>-348200</v>
      </c>
    </row>
    <row r="151" spans="1:7" x14ac:dyDescent="0.25">
      <c r="A151" s="173" t="s">
        <v>347</v>
      </c>
      <c r="B151" s="501" t="s">
        <v>1348</v>
      </c>
      <c r="C151" s="501" t="s">
        <v>1349</v>
      </c>
      <c r="D151" s="503">
        <v>-36718.370000000003</v>
      </c>
      <c r="E151" s="503">
        <v>-668736.85</v>
      </c>
      <c r="F151" s="503">
        <v>-30317.42</v>
      </c>
      <c r="G151" s="503">
        <v>-430147.4</v>
      </c>
    </row>
    <row r="152" spans="1:7" x14ac:dyDescent="0.25">
      <c r="A152" s="173" t="s">
        <v>347</v>
      </c>
      <c r="B152" s="501" t="s">
        <v>1350</v>
      </c>
      <c r="C152" s="501" t="s">
        <v>1349</v>
      </c>
      <c r="D152" s="503">
        <v>-39800</v>
      </c>
      <c r="E152" s="503">
        <v>-31800</v>
      </c>
      <c r="F152" s="503">
        <v>-50100</v>
      </c>
      <c r="G152" s="503">
        <v>10000</v>
      </c>
    </row>
    <row r="153" spans="1:7" x14ac:dyDescent="0.25">
      <c r="B153" s="501"/>
      <c r="C153" s="501"/>
      <c r="D153" s="501"/>
      <c r="E153" s="501"/>
      <c r="F153" s="501"/>
      <c r="G153" s="501"/>
    </row>
    <row r="154" spans="1:7" x14ac:dyDescent="0.25">
      <c r="B154" s="501"/>
      <c r="C154" s="501" t="s">
        <v>1351</v>
      </c>
      <c r="D154" s="503">
        <v>-92353359.400000006</v>
      </c>
      <c r="E154" s="503">
        <v>-1018162666.13</v>
      </c>
      <c r="F154" s="503">
        <v>-90459202.519999996</v>
      </c>
      <c r="G154" s="503">
        <v>-1066122323.09</v>
      </c>
    </row>
    <row r="155" spans="1:7" x14ac:dyDescent="0.25">
      <c r="A155" s="173" t="s">
        <v>348</v>
      </c>
      <c r="B155" s="501" t="s">
        <v>1352</v>
      </c>
      <c r="C155" s="501" t="s">
        <v>1353</v>
      </c>
      <c r="D155" s="503">
        <v>-19597.8</v>
      </c>
      <c r="E155" s="503">
        <v>-233084.73</v>
      </c>
      <c r="F155" s="503">
        <v>-17800</v>
      </c>
      <c r="G155" s="503">
        <v>-220268.59</v>
      </c>
    </row>
    <row r="156" spans="1:7" x14ac:dyDescent="0.25">
      <c r="A156" s="173" t="s">
        <v>348</v>
      </c>
      <c r="B156" s="501" t="s">
        <v>1354</v>
      </c>
      <c r="C156" s="501" t="s">
        <v>1355</v>
      </c>
      <c r="D156" s="503">
        <v>-12414050.85</v>
      </c>
      <c r="E156" s="503">
        <v>-143963935.25999999</v>
      </c>
      <c r="F156" s="503">
        <v>-12489234.27</v>
      </c>
      <c r="G156" s="503">
        <v>-137211452.49000001</v>
      </c>
    </row>
    <row r="157" spans="1:7" x14ac:dyDescent="0.25">
      <c r="A157" s="173" t="s">
        <v>348</v>
      </c>
      <c r="B157" s="501" t="s">
        <v>1356</v>
      </c>
      <c r="C157" s="501" t="s">
        <v>1357</v>
      </c>
      <c r="D157" s="503">
        <v>759400</v>
      </c>
      <c r="E157" s="503">
        <v>-3203700</v>
      </c>
      <c r="F157" s="503">
        <v>-708660</v>
      </c>
      <c r="G157" s="503">
        <v>-3137470.14</v>
      </c>
    </row>
    <row r="158" spans="1:7" x14ac:dyDescent="0.25">
      <c r="A158" s="173" t="s">
        <v>348</v>
      </c>
      <c r="B158" s="501" t="s">
        <v>1358</v>
      </c>
      <c r="C158" s="501" t="s">
        <v>1359</v>
      </c>
      <c r="D158" s="503">
        <v>-11417170.85</v>
      </c>
      <c r="E158" s="503">
        <v>-118806789.81</v>
      </c>
      <c r="F158" s="503">
        <v>-9369536.3800000008</v>
      </c>
      <c r="G158" s="503">
        <v>-114343495.11</v>
      </c>
    </row>
    <row r="159" spans="1:7" x14ac:dyDescent="0.25">
      <c r="A159" s="173" t="s">
        <v>348</v>
      </c>
      <c r="B159" s="501" t="s">
        <v>1360</v>
      </c>
      <c r="C159" s="501" t="s">
        <v>1361</v>
      </c>
      <c r="D159" s="503">
        <v>1199000</v>
      </c>
      <c r="E159" s="503">
        <v>-11285300</v>
      </c>
      <c r="F159" s="503">
        <v>-533940</v>
      </c>
      <c r="G159" s="503">
        <v>-2163983.5</v>
      </c>
    </row>
    <row r="160" spans="1:7" x14ac:dyDescent="0.25">
      <c r="A160" s="173" t="s">
        <v>348</v>
      </c>
      <c r="B160" s="501" t="s">
        <v>1362</v>
      </c>
      <c r="C160" s="501" t="s">
        <v>1363</v>
      </c>
      <c r="D160" s="503">
        <v>30548.560000000001</v>
      </c>
      <c r="E160" s="503">
        <v>476044.28</v>
      </c>
      <c r="F160" s="503">
        <v>50199.73</v>
      </c>
      <c r="G160" s="503">
        <v>528683.19999999995</v>
      </c>
    </row>
    <row r="161" spans="1:7" x14ac:dyDescent="0.25">
      <c r="A161" s="173" t="s">
        <v>348</v>
      </c>
      <c r="B161" s="501" t="s">
        <v>1364</v>
      </c>
      <c r="C161" s="501" t="s">
        <v>1363</v>
      </c>
      <c r="D161" s="501">
        <v>-531</v>
      </c>
      <c r="E161" s="503">
        <v>-1524</v>
      </c>
      <c r="F161" s="501">
        <v>0</v>
      </c>
      <c r="G161" s="501">
        <v>-524</v>
      </c>
    </row>
    <row r="162" spans="1:7" x14ac:dyDescent="0.25">
      <c r="A162" s="173" t="s">
        <v>348</v>
      </c>
      <c r="B162" s="501" t="s">
        <v>1365</v>
      </c>
      <c r="C162" s="501" t="s">
        <v>1363</v>
      </c>
      <c r="D162" s="503">
        <v>-140144.60999999999</v>
      </c>
      <c r="E162" s="503">
        <v>-1636999.87</v>
      </c>
      <c r="F162" s="503">
        <v>-198006.87</v>
      </c>
      <c r="G162" s="503">
        <v>-1451906.26</v>
      </c>
    </row>
    <row r="163" spans="1:7" x14ac:dyDescent="0.25">
      <c r="A163" s="173" t="s">
        <v>357</v>
      </c>
      <c r="B163" s="501" t="s">
        <v>1366</v>
      </c>
      <c r="C163" s="501" t="s">
        <v>1367</v>
      </c>
      <c r="D163" s="503">
        <v>-92696.38</v>
      </c>
      <c r="E163" s="503">
        <v>-561727.71</v>
      </c>
      <c r="F163" s="503">
        <v>-549156.07999999996</v>
      </c>
      <c r="G163" s="503">
        <v>-5738101</v>
      </c>
    </row>
    <row r="164" spans="1:7" x14ac:dyDescent="0.25">
      <c r="A164" s="173" t="s">
        <v>357</v>
      </c>
      <c r="B164" s="501" t="s">
        <v>1368</v>
      </c>
      <c r="C164" s="501" t="s">
        <v>1369</v>
      </c>
      <c r="D164" s="503">
        <v>-715616.61</v>
      </c>
      <c r="E164" s="503">
        <v>-15082111.18</v>
      </c>
      <c r="F164" s="503">
        <v>-386446.07</v>
      </c>
      <c r="G164" s="503">
        <v>-4287646.4400000004</v>
      </c>
    </row>
    <row r="165" spans="1:7" x14ac:dyDescent="0.25">
      <c r="A165" s="173" t="s">
        <v>357</v>
      </c>
      <c r="B165" s="501" t="s">
        <v>1370</v>
      </c>
      <c r="C165" s="501" t="s">
        <v>1371</v>
      </c>
      <c r="D165" s="503">
        <v>42691.54</v>
      </c>
      <c r="E165" s="503">
        <v>-186215.57</v>
      </c>
      <c r="F165" s="503">
        <v>-28252.35</v>
      </c>
      <c r="G165" s="503">
        <v>-453966.47</v>
      </c>
    </row>
    <row r="166" spans="1:7" x14ac:dyDescent="0.25">
      <c r="A166" s="173" t="s">
        <v>357</v>
      </c>
      <c r="B166" s="501" t="s">
        <v>1372</v>
      </c>
      <c r="C166" s="501" t="s">
        <v>1373</v>
      </c>
      <c r="D166" s="503">
        <v>-198403.13</v>
      </c>
      <c r="E166" s="503">
        <v>-1158992.51</v>
      </c>
      <c r="F166" s="503">
        <v>-149987.1</v>
      </c>
      <c r="G166" s="503">
        <v>-990303.85</v>
      </c>
    </row>
    <row r="167" spans="1:7" x14ac:dyDescent="0.25">
      <c r="A167" s="173" t="s">
        <v>357</v>
      </c>
      <c r="B167" s="501" t="s">
        <v>1374</v>
      </c>
      <c r="C167" s="501" t="s">
        <v>1375</v>
      </c>
      <c r="D167" s="501">
        <v>0</v>
      </c>
      <c r="E167" s="503">
        <v>-18847.46</v>
      </c>
      <c r="F167" s="501">
        <v>-178.33</v>
      </c>
      <c r="G167" s="503">
        <v>-80443.69</v>
      </c>
    </row>
    <row r="168" spans="1:7" x14ac:dyDescent="0.25">
      <c r="A168" s="173" t="s">
        <v>357</v>
      </c>
      <c r="B168" s="501" t="s">
        <v>1376</v>
      </c>
      <c r="C168" s="501" t="s">
        <v>1377</v>
      </c>
      <c r="D168" s="503">
        <v>-63415.55</v>
      </c>
      <c r="E168" s="503">
        <v>-110087.13</v>
      </c>
      <c r="F168" s="503">
        <v>-2096.0300000000002</v>
      </c>
      <c r="G168" s="503">
        <v>-95391.01</v>
      </c>
    </row>
    <row r="169" spans="1:7" x14ac:dyDescent="0.25">
      <c r="A169" s="173" t="s">
        <v>345</v>
      </c>
      <c r="B169" s="501" t="s">
        <v>1378</v>
      </c>
      <c r="C169" s="501" t="s">
        <v>1379</v>
      </c>
      <c r="D169" s="503">
        <v>-7063.42</v>
      </c>
      <c r="E169" s="503">
        <v>-1204.78</v>
      </c>
      <c r="F169" s="503">
        <v>-5947.21</v>
      </c>
      <c r="G169" s="503">
        <v>-6845.43</v>
      </c>
    </row>
    <row r="170" spans="1:7" x14ac:dyDescent="0.25">
      <c r="A170" s="194"/>
      <c r="B170" s="501"/>
      <c r="C170" s="501"/>
      <c r="D170" s="501"/>
      <c r="E170" s="501"/>
      <c r="F170" s="501"/>
      <c r="G170" s="501"/>
    </row>
    <row r="171" spans="1:7" x14ac:dyDescent="0.25">
      <c r="A171" s="194"/>
      <c r="B171" s="501"/>
      <c r="C171" s="501" t="s">
        <v>1380</v>
      </c>
      <c r="D171" s="503">
        <v>-23037050.100000001</v>
      </c>
      <c r="E171" s="503">
        <v>-295774475.73000002</v>
      </c>
      <c r="F171" s="503">
        <v>-24389040.960000001</v>
      </c>
      <c r="G171" s="503">
        <v>-269653114.77999997</v>
      </c>
    </row>
    <row r="172" spans="1:7" x14ac:dyDescent="0.25">
      <c r="A172" s="505"/>
      <c r="B172" s="501"/>
      <c r="C172" s="501"/>
      <c r="D172" s="501"/>
      <c r="E172" s="501"/>
      <c r="F172" s="501"/>
      <c r="G172" s="501"/>
    </row>
    <row r="173" spans="1:7" x14ac:dyDescent="0.25">
      <c r="B173" s="501"/>
      <c r="C173" s="501" t="s">
        <v>1381</v>
      </c>
      <c r="D173" s="503">
        <v>-118772840.33</v>
      </c>
      <c r="E173" s="506">
        <v>-1342273064.5799999</v>
      </c>
      <c r="F173" s="503">
        <v>-116784915.19</v>
      </c>
      <c r="G173" s="506">
        <v>-1371109872.8</v>
      </c>
    </row>
    <row r="174" spans="1:7" x14ac:dyDescent="0.25">
      <c r="B174" s="501"/>
      <c r="C174" s="501"/>
      <c r="D174" s="501"/>
      <c r="E174" s="501"/>
      <c r="F174" s="501"/>
      <c r="G174" s="501"/>
    </row>
    <row r="175" spans="1:7" x14ac:dyDescent="0.25">
      <c r="B175" s="501"/>
      <c r="C175" s="501"/>
      <c r="D175" s="501"/>
      <c r="E175" s="501"/>
      <c r="F175" s="501"/>
      <c r="G175" s="501"/>
    </row>
    <row r="176" spans="1:7" x14ac:dyDescent="0.25">
      <c r="B176" s="501"/>
      <c r="C176" s="501" t="s">
        <v>1382</v>
      </c>
      <c r="D176" s="503">
        <v>115283736.23999999</v>
      </c>
      <c r="E176" s="503">
        <v>1432387469.0599999</v>
      </c>
      <c r="F176" s="503">
        <v>114854698.56</v>
      </c>
      <c r="G176" s="503">
        <v>1376010572.3699999</v>
      </c>
    </row>
    <row r="177" spans="2:7" x14ac:dyDescent="0.25">
      <c r="B177" s="501"/>
      <c r="C177" s="501"/>
      <c r="D177" s="501"/>
      <c r="E177" s="501"/>
      <c r="F177" s="501"/>
      <c r="G177" s="501"/>
    </row>
    <row r="178" spans="2:7" x14ac:dyDescent="0.25">
      <c r="B178" s="501" t="s">
        <v>1383</v>
      </c>
      <c r="C178" s="501" t="s">
        <v>1384</v>
      </c>
      <c r="D178" s="501"/>
      <c r="E178" s="501"/>
      <c r="F178" s="501"/>
      <c r="G178" s="501"/>
    </row>
    <row r="179" spans="2:7" x14ac:dyDescent="0.25">
      <c r="B179" s="501" t="s">
        <v>1385</v>
      </c>
      <c r="C179" s="501" t="s">
        <v>1386</v>
      </c>
      <c r="D179" s="503">
        <v>-1687.35</v>
      </c>
      <c r="E179" s="503">
        <v>-223197.96</v>
      </c>
      <c r="F179" s="503">
        <v>-39282.769999999997</v>
      </c>
      <c r="G179" s="503">
        <v>-204358.87</v>
      </c>
    </row>
    <row r="180" spans="2:7" x14ac:dyDescent="0.25">
      <c r="B180" s="501" t="s">
        <v>1387</v>
      </c>
      <c r="C180" s="501" t="s">
        <v>1388</v>
      </c>
      <c r="D180" s="503">
        <v>1609392.45</v>
      </c>
      <c r="E180" s="503">
        <v>17155934.75</v>
      </c>
      <c r="F180" s="503">
        <v>1427702.17</v>
      </c>
      <c r="G180" s="503">
        <v>17568978.579999998</v>
      </c>
    </row>
    <row r="181" spans="2:7" x14ac:dyDescent="0.25">
      <c r="B181" s="501" t="s">
        <v>1389</v>
      </c>
      <c r="C181" s="501" t="s">
        <v>1388</v>
      </c>
      <c r="D181" s="501">
        <v>0</v>
      </c>
      <c r="E181" s="503">
        <v>-1950.65</v>
      </c>
      <c r="F181" s="501">
        <v>0</v>
      </c>
      <c r="G181" s="501">
        <v>0</v>
      </c>
    </row>
    <row r="182" spans="2:7" x14ac:dyDescent="0.25">
      <c r="B182" s="501" t="s">
        <v>1390</v>
      </c>
      <c r="C182" s="501" t="s">
        <v>1391</v>
      </c>
      <c r="D182" s="503">
        <v>1789787.27</v>
      </c>
      <c r="E182" s="503">
        <v>19340026.379999999</v>
      </c>
      <c r="F182" s="503">
        <v>1964487.92</v>
      </c>
      <c r="G182" s="503">
        <v>17473113.300000001</v>
      </c>
    </row>
    <row r="183" spans="2:7" x14ac:dyDescent="0.25">
      <c r="B183" s="501" t="s">
        <v>1392</v>
      </c>
      <c r="C183" s="501" t="s">
        <v>1391</v>
      </c>
      <c r="D183" s="503">
        <v>1687</v>
      </c>
      <c r="E183" s="503">
        <v>604187</v>
      </c>
      <c r="F183" s="501">
        <v>0</v>
      </c>
      <c r="G183" s="501">
        <v>0</v>
      </c>
    </row>
    <row r="184" spans="2:7" x14ac:dyDescent="0.25">
      <c r="B184" s="501" t="s">
        <v>1393</v>
      </c>
      <c r="C184" s="501" t="s">
        <v>1394</v>
      </c>
      <c r="D184" s="503">
        <v>402751.65</v>
      </c>
      <c r="E184" s="503">
        <v>5207003.67</v>
      </c>
      <c r="F184" s="503">
        <v>378909.18</v>
      </c>
      <c r="G184" s="503">
        <v>5230635.3499999996</v>
      </c>
    </row>
    <row r="185" spans="2:7" x14ac:dyDescent="0.25">
      <c r="B185" s="501" t="s">
        <v>1395</v>
      </c>
      <c r="C185" s="501" t="s">
        <v>1396</v>
      </c>
      <c r="D185" s="503">
        <v>150205.47</v>
      </c>
      <c r="E185" s="503">
        <v>1868660.14</v>
      </c>
      <c r="F185" s="503">
        <v>148428.09</v>
      </c>
      <c r="G185" s="503">
        <v>1976699.97</v>
      </c>
    </row>
    <row r="186" spans="2:7" x14ac:dyDescent="0.25">
      <c r="B186" s="501" t="s">
        <v>1397</v>
      </c>
      <c r="C186" s="501" t="s">
        <v>1398</v>
      </c>
      <c r="D186" s="503">
        <v>44951.63</v>
      </c>
      <c r="E186" s="503">
        <v>615516.39</v>
      </c>
      <c r="F186" s="503">
        <v>52194.12</v>
      </c>
      <c r="G186" s="503">
        <v>502594.33</v>
      </c>
    </row>
    <row r="187" spans="2:7" x14ac:dyDescent="0.25">
      <c r="B187" s="501" t="s">
        <v>1399</v>
      </c>
      <c r="C187" s="501" t="s">
        <v>1400</v>
      </c>
      <c r="D187" s="503">
        <v>36948.07</v>
      </c>
      <c r="E187" s="503">
        <v>508924.68</v>
      </c>
      <c r="F187" s="503">
        <v>37129.18</v>
      </c>
      <c r="G187" s="503">
        <v>511822.72</v>
      </c>
    </row>
    <row r="188" spans="2:7" x14ac:dyDescent="0.25">
      <c r="B188" s="501" t="s">
        <v>1401</v>
      </c>
      <c r="C188" s="501" t="s">
        <v>1402</v>
      </c>
      <c r="D188" s="503">
        <v>6069.88</v>
      </c>
      <c r="E188" s="503">
        <v>78541.740000000005</v>
      </c>
      <c r="F188" s="503">
        <v>5843.36</v>
      </c>
      <c r="G188" s="503">
        <v>77790.05</v>
      </c>
    </row>
    <row r="189" spans="2:7" x14ac:dyDescent="0.25">
      <c r="B189" s="501" t="s">
        <v>1403</v>
      </c>
      <c r="C189" s="501" t="s">
        <v>1404</v>
      </c>
      <c r="D189" s="503">
        <v>1397769.06</v>
      </c>
      <c r="E189" s="503">
        <v>3197769.06</v>
      </c>
      <c r="F189" s="503">
        <v>132685.19</v>
      </c>
      <c r="G189" s="503">
        <v>1232685.19</v>
      </c>
    </row>
    <row r="190" spans="2:7" x14ac:dyDescent="0.25">
      <c r="B190" s="501" t="s">
        <v>1405</v>
      </c>
      <c r="C190" s="501" t="s">
        <v>1406</v>
      </c>
      <c r="D190" s="503">
        <v>44906.33</v>
      </c>
      <c r="E190" s="503">
        <v>1246382.19</v>
      </c>
      <c r="F190" s="503">
        <v>60090</v>
      </c>
      <c r="G190" s="503">
        <v>820745.32</v>
      </c>
    </row>
    <row r="191" spans="2:7" x14ac:dyDescent="0.25">
      <c r="B191" s="501" t="s">
        <v>1407</v>
      </c>
      <c r="C191" s="501" t="s">
        <v>1408</v>
      </c>
      <c r="D191" s="503">
        <v>5940</v>
      </c>
      <c r="E191" s="503">
        <v>-2024910.83</v>
      </c>
      <c r="F191" s="503">
        <v>4876335.33</v>
      </c>
      <c r="G191" s="503">
        <v>65356349.170000002</v>
      </c>
    </row>
    <row r="192" spans="2:7" x14ac:dyDescent="0.25">
      <c r="B192" s="501" t="s">
        <v>1409</v>
      </c>
      <c r="C192" s="501" t="s">
        <v>1410</v>
      </c>
      <c r="D192" s="503">
        <v>23692.75</v>
      </c>
      <c r="E192" s="503">
        <v>378113.2</v>
      </c>
      <c r="F192" s="503">
        <v>266706.09999999998</v>
      </c>
      <c r="G192" s="503">
        <v>9906141.4399999995</v>
      </c>
    </row>
    <row r="193" spans="2:7" x14ac:dyDescent="0.25">
      <c r="B193" s="501"/>
      <c r="C193" s="501"/>
      <c r="D193" s="501"/>
      <c r="E193" s="501"/>
      <c r="F193" s="501"/>
      <c r="G193" s="501"/>
    </row>
    <row r="194" spans="2:7" x14ac:dyDescent="0.25">
      <c r="B194" s="501"/>
      <c r="C194" s="501"/>
      <c r="D194" s="501"/>
      <c r="E194" s="501"/>
      <c r="F194" s="501"/>
      <c r="G194" s="501"/>
    </row>
    <row r="195" spans="2:7" x14ac:dyDescent="0.25">
      <c r="B195" s="501" t="s">
        <v>1240</v>
      </c>
      <c r="C195" s="501" t="s">
        <v>1241</v>
      </c>
      <c r="D195" s="501" t="s">
        <v>1242</v>
      </c>
      <c r="E195" s="501" t="s">
        <v>1243</v>
      </c>
      <c r="F195" s="501"/>
      <c r="G195" s="501" t="s">
        <v>1411</v>
      </c>
    </row>
    <row r="196" spans="2:7" x14ac:dyDescent="0.25">
      <c r="B196" s="501" t="s">
        <v>1245</v>
      </c>
      <c r="C196" s="501" t="s">
        <v>1246</v>
      </c>
      <c r="D196" s="501" t="s">
        <v>1247</v>
      </c>
      <c r="E196" s="501"/>
      <c r="F196" s="501"/>
      <c r="G196" s="501"/>
    </row>
    <row r="197" spans="2:7" x14ac:dyDescent="0.25">
      <c r="B197" s="501"/>
      <c r="C197" s="501" t="s">
        <v>1248</v>
      </c>
      <c r="D197" s="501" t="s">
        <v>1249</v>
      </c>
      <c r="E197" s="501" t="s">
        <v>1250</v>
      </c>
      <c r="F197" s="501" t="s">
        <v>1251</v>
      </c>
      <c r="G197" s="501">
        <v>9</v>
      </c>
    </row>
    <row r="198" spans="2:7" x14ac:dyDescent="0.25">
      <c r="B198" s="501"/>
      <c r="C198" s="501"/>
      <c r="D198" s="501"/>
      <c r="E198" s="501"/>
      <c r="F198" s="501"/>
      <c r="G198" s="501"/>
    </row>
    <row r="199" spans="2:7" x14ac:dyDescent="0.25">
      <c r="B199" s="501">
        <v>1</v>
      </c>
      <c r="C199" s="501">
        <v>1</v>
      </c>
      <c r="D199" s="501" t="s">
        <v>1252</v>
      </c>
      <c r="E199" s="501" t="s">
        <v>1253</v>
      </c>
      <c r="F199" s="501"/>
      <c r="G199" s="501" t="s">
        <v>1254</v>
      </c>
    </row>
    <row r="200" spans="2:7" x14ac:dyDescent="0.25">
      <c r="B200" s="501"/>
      <c r="C200" s="501"/>
      <c r="D200" s="501"/>
      <c r="E200" s="501"/>
      <c r="F200" s="501"/>
      <c r="G200" s="501"/>
    </row>
    <row r="201" spans="2:7" x14ac:dyDescent="0.25">
      <c r="B201" s="501" t="s">
        <v>1255</v>
      </c>
      <c r="C201" s="501" t="s">
        <v>1256</v>
      </c>
      <c r="D201" s="501" t="s">
        <v>1257</v>
      </c>
      <c r="E201" s="501" t="s">
        <v>1258</v>
      </c>
      <c r="F201" s="501" t="s">
        <v>1259</v>
      </c>
      <c r="G201" s="501" t="s">
        <v>1260</v>
      </c>
    </row>
    <row r="202" spans="2:7" x14ac:dyDescent="0.25">
      <c r="B202" s="501"/>
      <c r="C202" s="501"/>
      <c r="D202" s="501"/>
      <c r="E202" s="501"/>
      <c r="F202" s="501"/>
      <c r="G202" s="501"/>
    </row>
    <row r="203" spans="2:7" x14ac:dyDescent="0.25">
      <c r="B203" s="501" t="s">
        <v>1383</v>
      </c>
      <c r="C203" s="501" t="s">
        <v>1384</v>
      </c>
      <c r="D203" s="501"/>
      <c r="E203" s="501"/>
      <c r="F203" s="501"/>
      <c r="G203" s="501"/>
    </row>
    <row r="204" spans="2:7" x14ac:dyDescent="0.25">
      <c r="B204" s="501" t="s">
        <v>1412</v>
      </c>
      <c r="C204" s="501" t="s">
        <v>1413</v>
      </c>
      <c r="D204" s="501">
        <v>0</v>
      </c>
      <c r="E204" s="501">
        <v>0</v>
      </c>
      <c r="F204" s="503">
        <v>22979.06</v>
      </c>
      <c r="G204" s="503">
        <v>393586.79</v>
      </c>
    </row>
    <row r="205" spans="2:7" x14ac:dyDescent="0.25">
      <c r="B205" s="501" t="s">
        <v>1414</v>
      </c>
      <c r="C205" s="501" t="s">
        <v>1415</v>
      </c>
      <c r="D205" s="503">
        <v>-10225879.49</v>
      </c>
      <c r="E205" s="503">
        <v>-24259556.129999999</v>
      </c>
      <c r="F205" s="503">
        <v>-1313440.49</v>
      </c>
      <c r="G205" s="503">
        <v>7417247.5999999996</v>
      </c>
    </row>
    <row r="206" spans="2:7" x14ac:dyDescent="0.25">
      <c r="B206" s="501" t="s">
        <v>1416</v>
      </c>
      <c r="C206" s="501" t="s">
        <v>1417</v>
      </c>
      <c r="D206" s="501">
        <v>0</v>
      </c>
      <c r="E206" s="501">
        <v>0</v>
      </c>
      <c r="F206" s="503">
        <v>68108917.920000002</v>
      </c>
      <c r="G206" s="503">
        <v>115217747.29000001</v>
      </c>
    </row>
    <row r="207" spans="2:7" x14ac:dyDescent="0.25">
      <c r="B207" s="501" t="s">
        <v>1418</v>
      </c>
      <c r="C207" s="501" t="s">
        <v>1419</v>
      </c>
      <c r="D207" s="501">
        <v>0</v>
      </c>
      <c r="E207" s="501">
        <v>0</v>
      </c>
      <c r="F207" s="501">
        <v>0</v>
      </c>
      <c r="G207" s="503">
        <v>-970161.5</v>
      </c>
    </row>
    <row r="208" spans="2:7" x14ac:dyDescent="0.25">
      <c r="B208" s="501" t="s">
        <v>1420</v>
      </c>
      <c r="C208" s="501" t="s">
        <v>1421</v>
      </c>
      <c r="D208" s="501">
        <v>0</v>
      </c>
      <c r="E208" s="501">
        <v>0</v>
      </c>
      <c r="F208" s="503">
        <v>4802.04</v>
      </c>
      <c r="G208" s="503">
        <v>63448.46</v>
      </c>
    </row>
    <row r="209" spans="2:7" x14ac:dyDescent="0.25">
      <c r="B209" s="501" t="s">
        <v>1422</v>
      </c>
      <c r="C209" s="501" t="s">
        <v>1423</v>
      </c>
      <c r="D209" s="503">
        <v>30795.200000000001</v>
      </c>
      <c r="E209" s="503">
        <v>378253.15</v>
      </c>
      <c r="F209" s="503">
        <v>51235.71</v>
      </c>
      <c r="G209" s="503">
        <v>480775.6</v>
      </c>
    </row>
    <row r="210" spans="2:7" x14ac:dyDescent="0.25">
      <c r="B210" s="501" t="s">
        <v>1424</v>
      </c>
      <c r="C210" s="501" t="s">
        <v>1425</v>
      </c>
      <c r="D210" s="503">
        <v>768699.05</v>
      </c>
      <c r="E210" s="503">
        <v>13406148.51</v>
      </c>
      <c r="F210" s="503">
        <v>786430.48</v>
      </c>
      <c r="G210" s="503">
        <v>10442719.210000001</v>
      </c>
    </row>
    <row r="211" spans="2:7" x14ac:dyDescent="0.25">
      <c r="B211" s="501" t="s">
        <v>1426</v>
      </c>
      <c r="C211" s="501" t="s">
        <v>1427</v>
      </c>
      <c r="D211" s="503">
        <v>5369.27</v>
      </c>
      <c r="E211" s="503">
        <v>75816.19</v>
      </c>
      <c r="F211" s="503">
        <v>5489.81</v>
      </c>
      <c r="G211" s="503">
        <v>69339.759999999995</v>
      </c>
    </row>
    <row r="212" spans="2:7" x14ac:dyDescent="0.25">
      <c r="B212" s="501" t="s">
        <v>1428</v>
      </c>
      <c r="C212" s="501" t="s">
        <v>1429</v>
      </c>
      <c r="D212" s="503">
        <v>1036544.08</v>
      </c>
      <c r="E212" s="503">
        <v>13116566.130000001</v>
      </c>
      <c r="F212" s="503">
        <v>1990784.48</v>
      </c>
      <c r="G212" s="503">
        <v>14310188.279999999</v>
      </c>
    </row>
    <row r="213" spans="2:7" x14ac:dyDescent="0.25">
      <c r="B213" s="501" t="s">
        <v>1430</v>
      </c>
      <c r="C213" s="501" t="s">
        <v>1431</v>
      </c>
      <c r="D213" s="501">
        <v>0</v>
      </c>
      <c r="E213" s="501">
        <v>0</v>
      </c>
      <c r="F213" s="503">
        <v>13738.09</v>
      </c>
      <c r="G213" s="503">
        <v>3645838.87</v>
      </c>
    </row>
    <row r="214" spans="2:7" x14ac:dyDescent="0.25">
      <c r="B214" s="501" t="s">
        <v>1432</v>
      </c>
      <c r="C214" s="501" t="s">
        <v>1433</v>
      </c>
      <c r="D214" s="503">
        <v>-32179.13</v>
      </c>
      <c r="E214" s="503">
        <v>-539647.25</v>
      </c>
      <c r="F214" s="501">
        <v>0</v>
      </c>
      <c r="G214" s="501">
        <v>0</v>
      </c>
    </row>
    <row r="215" spans="2:7" x14ac:dyDescent="0.25">
      <c r="B215" s="501" t="s">
        <v>1434</v>
      </c>
      <c r="C215" s="501" t="s">
        <v>1433</v>
      </c>
      <c r="D215" s="503">
        <v>1656.02</v>
      </c>
      <c r="E215" s="503">
        <v>27528.79</v>
      </c>
      <c r="F215" s="501">
        <v>0</v>
      </c>
      <c r="G215" s="501">
        <v>0</v>
      </c>
    </row>
    <row r="216" spans="2:7" x14ac:dyDescent="0.25">
      <c r="B216" s="501" t="s">
        <v>1435</v>
      </c>
      <c r="C216" s="501" t="s">
        <v>1436</v>
      </c>
      <c r="D216" s="501">
        <v>0</v>
      </c>
      <c r="E216" s="503">
        <v>3167.1</v>
      </c>
      <c r="F216" s="501">
        <v>62.94</v>
      </c>
      <c r="G216" s="503">
        <v>8215.35</v>
      </c>
    </row>
    <row r="217" spans="2:7" x14ac:dyDescent="0.25">
      <c r="B217" s="501" t="s">
        <v>1437</v>
      </c>
      <c r="C217" s="501" t="s">
        <v>1438</v>
      </c>
      <c r="D217" s="501">
        <v>0</v>
      </c>
      <c r="E217" s="503">
        <v>72000</v>
      </c>
      <c r="F217" s="503">
        <v>-47338721.409999996</v>
      </c>
      <c r="G217" s="503">
        <v>-61640389.719999999</v>
      </c>
    </row>
    <row r="218" spans="2:7" x14ac:dyDescent="0.25">
      <c r="B218" s="501" t="s">
        <v>1439</v>
      </c>
      <c r="C218" s="501" t="s">
        <v>1440</v>
      </c>
      <c r="D218" s="503">
        <v>28546</v>
      </c>
      <c r="E218" s="503">
        <v>66215</v>
      </c>
      <c r="F218" s="501">
        <v>0</v>
      </c>
      <c r="G218" s="501">
        <v>0</v>
      </c>
    </row>
    <row r="219" spans="2:7" x14ac:dyDescent="0.25">
      <c r="B219" s="501" t="s">
        <v>1441</v>
      </c>
      <c r="C219" s="501" t="s">
        <v>1442</v>
      </c>
      <c r="D219" s="501">
        <v>0</v>
      </c>
      <c r="E219" s="503">
        <v>-72000</v>
      </c>
      <c r="F219" s="503">
        <v>97902.28</v>
      </c>
      <c r="G219" s="503">
        <v>-627311.93000000005</v>
      </c>
    </row>
    <row r="220" spans="2:7" x14ac:dyDescent="0.25">
      <c r="B220" s="501" t="s">
        <v>1443</v>
      </c>
      <c r="C220" s="501" t="s">
        <v>1444</v>
      </c>
      <c r="D220" s="503">
        <v>572784.55000000005</v>
      </c>
      <c r="E220" s="503">
        <v>1303487.1499999999</v>
      </c>
      <c r="F220" s="501">
        <v>0</v>
      </c>
      <c r="G220" s="501">
        <v>0</v>
      </c>
    </row>
    <row r="221" spans="2:7" x14ac:dyDescent="0.25">
      <c r="B221" s="501" t="s">
        <v>1445</v>
      </c>
      <c r="C221" s="501" t="s">
        <v>1446</v>
      </c>
      <c r="D221" s="503">
        <v>233331.7</v>
      </c>
      <c r="E221" s="503">
        <v>1020074.48</v>
      </c>
      <c r="F221" s="503">
        <v>804052</v>
      </c>
      <c r="G221" s="503">
        <v>8668189</v>
      </c>
    </row>
    <row r="222" spans="2:7" x14ac:dyDescent="0.25">
      <c r="B222" s="501" t="s">
        <v>1447</v>
      </c>
      <c r="C222" s="501" t="s">
        <v>1448</v>
      </c>
      <c r="D222" s="501">
        <v>0</v>
      </c>
      <c r="E222" s="501">
        <v>0</v>
      </c>
      <c r="F222" s="503">
        <v>105344.88</v>
      </c>
      <c r="G222" s="503">
        <v>414286.09</v>
      </c>
    </row>
    <row r="223" spans="2:7" x14ac:dyDescent="0.25">
      <c r="B223" s="501" t="s">
        <v>1449</v>
      </c>
      <c r="C223" s="501" t="s">
        <v>1450</v>
      </c>
      <c r="D223" s="501">
        <v>0</v>
      </c>
      <c r="E223" s="503">
        <v>493589.85</v>
      </c>
      <c r="F223" s="501">
        <v>0</v>
      </c>
      <c r="G223" s="501">
        <v>0</v>
      </c>
    </row>
    <row r="224" spans="2:7" x14ac:dyDescent="0.25">
      <c r="B224" s="501" t="s">
        <v>1451</v>
      </c>
      <c r="C224" s="501" t="s">
        <v>1450</v>
      </c>
      <c r="D224" s="503">
        <v>3674801.43</v>
      </c>
      <c r="E224" s="503">
        <v>7990559.9500000002</v>
      </c>
      <c r="F224" s="501">
        <v>0</v>
      </c>
      <c r="G224" s="501">
        <v>0</v>
      </c>
    </row>
    <row r="225" spans="2:7" x14ac:dyDescent="0.25">
      <c r="B225" s="501" t="s">
        <v>1452</v>
      </c>
      <c r="C225" s="501" t="s">
        <v>1453</v>
      </c>
      <c r="D225" s="501">
        <v>0</v>
      </c>
      <c r="E225" s="503">
        <v>-324910.13</v>
      </c>
      <c r="F225" s="501">
        <v>0</v>
      </c>
      <c r="G225" s="501">
        <v>0</v>
      </c>
    </row>
    <row r="226" spans="2:7" x14ac:dyDescent="0.25">
      <c r="B226" s="501" t="s">
        <v>1454</v>
      </c>
      <c r="C226" s="501" t="s">
        <v>1453</v>
      </c>
      <c r="D226" s="503">
        <v>-3675435.71</v>
      </c>
      <c r="E226" s="503">
        <v>-7704946.9199999999</v>
      </c>
      <c r="F226" s="501">
        <v>0</v>
      </c>
      <c r="G226" s="501">
        <v>0</v>
      </c>
    </row>
    <row r="227" spans="2:7" x14ac:dyDescent="0.25">
      <c r="B227" s="501" t="s">
        <v>1455</v>
      </c>
      <c r="C227" s="501" t="s">
        <v>1456</v>
      </c>
      <c r="D227" s="501">
        <v>0</v>
      </c>
      <c r="E227" s="503">
        <v>-65465.01</v>
      </c>
      <c r="F227" s="501">
        <v>0</v>
      </c>
      <c r="G227" s="501">
        <v>0</v>
      </c>
    </row>
    <row r="228" spans="2:7" x14ac:dyDescent="0.25">
      <c r="B228" s="501"/>
      <c r="C228" s="501"/>
      <c r="D228" s="501"/>
      <c r="E228" s="501"/>
      <c r="F228" s="501"/>
      <c r="G228" s="501"/>
    </row>
    <row r="229" spans="2:7" x14ac:dyDescent="0.25">
      <c r="B229" s="501"/>
      <c r="C229" s="501" t="s">
        <v>1457</v>
      </c>
      <c r="D229" s="503">
        <v>-2068552.82</v>
      </c>
      <c r="E229" s="503">
        <v>52937880.619999997</v>
      </c>
      <c r="F229" s="503">
        <v>32650805.66</v>
      </c>
      <c r="G229" s="503">
        <v>218346915.69999999</v>
      </c>
    </row>
    <row r="230" spans="2:7" x14ac:dyDescent="0.25">
      <c r="B230" s="501" t="s">
        <v>1458</v>
      </c>
      <c r="C230" s="501" t="s">
        <v>1391</v>
      </c>
      <c r="D230" s="503">
        <v>3210.62</v>
      </c>
      <c r="E230" s="503">
        <v>15430.76</v>
      </c>
      <c r="F230" s="501">
        <v>0</v>
      </c>
      <c r="G230" s="501">
        <v>0</v>
      </c>
    </row>
    <row r="231" spans="2:7" x14ac:dyDescent="0.25">
      <c r="B231" s="501" t="s">
        <v>1459</v>
      </c>
      <c r="C231" s="501" t="s">
        <v>1408</v>
      </c>
      <c r="D231" s="503">
        <v>7115027.7400000002</v>
      </c>
      <c r="E231" s="503">
        <v>86630333.030000001</v>
      </c>
      <c r="F231" s="501">
        <v>0</v>
      </c>
      <c r="G231" s="501">
        <v>0</v>
      </c>
    </row>
    <row r="232" spans="2:7" x14ac:dyDescent="0.25">
      <c r="B232" s="501" t="s">
        <v>1460</v>
      </c>
      <c r="C232" s="501" t="s">
        <v>1410</v>
      </c>
      <c r="D232" s="503">
        <v>36095.129999999997</v>
      </c>
      <c r="E232" s="503">
        <v>352696.61</v>
      </c>
      <c r="F232" s="501">
        <v>0</v>
      </c>
      <c r="G232" s="501">
        <v>0</v>
      </c>
    </row>
    <row r="233" spans="2:7" x14ac:dyDescent="0.25">
      <c r="B233" s="501" t="s">
        <v>1461</v>
      </c>
      <c r="C233" s="501" t="s">
        <v>1413</v>
      </c>
      <c r="D233" s="503">
        <v>-21698.53</v>
      </c>
      <c r="E233" s="503">
        <v>619861.06000000006</v>
      </c>
      <c r="F233" s="501">
        <v>0</v>
      </c>
      <c r="G233" s="501">
        <v>0</v>
      </c>
    </row>
    <row r="234" spans="2:7" x14ac:dyDescent="0.25">
      <c r="B234" s="501" t="s">
        <v>1462</v>
      </c>
      <c r="C234" s="501" t="s">
        <v>1415</v>
      </c>
      <c r="D234" s="503">
        <v>1806009.83</v>
      </c>
      <c r="E234" s="503">
        <v>23592347.66</v>
      </c>
      <c r="F234" s="501">
        <v>0</v>
      </c>
      <c r="G234" s="501">
        <v>0</v>
      </c>
    </row>
    <row r="235" spans="2:7" x14ac:dyDescent="0.25">
      <c r="B235" s="501" t="s">
        <v>1463</v>
      </c>
      <c r="C235" s="501" t="s">
        <v>1464</v>
      </c>
      <c r="D235" s="503">
        <v>1144525.29</v>
      </c>
      <c r="E235" s="503">
        <v>18338393.219999999</v>
      </c>
      <c r="F235" s="503">
        <v>2273105.94</v>
      </c>
      <c r="G235" s="503">
        <v>12946406.08</v>
      </c>
    </row>
    <row r="236" spans="2:7" x14ac:dyDescent="0.25">
      <c r="B236" s="501" t="s">
        <v>1465</v>
      </c>
      <c r="C236" s="501" t="s">
        <v>1466</v>
      </c>
      <c r="D236" s="501">
        <v>0</v>
      </c>
      <c r="E236" s="501">
        <v>0</v>
      </c>
      <c r="F236" s="503">
        <v>6000</v>
      </c>
      <c r="G236" s="503">
        <v>18000</v>
      </c>
    </row>
    <row r="237" spans="2:7" x14ac:dyDescent="0.25">
      <c r="B237" s="501" t="s">
        <v>1467</v>
      </c>
      <c r="C237" s="501" t="s">
        <v>1468</v>
      </c>
      <c r="D237" s="503">
        <v>10230879.49</v>
      </c>
      <c r="E237" s="503">
        <v>24050168.739999998</v>
      </c>
      <c r="F237" s="503">
        <v>3646620.1</v>
      </c>
      <c r="G237" s="503">
        <v>13538898.279999999</v>
      </c>
    </row>
    <row r="238" spans="2:7" x14ac:dyDescent="0.25">
      <c r="B238" s="501" t="s">
        <v>1469</v>
      </c>
      <c r="C238" s="501" t="s">
        <v>1470</v>
      </c>
      <c r="D238" s="503">
        <v>-10230879.49</v>
      </c>
      <c r="E238" s="503">
        <v>-24050168.739999998</v>
      </c>
      <c r="F238" s="503">
        <v>-3646620.1</v>
      </c>
      <c r="G238" s="503">
        <v>-13538898.279999999</v>
      </c>
    </row>
    <row r="239" spans="2:7" x14ac:dyDescent="0.25">
      <c r="B239" s="501" t="s">
        <v>1471</v>
      </c>
      <c r="C239" s="501" t="s">
        <v>1470</v>
      </c>
      <c r="D239" s="503">
        <v>10230879.49</v>
      </c>
      <c r="E239" s="503">
        <v>24050168.739999998</v>
      </c>
      <c r="F239" s="503">
        <v>3646620.1</v>
      </c>
      <c r="G239" s="503">
        <v>13538898.279999999</v>
      </c>
    </row>
    <row r="240" spans="2:7" x14ac:dyDescent="0.25">
      <c r="B240" s="501" t="s">
        <v>1472</v>
      </c>
      <c r="C240" s="501" t="s">
        <v>1417</v>
      </c>
      <c r="D240" s="503">
        <v>3155476.89</v>
      </c>
      <c r="E240" s="503">
        <v>26445849.02</v>
      </c>
      <c r="F240" s="501">
        <v>0</v>
      </c>
      <c r="G240" s="501">
        <v>0</v>
      </c>
    </row>
    <row r="241" spans="2:7" x14ac:dyDescent="0.25">
      <c r="B241" s="501" t="s">
        <v>1473</v>
      </c>
      <c r="C241" s="501" t="s">
        <v>1419</v>
      </c>
      <c r="D241" s="503">
        <v>-141654.24</v>
      </c>
      <c r="E241" s="503">
        <v>-146863.07</v>
      </c>
      <c r="F241" s="501">
        <v>0</v>
      </c>
      <c r="G241" s="501">
        <v>0</v>
      </c>
    </row>
    <row r="242" spans="2:7" x14ac:dyDescent="0.25">
      <c r="B242" s="501" t="s">
        <v>1474</v>
      </c>
      <c r="C242" s="501" t="s">
        <v>1429</v>
      </c>
      <c r="D242" s="501">
        <v>-513.97</v>
      </c>
      <c r="E242" s="503">
        <v>420587.26</v>
      </c>
      <c r="F242" s="501">
        <v>0</v>
      </c>
      <c r="G242" s="501">
        <v>0</v>
      </c>
    </row>
    <row r="243" spans="2:7" x14ac:dyDescent="0.25">
      <c r="B243" s="501" t="s">
        <v>1475</v>
      </c>
      <c r="C243" s="501" t="s">
        <v>1431</v>
      </c>
      <c r="D243" s="503">
        <v>20291.240000000002</v>
      </c>
      <c r="E243" s="503">
        <v>3489054.13</v>
      </c>
      <c r="F243" s="501">
        <v>0</v>
      </c>
      <c r="G243" s="501">
        <v>0</v>
      </c>
    </row>
    <row r="244" spans="2:7" x14ac:dyDescent="0.25">
      <c r="B244" s="501" t="s">
        <v>1476</v>
      </c>
      <c r="C244" s="501" t="s">
        <v>1477</v>
      </c>
      <c r="D244" s="501">
        <v>0</v>
      </c>
      <c r="E244" s="501">
        <v>0</v>
      </c>
      <c r="F244" s="503">
        <v>-122588.47</v>
      </c>
      <c r="G244" s="503">
        <v>107826.65</v>
      </c>
    </row>
    <row r="245" spans="2:7" x14ac:dyDescent="0.25">
      <c r="B245" s="501" t="s">
        <v>1478</v>
      </c>
      <c r="C245" s="501" t="s">
        <v>1479</v>
      </c>
      <c r="D245" s="503">
        <v>315315.27</v>
      </c>
      <c r="E245" s="503">
        <v>4774257.05</v>
      </c>
      <c r="F245" s="501">
        <v>0</v>
      </c>
      <c r="G245" s="501">
        <v>0</v>
      </c>
    </row>
    <row r="246" spans="2:7" x14ac:dyDescent="0.25">
      <c r="B246" s="501" t="s">
        <v>1480</v>
      </c>
      <c r="C246" s="501" t="s">
        <v>1481</v>
      </c>
      <c r="D246" s="503">
        <v>1237451.17</v>
      </c>
      <c r="E246" s="503">
        <v>35570020.350000001</v>
      </c>
      <c r="F246" s="501">
        <v>0</v>
      </c>
      <c r="G246" s="501">
        <v>0</v>
      </c>
    </row>
    <row r="247" spans="2:7" x14ac:dyDescent="0.25">
      <c r="B247" s="501" t="s">
        <v>1482</v>
      </c>
      <c r="C247" s="501" t="s">
        <v>1456</v>
      </c>
      <c r="D247" s="503">
        <v>-1216816.8899999999</v>
      </c>
      <c r="E247" s="503">
        <v>-35483285.420000002</v>
      </c>
      <c r="F247" s="501">
        <v>0</v>
      </c>
      <c r="G247" s="501">
        <v>0</v>
      </c>
    </row>
    <row r="248" spans="2:7" x14ac:dyDescent="0.25">
      <c r="B248" s="501" t="s">
        <v>1483</v>
      </c>
      <c r="C248" s="501" t="s">
        <v>1484</v>
      </c>
      <c r="D248" s="503">
        <v>-4465.5600000000004</v>
      </c>
      <c r="E248" s="503">
        <v>-5387978.0199999996</v>
      </c>
      <c r="F248" s="501">
        <v>0</v>
      </c>
      <c r="G248" s="501">
        <v>0</v>
      </c>
    </row>
    <row r="249" spans="2:7" x14ac:dyDescent="0.25">
      <c r="B249" s="501"/>
      <c r="C249" s="501"/>
      <c r="D249" s="501"/>
      <c r="E249" s="501"/>
      <c r="F249" s="501"/>
      <c r="G249" s="501"/>
    </row>
    <row r="250" spans="2:7" x14ac:dyDescent="0.25">
      <c r="B250" s="501"/>
      <c r="C250" s="501" t="s">
        <v>1485</v>
      </c>
      <c r="D250" s="503">
        <v>23679133.48</v>
      </c>
      <c r="E250" s="503">
        <v>183280872.38</v>
      </c>
      <c r="F250" s="503">
        <v>5803137.5700000003</v>
      </c>
      <c r="G250" s="503">
        <v>26611131.010000002</v>
      </c>
    </row>
    <row r="251" spans="2:7" x14ac:dyDescent="0.25">
      <c r="B251" s="501" t="s">
        <v>1486</v>
      </c>
      <c r="C251" s="501" t="s">
        <v>1391</v>
      </c>
      <c r="D251" s="503">
        <v>6121.44</v>
      </c>
      <c r="E251" s="503">
        <v>82793.7</v>
      </c>
      <c r="F251" s="501">
        <v>0</v>
      </c>
      <c r="G251" s="501">
        <v>0</v>
      </c>
    </row>
    <row r="252" spans="2:7" x14ac:dyDescent="0.25">
      <c r="B252" s="501" t="s">
        <v>1487</v>
      </c>
      <c r="C252" s="501" t="s">
        <v>1408</v>
      </c>
      <c r="D252" s="503">
        <v>9583.11</v>
      </c>
      <c r="E252" s="503">
        <v>898176.71</v>
      </c>
      <c r="F252" s="501">
        <v>0</v>
      </c>
      <c r="G252" s="501">
        <v>0</v>
      </c>
    </row>
    <row r="253" spans="2:7" x14ac:dyDescent="0.25">
      <c r="B253" s="501" t="s">
        <v>1488</v>
      </c>
      <c r="C253" s="501" t="s">
        <v>1410</v>
      </c>
      <c r="D253" s="503">
        <v>257813.9</v>
      </c>
      <c r="E253" s="503">
        <v>4101279.29</v>
      </c>
      <c r="F253" s="501">
        <v>0</v>
      </c>
      <c r="G253" s="501">
        <v>0</v>
      </c>
    </row>
    <row r="254" spans="2:7" x14ac:dyDescent="0.25">
      <c r="B254" s="501" t="s">
        <v>1489</v>
      </c>
      <c r="C254" s="501" t="s">
        <v>1413</v>
      </c>
      <c r="D254" s="503">
        <v>5572.95</v>
      </c>
      <c r="E254" s="503">
        <v>59669.82</v>
      </c>
      <c r="F254" s="501">
        <v>0</v>
      </c>
      <c r="G254" s="501">
        <v>0</v>
      </c>
    </row>
    <row r="255" spans="2:7" x14ac:dyDescent="0.25">
      <c r="B255" s="501"/>
      <c r="C255" s="501"/>
      <c r="D255" s="501"/>
      <c r="E255" s="501"/>
      <c r="F255" s="501"/>
      <c r="G255" s="501"/>
    </row>
    <row r="256" spans="2:7" x14ac:dyDescent="0.25">
      <c r="B256" s="501"/>
      <c r="C256" s="501"/>
      <c r="D256" s="501"/>
      <c r="E256" s="501"/>
      <c r="F256" s="501"/>
      <c r="G256" s="501"/>
    </row>
    <row r="257" spans="2:7" x14ac:dyDescent="0.25">
      <c r="B257" s="501" t="s">
        <v>1240</v>
      </c>
      <c r="C257" s="501" t="s">
        <v>1241</v>
      </c>
      <c r="D257" s="501" t="s">
        <v>1242</v>
      </c>
      <c r="E257" s="501" t="s">
        <v>1243</v>
      </c>
      <c r="F257" s="501"/>
      <c r="G257" s="501" t="s">
        <v>1490</v>
      </c>
    </row>
    <row r="258" spans="2:7" x14ac:dyDescent="0.25">
      <c r="B258" s="501" t="s">
        <v>1245</v>
      </c>
      <c r="C258" s="501" t="s">
        <v>1246</v>
      </c>
      <c r="D258" s="501" t="s">
        <v>1247</v>
      </c>
      <c r="E258" s="501"/>
      <c r="F258" s="501"/>
      <c r="G258" s="501"/>
    </row>
    <row r="259" spans="2:7" x14ac:dyDescent="0.25">
      <c r="B259" s="501"/>
      <c r="C259" s="501" t="s">
        <v>1248</v>
      </c>
      <c r="D259" s="501" t="s">
        <v>1249</v>
      </c>
      <c r="E259" s="501" t="s">
        <v>1250</v>
      </c>
      <c r="F259" s="501" t="s">
        <v>1251</v>
      </c>
      <c r="G259" s="501">
        <v>9</v>
      </c>
    </row>
    <row r="260" spans="2:7" x14ac:dyDescent="0.25">
      <c r="B260" s="501"/>
      <c r="C260" s="501"/>
      <c r="D260" s="501"/>
      <c r="E260" s="501"/>
      <c r="F260" s="501"/>
      <c r="G260" s="501"/>
    </row>
    <row r="261" spans="2:7" x14ac:dyDescent="0.25">
      <c r="B261" s="501">
        <v>1</v>
      </c>
      <c r="C261" s="501">
        <v>1</v>
      </c>
      <c r="D261" s="501" t="s">
        <v>1252</v>
      </c>
      <c r="E261" s="501" t="s">
        <v>1253</v>
      </c>
      <c r="F261" s="501"/>
      <c r="G261" s="501" t="s">
        <v>1254</v>
      </c>
    </row>
    <row r="262" spans="2:7" x14ac:dyDescent="0.25">
      <c r="B262" s="501"/>
      <c r="C262" s="501"/>
      <c r="D262" s="501"/>
      <c r="E262" s="501"/>
      <c r="F262" s="501"/>
      <c r="G262" s="501"/>
    </row>
    <row r="263" spans="2:7" x14ac:dyDescent="0.25">
      <c r="B263" s="501" t="s">
        <v>1255</v>
      </c>
      <c r="C263" s="501" t="s">
        <v>1256</v>
      </c>
      <c r="D263" s="501" t="s">
        <v>1257</v>
      </c>
      <c r="E263" s="501" t="s">
        <v>1258</v>
      </c>
      <c r="F263" s="501" t="s">
        <v>1259</v>
      </c>
      <c r="G263" s="501" t="s">
        <v>1260</v>
      </c>
    </row>
    <row r="264" spans="2:7" x14ac:dyDescent="0.25">
      <c r="B264" s="501"/>
      <c r="C264" s="501"/>
      <c r="D264" s="501"/>
      <c r="E264" s="501"/>
      <c r="F264" s="501"/>
      <c r="G264" s="501"/>
    </row>
    <row r="265" spans="2:7" x14ac:dyDescent="0.25">
      <c r="B265" s="501"/>
      <c r="C265" s="501"/>
      <c r="D265" s="501"/>
      <c r="E265" s="501"/>
      <c r="F265" s="501"/>
      <c r="G265" s="501"/>
    </row>
    <row r="266" spans="2:7" x14ac:dyDescent="0.25">
      <c r="B266" s="501" t="s">
        <v>1491</v>
      </c>
      <c r="C266" s="501" t="s">
        <v>1415</v>
      </c>
      <c r="D266" s="503">
        <v>25219.91</v>
      </c>
      <c r="E266" s="503">
        <v>193047.49</v>
      </c>
      <c r="F266" s="501">
        <v>0</v>
      </c>
      <c r="G266" s="501">
        <v>0</v>
      </c>
    </row>
    <row r="267" spans="2:7" x14ac:dyDescent="0.25">
      <c r="B267" s="501" t="s">
        <v>1492</v>
      </c>
      <c r="C267" s="501" t="s">
        <v>1417</v>
      </c>
      <c r="D267" s="503">
        <v>24516293.809999999</v>
      </c>
      <c r="E267" s="503">
        <v>95231937.650000006</v>
      </c>
      <c r="F267" s="501">
        <v>0</v>
      </c>
      <c r="G267" s="501">
        <v>0</v>
      </c>
    </row>
    <row r="268" spans="2:7" x14ac:dyDescent="0.25">
      <c r="B268" s="501" t="s">
        <v>1493</v>
      </c>
      <c r="C268" s="501" t="s">
        <v>1419</v>
      </c>
      <c r="D268" s="501">
        <v>0</v>
      </c>
      <c r="E268" s="501">
        <v>-67.75</v>
      </c>
      <c r="F268" s="501">
        <v>0</v>
      </c>
      <c r="G268" s="501">
        <v>0</v>
      </c>
    </row>
    <row r="269" spans="2:7" x14ac:dyDescent="0.25">
      <c r="B269" s="501" t="s">
        <v>1494</v>
      </c>
      <c r="C269" s="501" t="s">
        <v>1421</v>
      </c>
      <c r="D269" s="503">
        <v>-63322.28</v>
      </c>
      <c r="E269" s="503">
        <v>-7730.73</v>
      </c>
      <c r="F269" s="501">
        <v>0</v>
      </c>
      <c r="G269" s="501">
        <v>0</v>
      </c>
    </row>
    <row r="270" spans="2:7" x14ac:dyDescent="0.25">
      <c r="B270" s="501" t="s">
        <v>1495</v>
      </c>
      <c r="C270" s="501" t="s">
        <v>1429</v>
      </c>
      <c r="D270" s="503">
        <v>662147.86</v>
      </c>
      <c r="E270" s="503">
        <v>662272.54</v>
      </c>
      <c r="F270" s="501">
        <v>0</v>
      </c>
      <c r="G270" s="501">
        <v>0</v>
      </c>
    </row>
    <row r="271" spans="2:7" x14ac:dyDescent="0.25">
      <c r="B271" s="501" t="s">
        <v>1496</v>
      </c>
      <c r="C271" s="501" t="s">
        <v>1431</v>
      </c>
      <c r="D271" s="503">
        <v>9951.1200000000008</v>
      </c>
      <c r="E271" s="503">
        <v>151674.71</v>
      </c>
      <c r="F271" s="501">
        <v>0</v>
      </c>
      <c r="G271" s="501">
        <v>0</v>
      </c>
    </row>
    <row r="272" spans="2:7" x14ac:dyDescent="0.25">
      <c r="B272" s="501" t="s">
        <v>1497</v>
      </c>
      <c r="C272" s="501" t="s">
        <v>1498</v>
      </c>
      <c r="D272" s="501">
        <v>0</v>
      </c>
      <c r="E272" s="501">
        <v>0</v>
      </c>
      <c r="F272" s="503">
        <v>-48784.73</v>
      </c>
      <c r="G272" s="503">
        <v>37882.25</v>
      </c>
    </row>
    <row r="273" spans="2:8" x14ac:dyDescent="0.25">
      <c r="B273" s="501" t="s">
        <v>1499</v>
      </c>
      <c r="C273" s="501" t="s">
        <v>1500</v>
      </c>
      <c r="D273" s="503">
        <v>1403310.83</v>
      </c>
      <c r="E273" s="503">
        <v>2500000</v>
      </c>
      <c r="F273" s="501">
        <v>0</v>
      </c>
      <c r="G273" s="501">
        <v>0</v>
      </c>
    </row>
    <row r="274" spans="2:8" x14ac:dyDescent="0.25">
      <c r="B274" s="831" t="s">
        <v>1501</v>
      </c>
      <c r="C274" s="831" t="s">
        <v>1444</v>
      </c>
      <c r="D274" s="832">
        <v>-2419461.31</v>
      </c>
      <c r="E274" s="832">
        <v>-12339993.99</v>
      </c>
      <c r="F274" s="831">
        <v>0</v>
      </c>
      <c r="G274" s="831">
        <v>0</v>
      </c>
      <c r="H274" t="s">
        <v>2775</v>
      </c>
    </row>
    <row r="275" spans="2:8" x14ac:dyDescent="0.25">
      <c r="B275" s="501" t="s">
        <v>1502</v>
      </c>
      <c r="C275" s="501" t="s">
        <v>1479</v>
      </c>
      <c r="D275" s="503">
        <v>296805.18</v>
      </c>
      <c r="E275" s="503">
        <v>3838696.62</v>
      </c>
      <c r="F275" s="501">
        <v>0</v>
      </c>
      <c r="G275" s="501">
        <v>0</v>
      </c>
    </row>
    <row r="276" spans="2:8" x14ac:dyDescent="0.25">
      <c r="B276" s="501" t="s">
        <v>1503</v>
      </c>
      <c r="C276" s="501" t="s">
        <v>1481</v>
      </c>
      <c r="D276" s="503">
        <v>213403.93</v>
      </c>
      <c r="E276" s="503">
        <v>17419729.809999999</v>
      </c>
      <c r="F276" s="501">
        <v>0</v>
      </c>
      <c r="G276" s="501">
        <v>0</v>
      </c>
    </row>
    <row r="277" spans="2:8" x14ac:dyDescent="0.25">
      <c r="B277" s="501" t="s">
        <v>1504</v>
      </c>
      <c r="C277" s="501" t="s">
        <v>1456</v>
      </c>
      <c r="D277" s="503">
        <v>-22736087.969999999</v>
      </c>
      <c r="E277" s="503">
        <v>-50271234.109999999</v>
      </c>
      <c r="F277" s="501">
        <v>0</v>
      </c>
      <c r="G277" s="501">
        <v>0</v>
      </c>
    </row>
    <row r="278" spans="2:8" x14ac:dyDescent="0.25">
      <c r="B278" s="501" t="s">
        <v>1505</v>
      </c>
      <c r="C278" s="501" t="s">
        <v>1506</v>
      </c>
      <c r="D278" s="503">
        <v>-972475.96</v>
      </c>
      <c r="E278" s="503">
        <v>-49432832.219999999</v>
      </c>
      <c r="F278" s="501">
        <v>0</v>
      </c>
      <c r="G278" s="501">
        <v>0</v>
      </c>
    </row>
    <row r="279" spans="2:8" x14ac:dyDescent="0.25">
      <c r="B279" s="501"/>
      <c r="C279" s="501"/>
      <c r="D279" s="501"/>
      <c r="E279" s="501"/>
      <c r="F279" s="501"/>
      <c r="G279" s="501"/>
    </row>
    <row r="280" spans="2:8" x14ac:dyDescent="0.25">
      <c r="B280" s="501"/>
      <c r="C280" s="501" t="s">
        <v>1507</v>
      </c>
      <c r="D280" s="503">
        <v>1214876.52</v>
      </c>
      <c r="E280" s="503">
        <v>13087419.539999999</v>
      </c>
      <c r="F280" s="503">
        <v>-48784.73</v>
      </c>
      <c r="G280" s="503">
        <v>37882.25</v>
      </c>
    </row>
    <row r="281" spans="2:8" x14ac:dyDescent="0.25">
      <c r="B281" s="501">
        <v>692</v>
      </c>
      <c r="C281" s="501" t="s">
        <v>1508</v>
      </c>
      <c r="D281" s="501"/>
      <c r="E281" s="501"/>
      <c r="F281" s="501"/>
      <c r="G281" s="501"/>
    </row>
    <row r="282" spans="2:8" x14ac:dyDescent="0.25">
      <c r="B282" s="501" t="s">
        <v>1509</v>
      </c>
      <c r="C282" s="501" t="s">
        <v>1510</v>
      </c>
      <c r="D282" s="503">
        <v>21071410.09</v>
      </c>
      <c r="E282" s="503">
        <v>29819727.27</v>
      </c>
      <c r="F282" s="503">
        <v>41694283.600000001</v>
      </c>
      <c r="G282" s="503">
        <v>55066499.549999997</v>
      </c>
    </row>
    <row r="283" spans="2:8" x14ac:dyDescent="0.25">
      <c r="B283" s="501"/>
      <c r="C283" s="501" t="s">
        <v>1511</v>
      </c>
      <c r="D283" s="503">
        <v>21071410.09</v>
      </c>
      <c r="E283" s="503">
        <v>29819727.27</v>
      </c>
      <c r="F283" s="503">
        <v>41694283.600000001</v>
      </c>
      <c r="G283" s="503">
        <v>55066499.549999997</v>
      </c>
    </row>
    <row r="284" spans="2:8" x14ac:dyDescent="0.25">
      <c r="B284" s="501">
        <v>699</v>
      </c>
      <c r="C284" s="501" t="s">
        <v>1512</v>
      </c>
      <c r="D284" s="501"/>
      <c r="E284" s="501"/>
      <c r="F284" s="501"/>
      <c r="G284" s="501"/>
    </row>
    <row r="285" spans="2:8" x14ac:dyDescent="0.25">
      <c r="B285" s="501" t="s">
        <v>1513</v>
      </c>
      <c r="C285" s="501" t="s">
        <v>1506</v>
      </c>
      <c r="D285" s="501">
        <v>0</v>
      </c>
      <c r="E285" s="503">
        <v>-186368.32</v>
      </c>
      <c r="F285" s="503">
        <v>-19261130.550000001</v>
      </c>
      <c r="G285" s="503">
        <v>-27641123.239999998</v>
      </c>
    </row>
    <row r="286" spans="2:8" x14ac:dyDescent="0.25">
      <c r="B286" s="501"/>
      <c r="C286" s="501" t="s">
        <v>1514</v>
      </c>
      <c r="D286" s="501">
        <v>0</v>
      </c>
      <c r="E286" s="503">
        <v>-186368.32</v>
      </c>
      <c r="F286" s="503">
        <v>-19261130.550000001</v>
      </c>
      <c r="G286" s="503">
        <v>-27641123.239999998</v>
      </c>
    </row>
    <row r="287" spans="2:8" x14ac:dyDescent="0.25">
      <c r="B287" s="501"/>
      <c r="C287" s="501" t="s">
        <v>1515</v>
      </c>
      <c r="D287" s="503">
        <v>43896867.270000003</v>
      </c>
      <c r="E287" s="503">
        <v>278939531.49000001</v>
      </c>
      <c r="F287" s="503">
        <v>60838311.549999997</v>
      </c>
      <c r="G287" s="503">
        <v>272421305.26999998</v>
      </c>
    </row>
    <row r="288" spans="2:8" x14ac:dyDescent="0.25">
      <c r="B288" s="831" t="s">
        <v>1501</v>
      </c>
      <c r="C288" s="831" t="s">
        <v>1444</v>
      </c>
      <c r="D288" s="832">
        <v>-2419461.31</v>
      </c>
      <c r="E288" s="832">
        <v>-12339993.99</v>
      </c>
      <c r="F288" s="831">
        <v>0</v>
      </c>
      <c r="G288" s="831">
        <v>0</v>
      </c>
    </row>
    <row r="289" spans="2:7" x14ac:dyDescent="0.25">
      <c r="B289" s="833" t="s">
        <v>2776</v>
      </c>
      <c r="C289" s="831" t="s">
        <v>1515</v>
      </c>
      <c r="D289" s="831">
        <f>D287-D288</f>
        <v>46316328.580000006</v>
      </c>
      <c r="E289" s="831">
        <f t="shared" ref="E289:G289" si="0">E287-E288</f>
        <v>291279525.48000002</v>
      </c>
      <c r="F289" s="831">
        <f t="shared" si="0"/>
        <v>60838311.549999997</v>
      </c>
      <c r="G289" s="831">
        <f t="shared" si="0"/>
        <v>272421305.26999998</v>
      </c>
    </row>
    <row r="290" spans="2:7" x14ac:dyDescent="0.25">
      <c r="B290" s="501"/>
      <c r="C290" s="501"/>
      <c r="D290" s="501"/>
      <c r="E290" s="501"/>
      <c r="F290" s="501"/>
      <c r="G290" s="501"/>
    </row>
    <row r="291" spans="2:7" x14ac:dyDescent="0.25">
      <c r="B291" s="501"/>
      <c r="C291" s="501" t="s">
        <v>1516</v>
      </c>
      <c r="D291" s="503">
        <v>159180603.50999999</v>
      </c>
      <c r="E291" s="503">
        <v>1711327000.55</v>
      </c>
      <c r="F291" s="503">
        <v>175693010.11000001</v>
      </c>
      <c r="G291" s="503">
        <v>1648431877.6400001</v>
      </c>
    </row>
    <row r="292" spans="2:7" x14ac:dyDescent="0.25">
      <c r="B292" s="831" t="s">
        <v>1501</v>
      </c>
      <c r="C292" s="831" t="s">
        <v>1444</v>
      </c>
      <c r="D292" s="832">
        <v>-2419461.31</v>
      </c>
      <c r="E292" s="832">
        <v>-12339993.99</v>
      </c>
      <c r="F292" s="503"/>
      <c r="G292" s="503"/>
    </row>
    <row r="293" spans="2:7" x14ac:dyDescent="0.25">
      <c r="B293" s="833" t="s">
        <v>2776</v>
      </c>
      <c r="C293" s="831" t="s">
        <v>1516</v>
      </c>
      <c r="D293" s="831">
        <f>D291-D292</f>
        <v>161600064.81999999</v>
      </c>
      <c r="E293" s="831">
        <f>E291-E292</f>
        <v>1723666994.54</v>
      </c>
      <c r="F293" s="831">
        <f t="shared" ref="F293:G293" si="1">F291-F292</f>
        <v>175693010.11000001</v>
      </c>
      <c r="G293" s="831">
        <f t="shared" si="1"/>
        <v>1648431877.6400001</v>
      </c>
    </row>
    <row r="294" spans="2:7" x14ac:dyDescent="0.25">
      <c r="B294" s="501" t="s">
        <v>1517</v>
      </c>
      <c r="C294" s="501" t="s">
        <v>1518</v>
      </c>
      <c r="D294" s="501"/>
      <c r="E294" s="501"/>
      <c r="F294" s="501"/>
      <c r="G294" s="501"/>
    </row>
    <row r="295" spans="2:7" x14ac:dyDescent="0.25">
      <c r="B295" s="501" t="s">
        <v>1519</v>
      </c>
      <c r="C295" s="501" t="s">
        <v>473</v>
      </c>
      <c r="D295" s="503">
        <v>2803115.58</v>
      </c>
      <c r="E295" s="503">
        <v>32342997.75</v>
      </c>
      <c r="F295" s="503">
        <v>3416439.85</v>
      </c>
      <c r="G295" s="503">
        <v>31448316.890000001</v>
      </c>
    </row>
    <row r="296" spans="2:7" x14ac:dyDescent="0.25">
      <c r="B296" s="501" t="s">
        <v>1520</v>
      </c>
      <c r="C296" s="501" t="s">
        <v>1521</v>
      </c>
      <c r="D296" s="501">
        <v>0</v>
      </c>
      <c r="E296" s="503">
        <v>-177727.58</v>
      </c>
      <c r="F296" s="501">
        <v>0</v>
      </c>
      <c r="G296" s="501">
        <v>0</v>
      </c>
    </row>
    <row r="297" spans="2:7" x14ac:dyDescent="0.25">
      <c r="B297" s="501" t="s">
        <v>1522</v>
      </c>
      <c r="C297" s="501" t="s">
        <v>1523</v>
      </c>
      <c r="D297" s="503">
        <v>10321482.24</v>
      </c>
      <c r="E297" s="503">
        <v>121618146.58</v>
      </c>
      <c r="F297" s="503">
        <v>10588742.07</v>
      </c>
      <c r="G297" s="503">
        <v>113097387.70999999</v>
      </c>
    </row>
    <row r="298" spans="2:7" x14ac:dyDescent="0.25">
      <c r="B298" s="501" t="s">
        <v>1524</v>
      </c>
      <c r="C298" s="501" t="s">
        <v>1525</v>
      </c>
      <c r="D298" s="503">
        <v>14025635.619999999</v>
      </c>
      <c r="E298" s="503">
        <v>169032601.31999999</v>
      </c>
      <c r="F298" s="503">
        <v>13951419.119999999</v>
      </c>
      <c r="G298" s="503">
        <v>148751966.93000001</v>
      </c>
    </row>
    <row r="299" spans="2:7" x14ac:dyDescent="0.25">
      <c r="B299" s="501" t="s">
        <v>1526</v>
      </c>
      <c r="C299" s="501" t="s">
        <v>1527</v>
      </c>
      <c r="D299" s="503">
        <v>6141405.4800000004</v>
      </c>
      <c r="E299" s="503">
        <v>70117595.439999998</v>
      </c>
      <c r="F299" s="503">
        <v>5614587.2199999997</v>
      </c>
      <c r="G299" s="503">
        <v>61677109.299999997</v>
      </c>
    </row>
    <row r="300" spans="2:7" x14ac:dyDescent="0.25">
      <c r="B300" s="501" t="s">
        <v>1528</v>
      </c>
      <c r="C300" s="501" t="s">
        <v>1529</v>
      </c>
      <c r="D300" s="503">
        <v>14521890.51</v>
      </c>
      <c r="E300" s="503">
        <v>169883381.91</v>
      </c>
      <c r="F300" s="503">
        <v>13848576.67</v>
      </c>
      <c r="G300" s="503">
        <v>160584066.71000001</v>
      </c>
    </row>
    <row r="301" spans="2:7" x14ac:dyDescent="0.25">
      <c r="B301" s="501" t="s">
        <v>1530</v>
      </c>
      <c r="C301" s="501" t="s">
        <v>1531</v>
      </c>
      <c r="D301" s="503">
        <v>655982.92000000004</v>
      </c>
      <c r="E301" s="503">
        <v>7328743.4000000004</v>
      </c>
      <c r="F301" s="503">
        <v>596754.04</v>
      </c>
      <c r="G301" s="503">
        <v>6416554.1100000003</v>
      </c>
    </row>
    <row r="302" spans="2:7" x14ac:dyDescent="0.25">
      <c r="B302" s="501" t="s">
        <v>1532</v>
      </c>
      <c r="C302" s="501" t="s">
        <v>1533</v>
      </c>
      <c r="D302" s="503">
        <v>5763428.4000000004</v>
      </c>
      <c r="E302" s="503">
        <v>67615772.829999998</v>
      </c>
      <c r="F302" s="503">
        <v>5711323.0499999998</v>
      </c>
      <c r="G302" s="503">
        <v>61986928.039999999</v>
      </c>
    </row>
    <row r="303" spans="2:7" x14ac:dyDescent="0.25">
      <c r="B303" s="501" t="s">
        <v>1534</v>
      </c>
      <c r="C303" s="501" t="s">
        <v>1535</v>
      </c>
      <c r="D303" s="501">
        <v>0</v>
      </c>
      <c r="E303" s="501">
        <v>0</v>
      </c>
      <c r="F303" s="501">
        <v>0</v>
      </c>
      <c r="G303" s="501">
        <v>292.5</v>
      </c>
    </row>
    <row r="304" spans="2:7" x14ac:dyDescent="0.25">
      <c r="B304" s="501" t="s">
        <v>1536</v>
      </c>
      <c r="C304" s="501" t="s">
        <v>1537</v>
      </c>
      <c r="D304" s="503">
        <v>-126534.51</v>
      </c>
      <c r="E304" s="503">
        <v>-1433430.96</v>
      </c>
      <c r="F304" s="503">
        <v>-113782.03</v>
      </c>
      <c r="G304" s="503">
        <v>-1329924.67</v>
      </c>
    </row>
    <row r="305" spans="1:7" x14ac:dyDescent="0.25">
      <c r="B305" s="501"/>
      <c r="C305" s="501"/>
      <c r="D305" s="501"/>
      <c r="E305" s="501"/>
      <c r="F305" s="501"/>
      <c r="G305" s="501"/>
    </row>
    <row r="306" spans="1:7" x14ac:dyDescent="0.25">
      <c r="B306" s="501"/>
      <c r="C306" s="501" t="s">
        <v>1538</v>
      </c>
      <c r="D306" s="503">
        <v>54106406.240000002</v>
      </c>
      <c r="E306" s="830">
        <v>636328080.69000006</v>
      </c>
      <c r="F306" s="503">
        <v>53614059.990000002</v>
      </c>
      <c r="G306" s="503">
        <v>582632697.51999998</v>
      </c>
    </row>
    <row r="307" spans="1:7" x14ac:dyDescent="0.25">
      <c r="A307" s="173" t="s">
        <v>313</v>
      </c>
      <c r="B307" s="501" t="s">
        <v>1539</v>
      </c>
      <c r="C307" s="501" t="s">
        <v>3</v>
      </c>
      <c r="D307" s="503">
        <v>1929091.17</v>
      </c>
      <c r="E307" s="503">
        <v>22577397.690000001</v>
      </c>
      <c r="F307" s="503">
        <v>1809894.19</v>
      </c>
      <c r="G307" s="503">
        <v>17527998.18</v>
      </c>
    </row>
    <row r="308" spans="1:7" x14ac:dyDescent="0.25">
      <c r="A308" s="173" t="s">
        <v>307</v>
      </c>
      <c r="B308" s="501" t="s">
        <v>1540</v>
      </c>
      <c r="C308" s="501" t="s">
        <v>1541</v>
      </c>
      <c r="D308" s="503">
        <v>3881893.17</v>
      </c>
      <c r="E308" s="503">
        <v>47170786.009999998</v>
      </c>
      <c r="F308" s="503">
        <v>3730631.81</v>
      </c>
      <c r="G308" s="503">
        <v>42391016.340000004</v>
      </c>
    </row>
    <row r="309" spans="1:7" x14ac:dyDescent="0.25">
      <c r="A309" s="173" t="s">
        <v>308</v>
      </c>
      <c r="B309" s="501" t="s">
        <v>1542</v>
      </c>
      <c r="C309" s="501" t="s">
        <v>308</v>
      </c>
      <c r="D309" s="503">
        <v>60006.66</v>
      </c>
      <c r="E309" s="503">
        <v>630494.97</v>
      </c>
      <c r="F309" s="503">
        <v>25002.02</v>
      </c>
      <c r="G309" s="503">
        <v>354283.06</v>
      </c>
    </row>
    <row r="310" spans="1:7" x14ac:dyDescent="0.25">
      <c r="A310" s="173" t="s">
        <v>313</v>
      </c>
      <c r="B310" s="501" t="s">
        <v>1543</v>
      </c>
      <c r="C310" s="501" t="s">
        <v>1544</v>
      </c>
      <c r="D310" s="503">
        <v>56390.27</v>
      </c>
      <c r="E310" s="503">
        <v>530662.51</v>
      </c>
      <c r="F310" s="501">
        <v>0</v>
      </c>
      <c r="G310" s="501">
        <v>0</v>
      </c>
    </row>
    <row r="311" spans="1:7" x14ac:dyDescent="0.25">
      <c r="A311" s="177" t="s">
        <v>309</v>
      </c>
      <c r="B311" s="501" t="s">
        <v>1545</v>
      </c>
      <c r="C311" s="501" t="s">
        <v>309</v>
      </c>
      <c r="D311" s="503">
        <v>1150199.43</v>
      </c>
      <c r="E311" s="503">
        <v>4080454.12</v>
      </c>
      <c r="F311" s="503">
        <v>160640.09</v>
      </c>
      <c r="G311" s="503">
        <v>2624408.92</v>
      </c>
    </row>
    <row r="312" spans="1:7" x14ac:dyDescent="0.25">
      <c r="A312" s="173" t="s">
        <v>310</v>
      </c>
      <c r="B312" s="501" t="s">
        <v>1546</v>
      </c>
      <c r="C312" s="501" t="s">
        <v>1547</v>
      </c>
      <c r="D312" s="503">
        <v>436431.18</v>
      </c>
      <c r="E312" s="503">
        <v>6744891.2599999998</v>
      </c>
      <c r="F312" s="503">
        <v>441153.2</v>
      </c>
      <c r="G312" s="503">
        <v>4671755.57</v>
      </c>
    </row>
    <row r="313" spans="1:7" x14ac:dyDescent="0.25">
      <c r="A313" s="173" t="s">
        <v>310</v>
      </c>
      <c r="B313" s="501" t="s">
        <v>1548</v>
      </c>
      <c r="C313" s="501" t="s">
        <v>1549</v>
      </c>
      <c r="D313" s="503">
        <v>6324485.4100000001</v>
      </c>
      <c r="E313" s="503">
        <v>65620361.609999999</v>
      </c>
      <c r="F313" s="503">
        <v>5781998.8700000001</v>
      </c>
      <c r="G313" s="503">
        <v>64511981.840000004</v>
      </c>
    </row>
    <row r="314" spans="1:7" x14ac:dyDescent="0.25">
      <c r="A314" s="173" t="s">
        <v>310</v>
      </c>
      <c r="B314" s="501" t="s">
        <v>1550</v>
      </c>
      <c r="C314" s="501" t="s">
        <v>1551</v>
      </c>
      <c r="D314" s="503">
        <v>1249742.71</v>
      </c>
      <c r="E314" s="503">
        <v>11515152.939999999</v>
      </c>
      <c r="F314" s="501">
        <v>0</v>
      </c>
      <c r="G314" s="501">
        <v>0</v>
      </c>
    </row>
    <row r="315" spans="1:7" x14ac:dyDescent="0.25">
      <c r="A315" s="173" t="s">
        <v>310</v>
      </c>
      <c r="B315" s="501" t="s">
        <v>1552</v>
      </c>
      <c r="C315" s="501" t="s">
        <v>1553</v>
      </c>
      <c r="D315" s="503">
        <v>454262.72</v>
      </c>
      <c r="E315" s="503">
        <v>5141536.9800000004</v>
      </c>
      <c r="F315" s="503">
        <v>447468.32</v>
      </c>
      <c r="G315" s="503">
        <v>4718538.37</v>
      </c>
    </row>
    <row r="316" spans="1:7" x14ac:dyDescent="0.25">
      <c r="A316" s="173" t="s">
        <v>310</v>
      </c>
      <c r="B316" s="501" t="s">
        <v>1554</v>
      </c>
      <c r="C316" s="501" t="s">
        <v>1555</v>
      </c>
      <c r="D316" s="503">
        <v>519254.85</v>
      </c>
      <c r="E316" s="503">
        <v>6396098.75</v>
      </c>
      <c r="F316" s="503">
        <v>737168.59</v>
      </c>
      <c r="G316" s="503">
        <v>5945181.9699999997</v>
      </c>
    </row>
    <row r="317" spans="1:7" x14ac:dyDescent="0.25">
      <c r="A317" s="173" t="s">
        <v>310</v>
      </c>
      <c r="B317" s="501" t="s">
        <v>1556</v>
      </c>
      <c r="C317" s="501" t="s">
        <v>1557</v>
      </c>
      <c r="D317" s="503">
        <v>42941.11</v>
      </c>
      <c r="E317" s="503">
        <v>695215</v>
      </c>
      <c r="F317" s="503">
        <v>53523.55</v>
      </c>
      <c r="G317" s="503">
        <v>643208.26</v>
      </c>
    </row>
    <row r="318" spans="1:7" x14ac:dyDescent="0.25">
      <c r="A318" s="173" t="s">
        <v>310</v>
      </c>
      <c r="B318" s="501" t="s">
        <v>1558</v>
      </c>
      <c r="C318" s="501" t="s">
        <v>1559</v>
      </c>
      <c r="D318" s="503">
        <v>-1398951.79</v>
      </c>
      <c r="E318" s="503">
        <v>-13191921.17</v>
      </c>
      <c r="F318" s="503">
        <v>-786456.68</v>
      </c>
      <c r="G318" s="503">
        <v>-9182529.5899999999</v>
      </c>
    </row>
    <row r="319" spans="1:7" x14ac:dyDescent="0.25">
      <c r="B319" s="501"/>
      <c r="C319" s="501"/>
      <c r="D319" s="501"/>
      <c r="E319" s="501"/>
      <c r="F319" s="501"/>
      <c r="G319" s="501"/>
    </row>
    <row r="320" spans="1:7" x14ac:dyDescent="0.25">
      <c r="B320" s="501"/>
      <c r="C320" s="501"/>
      <c r="D320" s="501"/>
      <c r="E320" s="501"/>
      <c r="F320" s="501"/>
      <c r="G320" s="501"/>
    </row>
    <row r="321" spans="1:7" x14ac:dyDescent="0.25">
      <c r="B321" s="501" t="s">
        <v>1240</v>
      </c>
      <c r="C321" s="501" t="s">
        <v>1241</v>
      </c>
      <c r="D321" s="501" t="s">
        <v>1242</v>
      </c>
      <c r="E321" s="501" t="s">
        <v>1243</v>
      </c>
      <c r="F321" s="501"/>
      <c r="G321" s="501" t="s">
        <v>1560</v>
      </c>
    </row>
    <row r="322" spans="1:7" x14ac:dyDescent="0.25">
      <c r="B322" s="501" t="s">
        <v>1245</v>
      </c>
      <c r="C322" s="501" t="s">
        <v>1246</v>
      </c>
      <c r="D322" s="501" t="s">
        <v>1247</v>
      </c>
      <c r="E322" s="501"/>
      <c r="F322" s="501"/>
      <c r="G322" s="501"/>
    </row>
    <row r="323" spans="1:7" x14ac:dyDescent="0.25">
      <c r="B323" s="501"/>
      <c r="C323" s="501" t="s">
        <v>1248</v>
      </c>
      <c r="D323" s="501" t="s">
        <v>1249</v>
      </c>
      <c r="E323" s="501" t="s">
        <v>1250</v>
      </c>
      <c r="F323" s="501" t="s">
        <v>1251</v>
      </c>
      <c r="G323" s="501">
        <v>9</v>
      </c>
    </row>
    <row r="324" spans="1:7" x14ac:dyDescent="0.25">
      <c r="B324" s="501"/>
      <c r="C324" s="501"/>
      <c r="D324" s="501"/>
      <c r="E324" s="501"/>
      <c r="F324" s="501"/>
      <c r="G324" s="501"/>
    </row>
    <row r="325" spans="1:7" x14ac:dyDescent="0.25">
      <c r="B325" s="501">
        <v>1</v>
      </c>
      <c r="C325" s="501">
        <v>1</v>
      </c>
      <c r="D325" s="501" t="s">
        <v>1252</v>
      </c>
      <c r="E325" s="501" t="s">
        <v>1253</v>
      </c>
      <c r="F325" s="501"/>
      <c r="G325" s="501" t="s">
        <v>1254</v>
      </c>
    </row>
    <row r="326" spans="1:7" x14ac:dyDescent="0.25">
      <c r="B326" s="501"/>
      <c r="C326" s="501"/>
      <c r="D326" s="501"/>
      <c r="E326" s="501"/>
      <c r="F326" s="501"/>
      <c r="G326" s="501"/>
    </row>
    <row r="327" spans="1:7" x14ac:dyDescent="0.25">
      <c r="B327" s="501" t="s">
        <v>1255</v>
      </c>
      <c r="C327" s="501" t="s">
        <v>1256</v>
      </c>
      <c r="D327" s="501" t="s">
        <v>1257</v>
      </c>
      <c r="E327" s="501" t="s">
        <v>1258</v>
      </c>
      <c r="F327" s="501" t="s">
        <v>1259</v>
      </c>
      <c r="G327" s="501" t="s">
        <v>1260</v>
      </c>
    </row>
    <row r="328" spans="1:7" x14ac:dyDescent="0.25">
      <c r="B328" s="501"/>
      <c r="C328" s="501"/>
      <c r="D328" s="501"/>
      <c r="E328" s="501"/>
      <c r="F328" s="501"/>
      <c r="G328" s="501"/>
    </row>
    <row r="329" spans="1:7" x14ac:dyDescent="0.25">
      <c r="B329" s="501"/>
      <c r="C329" s="501"/>
      <c r="D329" s="501"/>
      <c r="E329" s="501"/>
      <c r="F329" s="501"/>
      <c r="G329" s="501"/>
    </row>
    <row r="330" spans="1:7" x14ac:dyDescent="0.25">
      <c r="A330" s="173" t="s">
        <v>310</v>
      </c>
      <c r="B330" s="501" t="s">
        <v>1561</v>
      </c>
      <c r="C330" s="501" t="s">
        <v>1562</v>
      </c>
      <c r="D330" s="501">
        <v>0</v>
      </c>
      <c r="E330" s="503">
        <v>78625.03</v>
      </c>
      <c r="F330" s="503">
        <v>34480.730000000003</v>
      </c>
      <c r="G330" s="503">
        <v>559409.22</v>
      </c>
    </row>
    <row r="331" spans="1:7" x14ac:dyDescent="0.25">
      <c r="A331" s="173" t="s">
        <v>310</v>
      </c>
      <c r="B331" s="501" t="s">
        <v>1563</v>
      </c>
      <c r="C331" s="501" t="s">
        <v>1564</v>
      </c>
      <c r="D331" s="503">
        <v>785404.74</v>
      </c>
      <c r="E331" s="503">
        <v>4826970.5999999996</v>
      </c>
      <c r="F331" s="501">
        <v>0</v>
      </c>
      <c r="G331" s="501">
        <v>0</v>
      </c>
    </row>
    <row r="332" spans="1:7" x14ac:dyDescent="0.25">
      <c r="A332" s="173" t="s">
        <v>310</v>
      </c>
      <c r="B332" s="501" t="s">
        <v>1565</v>
      </c>
      <c r="C332" s="501" t="s">
        <v>1566</v>
      </c>
      <c r="D332" s="503">
        <v>-42277</v>
      </c>
      <c r="E332" s="503">
        <v>-474559.7</v>
      </c>
      <c r="F332" s="503">
        <v>-27637.17</v>
      </c>
      <c r="G332" s="503">
        <v>-298444.14</v>
      </c>
    </row>
    <row r="333" spans="1:7" x14ac:dyDescent="0.25">
      <c r="A333" s="173" t="s">
        <v>312</v>
      </c>
      <c r="B333" s="501" t="s">
        <v>1567</v>
      </c>
      <c r="C333" s="501" t="s">
        <v>1568</v>
      </c>
      <c r="D333" s="503">
        <v>2794662.77</v>
      </c>
      <c r="E333" s="503">
        <v>33074738.399999999</v>
      </c>
      <c r="F333" s="503">
        <v>2536007.85</v>
      </c>
      <c r="G333" s="503">
        <v>29941871.260000002</v>
      </c>
    </row>
    <row r="334" spans="1:7" x14ac:dyDescent="0.25">
      <c r="A334" s="173" t="s">
        <v>313</v>
      </c>
      <c r="B334" s="501" t="s">
        <v>1569</v>
      </c>
      <c r="C334" s="501" t="s">
        <v>1570</v>
      </c>
      <c r="D334" s="503">
        <v>368844.37</v>
      </c>
      <c r="E334" s="503">
        <v>3683542.59</v>
      </c>
      <c r="F334" s="503">
        <v>179389.14</v>
      </c>
      <c r="G334" s="503">
        <v>3006614.43</v>
      </c>
    </row>
    <row r="335" spans="1:7" x14ac:dyDescent="0.25">
      <c r="A335" s="173" t="s">
        <v>313</v>
      </c>
      <c r="B335" s="501" t="s">
        <v>1571</v>
      </c>
      <c r="C335" s="501" t="s">
        <v>1572</v>
      </c>
      <c r="D335" s="503">
        <v>-426317.96</v>
      </c>
      <c r="E335" s="830">
        <v>9179.44</v>
      </c>
      <c r="F335" s="503">
        <v>-1044392.61</v>
      </c>
      <c r="G335" s="830">
        <v>5777788.4800000004</v>
      </c>
    </row>
    <row r="336" spans="1:7" x14ac:dyDescent="0.25">
      <c r="A336" s="173" t="s">
        <v>313</v>
      </c>
      <c r="B336" s="501" t="s">
        <v>1573</v>
      </c>
      <c r="C336" s="501" t="s">
        <v>1574</v>
      </c>
      <c r="D336" s="503">
        <v>144878.22</v>
      </c>
      <c r="E336" s="503">
        <v>1186985.92</v>
      </c>
      <c r="F336" s="503">
        <v>24872.25</v>
      </c>
      <c r="G336" s="503">
        <v>241322.77</v>
      </c>
    </row>
    <row r="337" spans="1:7" x14ac:dyDescent="0.25">
      <c r="A337" s="173" t="s">
        <v>313</v>
      </c>
      <c r="B337" s="501" t="s">
        <v>1575</v>
      </c>
      <c r="C337" s="501" t="s">
        <v>1576</v>
      </c>
      <c r="D337" s="503">
        <v>46814.3</v>
      </c>
      <c r="E337" s="503">
        <v>552242</v>
      </c>
      <c r="F337" s="503">
        <v>31900.32</v>
      </c>
      <c r="G337" s="503">
        <v>489761.81</v>
      </c>
    </row>
    <row r="338" spans="1:7" x14ac:dyDescent="0.25">
      <c r="A338" s="173" t="s">
        <v>313</v>
      </c>
      <c r="B338" s="501" t="s">
        <v>1577</v>
      </c>
      <c r="C338" s="501" t="s">
        <v>1578</v>
      </c>
      <c r="D338" s="503">
        <v>-2888037.69</v>
      </c>
      <c r="E338" s="830">
        <v>-29484459</v>
      </c>
      <c r="F338" s="503">
        <v>-2414041.2400000002</v>
      </c>
      <c r="G338" s="830">
        <v>-22782147.059999999</v>
      </c>
    </row>
    <row r="339" spans="1:7" x14ac:dyDescent="0.25">
      <c r="B339" s="501"/>
      <c r="C339" s="501"/>
      <c r="D339" s="501"/>
      <c r="E339" s="501"/>
      <c r="F339" s="501"/>
      <c r="G339" s="501"/>
    </row>
    <row r="340" spans="1:7" x14ac:dyDescent="0.25">
      <c r="B340" s="501"/>
      <c r="C340" s="501" t="s">
        <v>1579</v>
      </c>
      <c r="D340" s="503">
        <v>15489718.640000001</v>
      </c>
      <c r="E340" s="830">
        <v>171364395.94999999</v>
      </c>
      <c r="F340" s="503">
        <v>11721603.23</v>
      </c>
      <c r="G340" s="503">
        <v>151142019.69</v>
      </c>
    </row>
    <row r="341" spans="1:7" x14ac:dyDescent="0.25">
      <c r="B341" s="501" t="s">
        <v>1580</v>
      </c>
      <c r="C341" s="501" t="s">
        <v>1581</v>
      </c>
      <c r="D341" s="503">
        <v>2210812.62</v>
      </c>
      <c r="E341" s="503">
        <v>30420941.800000001</v>
      </c>
      <c r="F341" s="503">
        <v>2147555.9500000002</v>
      </c>
      <c r="G341" s="503">
        <v>17907244.66</v>
      </c>
    </row>
    <row r="342" spans="1:7" x14ac:dyDescent="0.25">
      <c r="B342" s="501"/>
      <c r="C342" s="501"/>
      <c r="D342" s="501"/>
      <c r="E342" s="501"/>
      <c r="F342" s="501"/>
      <c r="G342" s="501"/>
    </row>
    <row r="343" spans="1:7" x14ac:dyDescent="0.25">
      <c r="B343" s="501"/>
      <c r="C343" s="501" t="s">
        <v>1582</v>
      </c>
      <c r="D343" s="503">
        <v>2210812.62</v>
      </c>
      <c r="E343" s="834">
        <v>30420941.800000001</v>
      </c>
      <c r="F343" s="503">
        <v>2147555.9500000002</v>
      </c>
      <c r="G343" s="503">
        <v>17907244.66</v>
      </c>
    </row>
    <row r="344" spans="1:7" x14ac:dyDescent="0.25">
      <c r="B344" s="501" t="s">
        <v>1583</v>
      </c>
      <c r="C344" s="501" t="s">
        <v>1584</v>
      </c>
      <c r="D344" s="503">
        <v>150388</v>
      </c>
      <c r="E344" s="503">
        <v>1804656</v>
      </c>
      <c r="F344" s="503">
        <v>141875</v>
      </c>
      <c r="G344" s="503">
        <v>1702500</v>
      </c>
    </row>
    <row r="345" spans="1:7" x14ac:dyDescent="0.25">
      <c r="B345" s="501" t="s">
        <v>1585</v>
      </c>
      <c r="C345" s="501" t="s">
        <v>1586</v>
      </c>
      <c r="D345" s="503">
        <v>95380.01</v>
      </c>
      <c r="E345" s="503">
        <v>989258.19</v>
      </c>
      <c r="F345" s="503">
        <v>103855.05</v>
      </c>
      <c r="G345" s="503">
        <v>861306.91</v>
      </c>
    </row>
    <row r="346" spans="1:7" x14ac:dyDescent="0.25">
      <c r="B346" s="501" t="s">
        <v>1587</v>
      </c>
      <c r="C346" s="501" t="s">
        <v>1588</v>
      </c>
      <c r="D346" s="503">
        <v>69251.06</v>
      </c>
      <c r="E346" s="503">
        <v>889134.71</v>
      </c>
      <c r="F346" s="503">
        <v>74740.56</v>
      </c>
      <c r="G346" s="503">
        <v>1082276.49</v>
      </c>
    </row>
    <row r="347" spans="1:7" x14ac:dyDescent="0.25">
      <c r="B347" s="501" t="s">
        <v>1589</v>
      </c>
      <c r="C347" s="501" t="s">
        <v>1590</v>
      </c>
      <c r="D347" s="503">
        <v>4247360.8099999996</v>
      </c>
      <c r="E347" s="503">
        <v>85381699.959999993</v>
      </c>
      <c r="F347" s="503">
        <v>6677681.25</v>
      </c>
      <c r="G347" s="503">
        <v>72719870.390000001</v>
      </c>
    </row>
    <row r="348" spans="1:7" x14ac:dyDescent="0.25">
      <c r="B348" s="501" t="s">
        <v>1591</v>
      </c>
      <c r="C348" s="501" t="s">
        <v>1592</v>
      </c>
      <c r="D348" s="503">
        <v>569593.02</v>
      </c>
      <c r="E348" s="503">
        <v>3112083.17</v>
      </c>
      <c r="F348" s="503">
        <v>257046.18</v>
      </c>
      <c r="G348" s="503">
        <v>2213867.52</v>
      </c>
    </row>
    <row r="349" spans="1:7" x14ac:dyDescent="0.25">
      <c r="B349" s="501" t="s">
        <v>1593</v>
      </c>
      <c r="C349" s="501" t="s">
        <v>1594</v>
      </c>
      <c r="D349" s="503">
        <v>274960.09999999998</v>
      </c>
      <c r="E349" s="503">
        <v>384147.24</v>
      </c>
      <c r="F349" s="503">
        <v>7988.5</v>
      </c>
      <c r="G349" s="503">
        <v>168056.99</v>
      </c>
    </row>
    <row r="350" spans="1:7" x14ac:dyDescent="0.25">
      <c r="B350" s="501" t="s">
        <v>1595</v>
      </c>
      <c r="C350" s="501" t="s">
        <v>1596</v>
      </c>
      <c r="D350" s="503">
        <v>34786.36</v>
      </c>
      <c r="E350" s="503">
        <v>495801.65</v>
      </c>
      <c r="F350" s="503">
        <v>79762.12</v>
      </c>
      <c r="G350" s="503">
        <v>634061.96</v>
      </c>
    </row>
    <row r="351" spans="1:7" x14ac:dyDescent="0.25">
      <c r="B351" s="501" t="s">
        <v>1597</v>
      </c>
      <c r="C351" s="501" t="s">
        <v>1598</v>
      </c>
      <c r="D351" s="503">
        <v>3081502.97</v>
      </c>
      <c r="E351" s="503">
        <v>50383035.109999999</v>
      </c>
      <c r="F351" s="503">
        <v>3887921.88</v>
      </c>
      <c r="G351" s="503">
        <v>50080583.670000002</v>
      </c>
    </row>
    <row r="352" spans="1:7" x14ac:dyDescent="0.25">
      <c r="B352" s="501" t="s">
        <v>1599</v>
      </c>
      <c r="C352" s="501" t="s">
        <v>1600</v>
      </c>
      <c r="D352" s="501">
        <v>0</v>
      </c>
      <c r="E352" s="503">
        <v>394895.99</v>
      </c>
      <c r="F352" s="503">
        <v>141083.06</v>
      </c>
      <c r="G352" s="503">
        <v>638928.81000000006</v>
      </c>
    </row>
    <row r="353" spans="2:7" x14ac:dyDescent="0.25">
      <c r="B353" s="501" t="s">
        <v>1601</v>
      </c>
      <c r="C353" s="501" t="s">
        <v>1602</v>
      </c>
      <c r="D353" s="501">
        <v>0</v>
      </c>
      <c r="E353" s="501">
        <v>14.92</v>
      </c>
      <c r="F353" s="501">
        <v>0</v>
      </c>
      <c r="G353" s="501">
        <v>0</v>
      </c>
    </row>
    <row r="354" spans="2:7" x14ac:dyDescent="0.25">
      <c r="B354" s="501" t="s">
        <v>1603</v>
      </c>
      <c r="C354" s="501" t="s">
        <v>1604</v>
      </c>
      <c r="D354" s="501">
        <v>565.19000000000005</v>
      </c>
      <c r="E354" s="503">
        <v>139277.01999999999</v>
      </c>
      <c r="F354" s="501">
        <v>691.57</v>
      </c>
      <c r="G354" s="503">
        <v>36652.949999999997</v>
      </c>
    </row>
    <row r="355" spans="2:7" x14ac:dyDescent="0.25">
      <c r="B355" s="501" t="s">
        <v>1605</v>
      </c>
      <c r="C355" s="501" t="s">
        <v>1606</v>
      </c>
      <c r="D355" s="501">
        <v>0.02</v>
      </c>
      <c r="E355" s="503">
        <v>-3213.29</v>
      </c>
      <c r="F355" s="501">
        <v>66.2</v>
      </c>
      <c r="G355" s="501">
        <v>374.08</v>
      </c>
    </row>
    <row r="356" spans="2:7" x14ac:dyDescent="0.25">
      <c r="B356" s="501" t="s">
        <v>1607</v>
      </c>
      <c r="C356" s="501" t="s">
        <v>1608</v>
      </c>
      <c r="D356" s="503">
        <v>-4128.46</v>
      </c>
      <c r="E356" s="503">
        <v>-89726.61</v>
      </c>
      <c r="F356" s="503">
        <v>-6722.98</v>
      </c>
      <c r="G356" s="503">
        <v>-36315.14</v>
      </c>
    </row>
    <row r="357" spans="2:7" x14ac:dyDescent="0.25">
      <c r="B357" s="501" t="s">
        <v>1609</v>
      </c>
      <c r="C357" s="501" t="s">
        <v>1610</v>
      </c>
      <c r="D357" s="503">
        <v>4881.1099999999997</v>
      </c>
      <c r="E357" s="503">
        <v>17538.54</v>
      </c>
      <c r="F357" s="503">
        <v>2443.3000000000002</v>
      </c>
      <c r="G357" s="503">
        <v>12759.63</v>
      </c>
    </row>
    <row r="358" spans="2:7" x14ac:dyDescent="0.25">
      <c r="B358" s="501" t="s">
        <v>1611</v>
      </c>
      <c r="C358" s="501" t="s">
        <v>1612</v>
      </c>
      <c r="D358" s="501">
        <v>0</v>
      </c>
      <c r="E358" s="503">
        <v>1328.55</v>
      </c>
      <c r="F358" s="501">
        <v>0</v>
      </c>
      <c r="G358" s="503">
        <v>-4298.57</v>
      </c>
    </row>
    <row r="359" spans="2:7" x14ac:dyDescent="0.25">
      <c r="B359" s="501" t="s">
        <v>1613</v>
      </c>
      <c r="C359" s="501" t="s">
        <v>1614</v>
      </c>
      <c r="D359" s="501">
        <v>0</v>
      </c>
      <c r="E359" s="501">
        <v>-21.83</v>
      </c>
      <c r="F359" s="501">
        <v>0</v>
      </c>
      <c r="G359" s="501">
        <v>100</v>
      </c>
    </row>
    <row r="360" spans="2:7" x14ac:dyDescent="0.25">
      <c r="B360" s="501" t="s">
        <v>1615</v>
      </c>
      <c r="C360" s="501" t="s">
        <v>1616</v>
      </c>
      <c r="D360" s="503">
        <v>-1375.37</v>
      </c>
      <c r="E360" s="503">
        <v>-17326.37</v>
      </c>
      <c r="F360" s="501">
        <v>0</v>
      </c>
      <c r="G360" s="503">
        <v>-22098.240000000002</v>
      </c>
    </row>
    <row r="361" spans="2:7" x14ac:dyDescent="0.25">
      <c r="B361" s="501" t="s">
        <v>1617</v>
      </c>
      <c r="C361" s="501" t="s">
        <v>1618</v>
      </c>
      <c r="D361" s="501">
        <v>50.5</v>
      </c>
      <c r="E361" s="501">
        <v>-321.33999999999997</v>
      </c>
      <c r="F361" s="501">
        <v>-8.66</v>
      </c>
      <c r="G361" s="503">
        <v>-1907.37</v>
      </c>
    </row>
    <row r="362" spans="2:7" x14ac:dyDescent="0.25">
      <c r="B362" s="501" t="s">
        <v>1619</v>
      </c>
      <c r="C362" s="501" t="s">
        <v>1620</v>
      </c>
      <c r="D362" s="501">
        <v>0</v>
      </c>
      <c r="E362" s="501">
        <v>1.96</v>
      </c>
      <c r="F362" s="501">
        <v>0</v>
      </c>
      <c r="G362" s="501">
        <v>11.55</v>
      </c>
    </row>
    <row r="363" spans="2:7" x14ac:dyDescent="0.25">
      <c r="B363" s="501" t="s">
        <v>1621</v>
      </c>
      <c r="C363" s="501" t="s">
        <v>1622</v>
      </c>
      <c r="D363" s="503">
        <v>-4805.8100000000004</v>
      </c>
      <c r="E363" s="503">
        <v>-3644942.02</v>
      </c>
      <c r="F363" s="503">
        <v>-248905.71</v>
      </c>
      <c r="G363" s="503">
        <v>-3207929.84</v>
      </c>
    </row>
    <row r="364" spans="2:7" x14ac:dyDescent="0.25">
      <c r="B364" s="501" t="s">
        <v>1623</v>
      </c>
      <c r="C364" s="501" t="s">
        <v>1624</v>
      </c>
      <c r="D364" s="503">
        <v>1919156.41</v>
      </c>
      <c r="E364" s="503">
        <v>11548787.27</v>
      </c>
      <c r="F364" s="503">
        <v>-1146365.47</v>
      </c>
      <c r="G364" s="503">
        <v>10025257.869999999</v>
      </c>
    </row>
    <row r="365" spans="2:7" x14ac:dyDescent="0.25">
      <c r="B365" s="501" t="s">
        <v>1625</v>
      </c>
      <c r="C365" s="501" t="s">
        <v>1626</v>
      </c>
      <c r="D365" s="503">
        <v>147492</v>
      </c>
      <c r="E365" s="503">
        <v>2734801.22</v>
      </c>
      <c r="F365" s="503">
        <v>48104.959999999999</v>
      </c>
      <c r="G365" s="503">
        <v>5853790.4699999997</v>
      </c>
    </row>
    <row r="366" spans="2:7" x14ac:dyDescent="0.25">
      <c r="B366" s="501" t="s">
        <v>1627</v>
      </c>
      <c r="C366" s="501" t="s">
        <v>1628</v>
      </c>
      <c r="D366" s="501">
        <v>0</v>
      </c>
      <c r="E366" s="503">
        <v>77163.42</v>
      </c>
      <c r="F366" s="503">
        <v>33986.959999999999</v>
      </c>
      <c r="G366" s="503">
        <v>992581.93</v>
      </c>
    </row>
    <row r="367" spans="2:7" x14ac:dyDescent="0.25">
      <c r="B367" s="501" t="s">
        <v>1629</v>
      </c>
      <c r="C367" s="501" t="s">
        <v>1630</v>
      </c>
      <c r="D367" s="503">
        <v>-160556.16</v>
      </c>
      <c r="E367" s="503">
        <v>-393886.14</v>
      </c>
      <c r="F367" s="503">
        <v>-1608.18</v>
      </c>
      <c r="G367" s="503">
        <v>-132912.07999999999</v>
      </c>
    </row>
    <row r="368" spans="2:7" x14ac:dyDescent="0.25">
      <c r="B368" s="501"/>
      <c r="C368" s="501"/>
      <c r="D368" s="501"/>
      <c r="E368" s="501"/>
      <c r="F368" s="501"/>
      <c r="G368" s="501"/>
    </row>
    <row r="369" spans="2:7" x14ac:dyDescent="0.25">
      <c r="B369" s="501"/>
      <c r="C369" s="501" t="s">
        <v>1631</v>
      </c>
      <c r="D369" s="503">
        <v>10424501.76</v>
      </c>
      <c r="E369" s="830">
        <v>154204187.31999999</v>
      </c>
      <c r="F369" s="503">
        <v>10053635.59</v>
      </c>
      <c r="G369" s="503">
        <v>143617519.97999999</v>
      </c>
    </row>
    <row r="370" spans="2:7" x14ac:dyDescent="0.25">
      <c r="B370" s="501" t="s">
        <v>1632</v>
      </c>
      <c r="C370" s="501" t="s">
        <v>1633</v>
      </c>
      <c r="D370" s="503">
        <v>522464.77</v>
      </c>
      <c r="E370" s="503">
        <v>5159752.45</v>
      </c>
      <c r="F370" s="503">
        <v>462086.75</v>
      </c>
      <c r="G370" s="503">
        <v>4728471.08</v>
      </c>
    </row>
    <row r="371" spans="2:7" x14ac:dyDescent="0.25">
      <c r="B371" s="501" t="s">
        <v>1634</v>
      </c>
      <c r="C371" s="501" t="s">
        <v>1635</v>
      </c>
      <c r="D371" s="501">
        <v>0</v>
      </c>
      <c r="E371" s="503">
        <v>-9165.89</v>
      </c>
      <c r="F371" s="501">
        <v>-637.89</v>
      </c>
      <c r="G371" s="503">
        <v>-9185.2900000000009</v>
      </c>
    </row>
    <row r="372" spans="2:7" x14ac:dyDescent="0.25">
      <c r="B372" s="501" t="s">
        <v>1636</v>
      </c>
      <c r="C372" s="501" t="s">
        <v>1637</v>
      </c>
      <c r="D372" s="503">
        <v>26079.42</v>
      </c>
      <c r="E372" s="503">
        <v>284690.71000000002</v>
      </c>
      <c r="F372" s="503">
        <v>33181.949999999997</v>
      </c>
      <c r="G372" s="503">
        <v>310995</v>
      </c>
    </row>
    <row r="373" spans="2:7" x14ac:dyDescent="0.25">
      <c r="B373" s="501" t="s">
        <v>1638</v>
      </c>
      <c r="C373" s="501" t="s">
        <v>1639</v>
      </c>
      <c r="D373" s="503">
        <v>137539.9</v>
      </c>
      <c r="E373" s="503">
        <v>850866.77</v>
      </c>
      <c r="F373" s="503">
        <v>168887.16</v>
      </c>
      <c r="G373" s="503">
        <v>449038.21</v>
      </c>
    </row>
    <row r="374" spans="2:7" x14ac:dyDescent="0.25">
      <c r="B374" s="501" t="s">
        <v>1640</v>
      </c>
      <c r="C374" s="501" t="s">
        <v>1641</v>
      </c>
      <c r="D374" s="503">
        <v>192369.85</v>
      </c>
      <c r="E374" s="503">
        <v>817112.48</v>
      </c>
      <c r="F374" s="503">
        <v>1308829.94</v>
      </c>
      <c r="G374" s="503">
        <v>1978930.03</v>
      </c>
    </row>
    <row r="375" spans="2:7" x14ac:dyDescent="0.25">
      <c r="B375" s="501" t="s">
        <v>1642</v>
      </c>
      <c r="C375" s="501" t="s">
        <v>1643</v>
      </c>
      <c r="D375" s="503">
        <v>292198.82</v>
      </c>
      <c r="E375" s="503">
        <v>2685837.76</v>
      </c>
      <c r="F375" s="503">
        <v>352434.07</v>
      </c>
      <c r="G375" s="503">
        <v>3215923.02</v>
      </c>
    </row>
    <row r="376" spans="2:7" x14ac:dyDescent="0.25">
      <c r="B376" s="501" t="s">
        <v>1644</v>
      </c>
      <c r="C376" s="501" t="s">
        <v>1645</v>
      </c>
      <c r="D376" s="503">
        <v>2395379.04</v>
      </c>
      <c r="E376" s="503">
        <v>21296407.719999999</v>
      </c>
      <c r="F376" s="503">
        <v>1935430.1</v>
      </c>
      <c r="G376" s="503">
        <v>17812463.760000002</v>
      </c>
    </row>
    <row r="377" spans="2:7" x14ac:dyDescent="0.25">
      <c r="B377" s="501" t="s">
        <v>1646</v>
      </c>
      <c r="C377" s="501" t="s">
        <v>1647</v>
      </c>
      <c r="D377" s="503">
        <v>95568.93</v>
      </c>
      <c r="E377" s="503">
        <v>459731.52</v>
      </c>
      <c r="F377" s="503">
        <v>76506.58</v>
      </c>
      <c r="G377" s="503">
        <v>499533.77</v>
      </c>
    </row>
    <row r="378" spans="2:7" x14ac:dyDescent="0.25">
      <c r="B378" s="501" t="s">
        <v>1648</v>
      </c>
      <c r="C378" s="501" t="s">
        <v>1649</v>
      </c>
      <c r="D378" s="503">
        <v>216348.17</v>
      </c>
      <c r="E378" s="503">
        <v>1398196.84</v>
      </c>
      <c r="F378" s="503">
        <v>300038.15999999997</v>
      </c>
      <c r="G378" s="503">
        <v>1555643.64</v>
      </c>
    </row>
    <row r="379" spans="2:7" x14ac:dyDescent="0.25">
      <c r="B379" s="501" t="s">
        <v>1650</v>
      </c>
      <c r="C379" s="501" t="s">
        <v>1651</v>
      </c>
      <c r="D379" s="503">
        <v>32570.32</v>
      </c>
      <c r="E379" s="503">
        <v>544606.81999999995</v>
      </c>
      <c r="F379" s="503">
        <v>36497.449999999997</v>
      </c>
      <c r="G379" s="503">
        <v>322888.71999999997</v>
      </c>
    </row>
    <row r="380" spans="2:7" x14ac:dyDescent="0.25">
      <c r="B380" s="501"/>
      <c r="C380" s="501"/>
      <c r="D380" s="501"/>
      <c r="E380" s="501"/>
      <c r="F380" s="501"/>
      <c r="G380" s="501"/>
    </row>
    <row r="381" spans="2:7" x14ac:dyDescent="0.25">
      <c r="B381" s="501"/>
      <c r="C381" s="501"/>
      <c r="D381" s="501"/>
      <c r="E381" s="501"/>
      <c r="F381" s="501"/>
      <c r="G381" s="501"/>
    </row>
    <row r="382" spans="2:7" x14ac:dyDescent="0.25">
      <c r="B382" s="501"/>
      <c r="C382" s="501"/>
      <c r="D382" s="501"/>
      <c r="E382" s="501"/>
      <c r="F382" s="501"/>
      <c r="G382" s="501"/>
    </row>
    <row r="383" spans="2:7" x14ac:dyDescent="0.25">
      <c r="B383" s="501" t="s">
        <v>1240</v>
      </c>
      <c r="C383" s="501" t="s">
        <v>1241</v>
      </c>
      <c r="D383" s="501" t="s">
        <v>1242</v>
      </c>
      <c r="E383" s="501" t="s">
        <v>1243</v>
      </c>
      <c r="F383" s="501"/>
      <c r="G383" s="501" t="s">
        <v>1652</v>
      </c>
    </row>
    <row r="384" spans="2:7" x14ac:dyDescent="0.25">
      <c r="B384" s="501" t="s">
        <v>1245</v>
      </c>
      <c r="C384" s="501" t="s">
        <v>1246</v>
      </c>
      <c r="D384" s="501" t="s">
        <v>1247</v>
      </c>
      <c r="E384" s="501"/>
      <c r="F384" s="501"/>
      <c r="G384" s="501"/>
    </row>
    <row r="385" spans="2:7" x14ac:dyDescent="0.25">
      <c r="B385" s="501"/>
      <c r="C385" s="501" t="s">
        <v>1248</v>
      </c>
      <c r="D385" s="501" t="s">
        <v>1249</v>
      </c>
      <c r="E385" s="501" t="s">
        <v>1250</v>
      </c>
      <c r="F385" s="501" t="s">
        <v>1251</v>
      </c>
      <c r="G385" s="501">
        <v>9</v>
      </c>
    </row>
    <row r="386" spans="2:7" x14ac:dyDescent="0.25">
      <c r="B386" s="501"/>
      <c r="C386" s="501"/>
      <c r="D386" s="501"/>
      <c r="E386" s="501"/>
      <c r="F386" s="501"/>
      <c r="G386" s="501"/>
    </row>
    <row r="387" spans="2:7" x14ac:dyDescent="0.25">
      <c r="B387" s="501">
        <v>1</v>
      </c>
      <c r="C387" s="501">
        <v>1</v>
      </c>
      <c r="D387" s="501" t="s">
        <v>1252</v>
      </c>
      <c r="E387" s="501" t="s">
        <v>1253</v>
      </c>
      <c r="F387" s="501"/>
      <c r="G387" s="501" t="s">
        <v>1254</v>
      </c>
    </row>
    <row r="388" spans="2:7" x14ac:dyDescent="0.25">
      <c r="B388" s="501"/>
      <c r="C388" s="501"/>
      <c r="D388" s="501"/>
      <c r="E388" s="501"/>
      <c r="F388" s="501"/>
      <c r="G388" s="501"/>
    </row>
    <row r="389" spans="2:7" x14ac:dyDescent="0.25">
      <c r="B389" s="501" t="s">
        <v>1255</v>
      </c>
      <c r="C389" s="501" t="s">
        <v>1256</v>
      </c>
      <c r="D389" s="501" t="s">
        <v>1257</v>
      </c>
      <c r="E389" s="501" t="s">
        <v>1258</v>
      </c>
      <c r="F389" s="501" t="s">
        <v>1259</v>
      </c>
      <c r="G389" s="501" t="s">
        <v>1260</v>
      </c>
    </row>
    <row r="390" spans="2:7" x14ac:dyDescent="0.25">
      <c r="B390" s="501"/>
      <c r="C390" s="501"/>
      <c r="D390" s="501"/>
      <c r="E390" s="501"/>
      <c r="F390" s="501"/>
      <c r="G390" s="501"/>
    </row>
    <row r="391" spans="2:7" x14ac:dyDescent="0.25">
      <c r="B391" s="501"/>
      <c r="C391" s="501"/>
      <c r="D391" s="501"/>
      <c r="E391" s="501"/>
      <c r="F391" s="501"/>
      <c r="G391" s="501"/>
    </row>
    <row r="392" spans="2:7" x14ac:dyDescent="0.25">
      <c r="B392" s="501"/>
      <c r="C392" s="501" t="s">
        <v>1653</v>
      </c>
      <c r="D392" s="503">
        <v>3910519.22</v>
      </c>
      <c r="E392" s="830">
        <v>33488037.18</v>
      </c>
      <c r="F392" s="503">
        <v>4673254.2699999996</v>
      </c>
      <c r="G392" s="503">
        <v>30864701.940000001</v>
      </c>
    </row>
    <row r="393" spans="2:7" x14ac:dyDescent="0.25">
      <c r="B393" s="501" t="s">
        <v>1654</v>
      </c>
      <c r="C393" s="501" t="s">
        <v>1655</v>
      </c>
      <c r="D393" s="503">
        <v>678573.2</v>
      </c>
      <c r="E393" s="503">
        <v>5238884.07</v>
      </c>
      <c r="F393" s="503">
        <v>732901.84</v>
      </c>
      <c r="G393" s="503">
        <v>5194865.05</v>
      </c>
    </row>
    <row r="394" spans="2:7" x14ac:dyDescent="0.25">
      <c r="B394" s="501" t="s">
        <v>1656</v>
      </c>
      <c r="C394" s="501" t="s">
        <v>1657</v>
      </c>
      <c r="D394" s="503">
        <v>89665.600000000006</v>
      </c>
      <c r="E394" s="503">
        <v>1792853.5</v>
      </c>
      <c r="F394" s="503">
        <v>166761.22</v>
      </c>
      <c r="G394" s="503">
        <v>1521488.71</v>
      </c>
    </row>
    <row r="395" spans="2:7" x14ac:dyDescent="0.25">
      <c r="B395" s="501" t="s">
        <v>1658</v>
      </c>
      <c r="C395" s="501" t="s">
        <v>1659</v>
      </c>
      <c r="D395" s="503">
        <v>165872.72</v>
      </c>
      <c r="E395" s="503">
        <v>1816075.77</v>
      </c>
      <c r="F395" s="503">
        <v>263005.78999999998</v>
      </c>
      <c r="G395" s="503">
        <v>1712203.84</v>
      </c>
    </row>
    <row r="396" spans="2:7" x14ac:dyDescent="0.25">
      <c r="B396" s="501" t="s">
        <v>1660</v>
      </c>
      <c r="C396" s="501" t="s">
        <v>1661</v>
      </c>
      <c r="D396" s="503">
        <v>178043.09</v>
      </c>
      <c r="E396" s="503">
        <v>1631060.57</v>
      </c>
      <c r="F396" s="503">
        <v>215077.32</v>
      </c>
      <c r="G396" s="503">
        <v>1471699.37</v>
      </c>
    </row>
    <row r="397" spans="2:7" x14ac:dyDescent="0.25">
      <c r="B397" s="501" t="s">
        <v>1662</v>
      </c>
      <c r="C397" s="501" t="s">
        <v>1663</v>
      </c>
      <c r="D397" s="503">
        <v>244206.95</v>
      </c>
      <c r="E397" s="503">
        <v>4211501.71</v>
      </c>
      <c r="F397" s="503">
        <v>316803.15000000002</v>
      </c>
      <c r="G397" s="503">
        <v>3968727.66</v>
      </c>
    </row>
    <row r="398" spans="2:7" x14ac:dyDescent="0.25">
      <c r="B398" s="501" t="s">
        <v>1664</v>
      </c>
      <c r="C398" s="501" t="s">
        <v>1665</v>
      </c>
      <c r="D398" s="501">
        <v>-860.37</v>
      </c>
      <c r="E398" s="503">
        <v>-10324.44</v>
      </c>
      <c r="F398" s="501">
        <v>-873.55</v>
      </c>
      <c r="G398" s="503">
        <v>-10482.6</v>
      </c>
    </row>
    <row r="399" spans="2:7" x14ac:dyDescent="0.25">
      <c r="B399" s="501"/>
      <c r="C399" s="501"/>
      <c r="D399" s="501"/>
      <c r="E399" s="501"/>
      <c r="F399" s="501"/>
      <c r="G399" s="501"/>
    </row>
    <row r="400" spans="2:7" x14ac:dyDescent="0.25">
      <c r="B400" s="501"/>
      <c r="C400" s="501" t="s">
        <v>1666</v>
      </c>
      <c r="D400" s="503">
        <v>1355501.19</v>
      </c>
      <c r="E400" s="830">
        <v>14680051.18</v>
      </c>
      <c r="F400" s="503">
        <v>1693675.77</v>
      </c>
      <c r="G400" s="503">
        <v>13858502.029999999</v>
      </c>
    </row>
    <row r="401" spans="2:7" x14ac:dyDescent="0.25">
      <c r="B401" s="501">
        <v>760</v>
      </c>
      <c r="C401" s="501" t="s">
        <v>1667</v>
      </c>
      <c r="D401" s="501"/>
      <c r="E401" s="501"/>
      <c r="F401" s="501"/>
      <c r="G401" s="501"/>
    </row>
    <row r="402" spans="2:7" x14ac:dyDescent="0.25">
      <c r="B402" s="501" t="s">
        <v>1668</v>
      </c>
      <c r="C402" s="501" t="s">
        <v>1669</v>
      </c>
      <c r="D402" s="503">
        <v>1940028.55</v>
      </c>
      <c r="E402" s="503">
        <v>13939909.32</v>
      </c>
      <c r="F402" s="503">
        <v>2485711.27</v>
      </c>
      <c r="G402" s="503">
        <v>12072941.939999999</v>
      </c>
    </row>
    <row r="403" spans="2:7" x14ac:dyDescent="0.25">
      <c r="B403" s="501" t="s">
        <v>1670</v>
      </c>
      <c r="C403" s="501" t="s">
        <v>1671</v>
      </c>
      <c r="D403" s="503">
        <v>118979.03</v>
      </c>
      <c r="E403" s="503">
        <v>1323010</v>
      </c>
      <c r="F403" s="503">
        <v>93442.2</v>
      </c>
      <c r="G403" s="503">
        <v>979222.37</v>
      </c>
    </row>
    <row r="404" spans="2:7" x14ac:dyDescent="0.25">
      <c r="B404" s="501" t="s">
        <v>1672</v>
      </c>
      <c r="C404" s="501" t="s">
        <v>1673</v>
      </c>
      <c r="D404" s="503">
        <v>258502.12</v>
      </c>
      <c r="E404" s="503">
        <v>2191427.4900000002</v>
      </c>
      <c r="F404" s="503">
        <v>127333.71</v>
      </c>
      <c r="G404" s="503">
        <v>1162366.03</v>
      </c>
    </row>
    <row r="405" spans="2:7" x14ac:dyDescent="0.25">
      <c r="B405" s="501" t="s">
        <v>1674</v>
      </c>
      <c r="C405" s="501" t="s">
        <v>1675</v>
      </c>
      <c r="D405" s="503">
        <v>165851.92000000001</v>
      </c>
      <c r="E405" s="503">
        <v>1528127.04</v>
      </c>
      <c r="F405" s="503">
        <v>161947.66</v>
      </c>
      <c r="G405" s="503">
        <v>1788227.4</v>
      </c>
    </row>
    <row r="406" spans="2:7" x14ac:dyDescent="0.25">
      <c r="B406" s="501" t="s">
        <v>1676</v>
      </c>
      <c r="C406" s="501" t="s">
        <v>1677</v>
      </c>
      <c r="D406" s="503">
        <v>133088.24</v>
      </c>
      <c r="E406" s="503">
        <v>1697202.24</v>
      </c>
      <c r="F406" s="503">
        <v>145008.94</v>
      </c>
      <c r="G406" s="503">
        <v>1247479.5</v>
      </c>
    </row>
    <row r="407" spans="2:7" x14ac:dyDescent="0.25">
      <c r="B407" s="501" t="s">
        <v>1678</v>
      </c>
      <c r="C407" s="501" t="s">
        <v>1679</v>
      </c>
      <c r="D407" s="503">
        <v>15675.96</v>
      </c>
      <c r="E407" s="503">
        <v>473434.1</v>
      </c>
      <c r="F407" s="503">
        <v>34812.21</v>
      </c>
      <c r="G407" s="503">
        <v>445022.91</v>
      </c>
    </row>
    <row r="408" spans="2:7" x14ac:dyDescent="0.25">
      <c r="B408" s="501" t="s">
        <v>1680</v>
      </c>
      <c r="C408" s="501" t="s">
        <v>1681</v>
      </c>
      <c r="D408" s="503">
        <v>-9617</v>
      </c>
      <c r="E408" s="503">
        <v>-28990</v>
      </c>
      <c r="F408" s="503">
        <v>-8764</v>
      </c>
      <c r="G408" s="503">
        <v>-56324</v>
      </c>
    </row>
    <row r="409" spans="2:7" x14ac:dyDescent="0.25">
      <c r="B409" s="501"/>
      <c r="C409" s="501"/>
      <c r="D409" s="501"/>
      <c r="E409" s="501"/>
      <c r="F409" s="501"/>
      <c r="G409" s="501"/>
    </row>
    <row r="410" spans="2:7" x14ac:dyDescent="0.25">
      <c r="B410" s="831"/>
      <c r="C410" s="831" t="s">
        <v>1682</v>
      </c>
      <c r="D410" s="832">
        <v>2622508.8199999998</v>
      </c>
      <c r="E410" s="832">
        <v>21124120.190000001</v>
      </c>
      <c r="F410" s="832">
        <v>3039491.99</v>
      </c>
      <c r="G410" s="832">
        <v>17638936.149999999</v>
      </c>
    </row>
    <row r="411" spans="2:7" x14ac:dyDescent="0.25">
      <c r="B411" s="501" t="s">
        <v>1683</v>
      </c>
      <c r="C411" s="501" t="s">
        <v>1684</v>
      </c>
      <c r="D411" s="503">
        <v>1634284.05</v>
      </c>
      <c r="E411" s="503">
        <v>25342741.68</v>
      </c>
      <c r="F411" s="503">
        <v>1800449.52</v>
      </c>
      <c r="G411" s="503">
        <v>21895634.579999998</v>
      </c>
    </row>
    <row r="412" spans="2:7" x14ac:dyDescent="0.25">
      <c r="B412" s="501" t="s">
        <v>1685</v>
      </c>
      <c r="C412" s="501" t="s">
        <v>1686</v>
      </c>
      <c r="D412" s="503">
        <v>14081288.26</v>
      </c>
      <c r="E412" s="503">
        <v>142296056.69</v>
      </c>
      <c r="F412" s="503">
        <v>9762290.7200000007</v>
      </c>
      <c r="G412" s="503">
        <v>128520919.92</v>
      </c>
    </row>
    <row r="413" spans="2:7" x14ac:dyDescent="0.25">
      <c r="B413" s="501" t="s">
        <v>1687</v>
      </c>
      <c r="C413" s="501" t="s">
        <v>1688</v>
      </c>
      <c r="D413" s="503">
        <v>1191435.3999999999</v>
      </c>
      <c r="E413" s="503">
        <v>14183204.039999999</v>
      </c>
      <c r="F413" s="503">
        <v>2319221.7999999998</v>
      </c>
      <c r="G413" s="503">
        <v>19199838.829999998</v>
      </c>
    </row>
    <row r="414" spans="2:7" x14ac:dyDescent="0.25">
      <c r="B414" s="501" t="s">
        <v>1689</v>
      </c>
      <c r="C414" s="501" t="s">
        <v>1690</v>
      </c>
      <c r="D414" s="503">
        <v>-375558.33</v>
      </c>
      <c r="E414" s="503">
        <v>2254919.46</v>
      </c>
      <c r="F414" s="503">
        <v>15517.97</v>
      </c>
      <c r="G414" s="503">
        <v>2137480.46</v>
      </c>
    </row>
    <row r="415" spans="2:7" x14ac:dyDescent="0.25">
      <c r="B415" s="501" t="s">
        <v>1691</v>
      </c>
      <c r="C415" s="501" t="s">
        <v>1692</v>
      </c>
      <c r="D415" s="503">
        <v>22449.26</v>
      </c>
      <c r="E415" s="503">
        <v>413449.26</v>
      </c>
      <c r="F415" s="503">
        <v>45582.47</v>
      </c>
      <c r="G415" s="503">
        <v>420313.44</v>
      </c>
    </row>
    <row r="416" spans="2:7" x14ac:dyDescent="0.25">
      <c r="B416" s="501" t="s">
        <v>1693</v>
      </c>
      <c r="C416" s="501" t="s">
        <v>1694</v>
      </c>
      <c r="D416" s="503">
        <v>1991922.57</v>
      </c>
      <c r="E416" s="503">
        <v>23809968.219999999</v>
      </c>
      <c r="F416" s="503">
        <v>2233999.5699999998</v>
      </c>
      <c r="G416" s="503">
        <v>22490181.23</v>
      </c>
    </row>
    <row r="417" spans="2:7" x14ac:dyDescent="0.25">
      <c r="B417" s="501" t="s">
        <v>1695</v>
      </c>
      <c r="C417" s="501" t="s">
        <v>1696</v>
      </c>
      <c r="D417" s="503">
        <v>2075070.06</v>
      </c>
      <c r="E417" s="503">
        <v>21479175.510000002</v>
      </c>
      <c r="F417" s="503">
        <v>1695619.03</v>
      </c>
      <c r="G417" s="503">
        <v>18013564.960000001</v>
      </c>
    </row>
    <row r="418" spans="2:7" x14ac:dyDescent="0.25">
      <c r="B418" s="501" t="s">
        <v>1697</v>
      </c>
      <c r="C418" s="501" t="s">
        <v>1698</v>
      </c>
      <c r="D418" s="503">
        <v>1174017.19</v>
      </c>
      <c r="E418" s="503">
        <v>7376319.1699999999</v>
      </c>
      <c r="F418" s="503">
        <v>801389.28</v>
      </c>
      <c r="G418" s="503">
        <v>7993323.0999999996</v>
      </c>
    </row>
    <row r="419" spans="2:7" x14ac:dyDescent="0.25">
      <c r="B419" s="501" t="s">
        <v>1699</v>
      </c>
      <c r="C419" s="501" t="s">
        <v>606</v>
      </c>
      <c r="D419" s="503">
        <v>1340.23</v>
      </c>
      <c r="E419" s="503">
        <v>106960.95</v>
      </c>
      <c r="F419" s="503">
        <v>17002.509999999998</v>
      </c>
      <c r="G419" s="503">
        <v>122539.78</v>
      </c>
    </row>
    <row r="420" spans="2:7" x14ac:dyDescent="0.25">
      <c r="B420" s="501" t="s">
        <v>1700</v>
      </c>
      <c r="C420" s="501" t="s">
        <v>1701</v>
      </c>
      <c r="D420" s="503">
        <v>7618799.0599999996</v>
      </c>
      <c r="E420" s="503">
        <v>71797225.189999998</v>
      </c>
      <c r="F420" s="503">
        <v>6830080.3499999996</v>
      </c>
      <c r="G420" s="503">
        <v>70171959.450000003</v>
      </c>
    </row>
    <row r="421" spans="2:7" x14ac:dyDescent="0.25">
      <c r="B421" s="501" t="s">
        <v>1702</v>
      </c>
      <c r="C421" s="501" t="s">
        <v>1703</v>
      </c>
      <c r="D421" s="501">
        <v>-115.69</v>
      </c>
      <c r="E421" s="501">
        <v>-268.72000000000003</v>
      </c>
      <c r="F421" s="501">
        <v>302.07</v>
      </c>
      <c r="G421" s="503">
        <v>1805.51</v>
      </c>
    </row>
    <row r="422" spans="2:7" x14ac:dyDescent="0.25">
      <c r="B422" s="501" t="s">
        <v>1704</v>
      </c>
      <c r="C422" s="501" t="s">
        <v>1705</v>
      </c>
      <c r="D422" s="503">
        <v>-24668</v>
      </c>
      <c r="E422" s="503">
        <v>-291451</v>
      </c>
      <c r="F422" s="503">
        <v>-65109</v>
      </c>
      <c r="G422" s="503">
        <v>-250263.91</v>
      </c>
    </row>
    <row r="423" spans="2:7" x14ac:dyDescent="0.25">
      <c r="B423" s="501" t="s">
        <v>1706</v>
      </c>
      <c r="C423" s="501" t="s">
        <v>1707</v>
      </c>
      <c r="D423" s="503">
        <v>70714.880000000005</v>
      </c>
      <c r="E423" s="503">
        <v>255863.67999999999</v>
      </c>
      <c r="F423" s="503">
        <v>8551.5</v>
      </c>
      <c r="G423" s="503">
        <v>211671.22</v>
      </c>
    </row>
    <row r="424" spans="2:7" x14ac:dyDescent="0.25">
      <c r="B424" s="501" t="s">
        <v>1708</v>
      </c>
      <c r="C424" s="501" t="s">
        <v>1709</v>
      </c>
      <c r="D424" s="503">
        <v>-30148.11</v>
      </c>
      <c r="E424" s="503">
        <v>-71524.740000000005</v>
      </c>
      <c r="F424" s="503">
        <v>-5995.5</v>
      </c>
      <c r="G424" s="503">
        <v>-156534.42000000001</v>
      </c>
    </row>
    <row r="425" spans="2:7" x14ac:dyDescent="0.25">
      <c r="B425" s="501" t="s">
        <v>1710</v>
      </c>
      <c r="C425" s="501" t="s">
        <v>1711</v>
      </c>
      <c r="D425" s="503">
        <v>23459.54</v>
      </c>
      <c r="E425" s="503">
        <v>23459.54</v>
      </c>
      <c r="F425" s="501">
        <v>0</v>
      </c>
      <c r="G425" s="501">
        <v>0</v>
      </c>
    </row>
    <row r="426" spans="2:7" x14ac:dyDescent="0.25">
      <c r="B426" s="501"/>
      <c r="C426" s="501"/>
      <c r="D426" s="501"/>
      <c r="E426" s="501"/>
      <c r="F426" s="501"/>
      <c r="G426" s="501"/>
    </row>
    <row r="427" spans="2:7" x14ac:dyDescent="0.25">
      <c r="B427" s="501"/>
      <c r="C427" s="501" t="s">
        <v>1712</v>
      </c>
      <c r="D427" s="503">
        <v>29454290.370000001</v>
      </c>
      <c r="E427" s="834">
        <v>308976098.93000001</v>
      </c>
      <c r="F427" s="503">
        <v>25458902.289999999</v>
      </c>
      <c r="G427" s="503">
        <v>290772434.14999998</v>
      </c>
    </row>
    <row r="428" spans="2:7" x14ac:dyDescent="0.25">
      <c r="B428" s="501" t="s">
        <v>1713</v>
      </c>
      <c r="C428" s="501" t="s">
        <v>1714</v>
      </c>
      <c r="D428" s="503">
        <v>65958.070000000007</v>
      </c>
      <c r="E428" s="503">
        <v>793219.72</v>
      </c>
      <c r="F428" s="503">
        <v>65943.77</v>
      </c>
      <c r="G428" s="503">
        <v>799177.64</v>
      </c>
    </row>
    <row r="429" spans="2:7" x14ac:dyDescent="0.25">
      <c r="B429" s="501" t="s">
        <v>1715</v>
      </c>
      <c r="C429" s="501" t="s">
        <v>1716</v>
      </c>
      <c r="D429" s="503">
        <v>1879246.69</v>
      </c>
      <c r="E429" s="503">
        <v>16882541.899999999</v>
      </c>
      <c r="F429" s="503">
        <v>1343175.34</v>
      </c>
      <c r="G429" s="503">
        <v>16486796.310000001</v>
      </c>
    </row>
    <row r="430" spans="2:7" x14ac:dyDescent="0.25">
      <c r="B430" s="501" t="s">
        <v>1717</v>
      </c>
      <c r="C430" s="501" t="s">
        <v>1718</v>
      </c>
      <c r="D430" s="503">
        <v>315486.11</v>
      </c>
      <c r="E430" s="503">
        <v>2616125.66</v>
      </c>
      <c r="F430" s="503">
        <v>496620.95</v>
      </c>
      <c r="G430" s="503">
        <v>2373074.27</v>
      </c>
    </row>
    <row r="431" spans="2:7" x14ac:dyDescent="0.25">
      <c r="B431" s="501" t="s">
        <v>1719</v>
      </c>
      <c r="C431" s="501" t="s">
        <v>1720</v>
      </c>
      <c r="D431" s="503">
        <v>2032174.06</v>
      </c>
      <c r="E431" s="503">
        <v>20808275.969999999</v>
      </c>
      <c r="F431" s="503">
        <v>1716448.2</v>
      </c>
      <c r="G431" s="503">
        <v>18578465.18</v>
      </c>
    </row>
    <row r="432" spans="2:7" x14ac:dyDescent="0.25">
      <c r="B432" s="501" t="s">
        <v>1721</v>
      </c>
      <c r="C432" s="501" t="s">
        <v>1722</v>
      </c>
      <c r="D432" s="503">
        <v>4776426.1500000004</v>
      </c>
      <c r="E432" s="503">
        <v>52692738.719999999</v>
      </c>
      <c r="F432" s="503">
        <v>4380287.79</v>
      </c>
      <c r="G432" s="503">
        <v>49391207.090000004</v>
      </c>
    </row>
    <row r="433" spans="1:7" x14ac:dyDescent="0.25">
      <c r="B433" s="501" t="s">
        <v>1723</v>
      </c>
      <c r="C433" s="501" t="s">
        <v>1724</v>
      </c>
      <c r="D433" s="503">
        <v>533824.73</v>
      </c>
      <c r="E433" s="503">
        <v>5007113.2300000004</v>
      </c>
      <c r="F433" s="503">
        <v>326775.90000000002</v>
      </c>
      <c r="G433" s="503">
        <v>2451544.12</v>
      </c>
    </row>
    <row r="434" spans="1:7" x14ac:dyDescent="0.25">
      <c r="B434" s="501" t="s">
        <v>1725</v>
      </c>
      <c r="C434" s="501" t="s">
        <v>1726</v>
      </c>
      <c r="D434" s="503">
        <v>-237102.09</v>
      </c>
      <c r="E434" s="503">
        <v>-2845225.08</v>
      </c>
      <c r="F434" s="503">
        <v>-242371.3</v>
      </c>
      <c r="G434" s="503">
        <v>-2908455.6</v>
      </c>
    </row>
    <row r="435" spans="1:7" x14ac:dyDescent="0.25">
      <c r="B435" s="501"/>
      <c r="C435" s="501"/>
      <c r="D435" s="501"/>
      <c r="E435" s="501"/>
      <c r="F435" s="501"/>
      <c r="G435" s="501"/>
    </row>
    <row r="436" spans="1:7" x14ac:dyDescent="0.25">
      <c r="B436" s="501"/>
      <c r="C436" s="501" t="s">
        <v>1727</v>
      </c>
      <c r="D436" s="503">
        <v>9366013.7200000007</v>
      </c>
      <c r="E436" s="830">
        <v>95954790.120000005</v>
      </c>
      <c r="F436" s="503">
        <v>8086880.6500000004</v>
      </c>
      <c r="G436" s="503">
        <v>87171809.010000005</v>
      </c>
    </row>
    <row r="437" spans="1:7" x14ac:dyDescent="0.25">
      <c r="A437" s="173" t="s">
        <v>315</v>
      </c>
      <c r="B437" s="501" t="s">
        <v>1728</v>
      </c>
      <c r="C437" s="501" t="s">
        <v>1729</v>
      </c>
      <c r="D437" s="503">
        <v>-261530.9</v>
      </c>
      <c r="E437" s="503">
        <v>17081808.66</v>
      </c>
      <c r="F437" s="503">
        <v>1631178.59</v>
      </c>
      <c r="G437" s="503">
        <v>16480719.939999999</v>
      </c>
    </row>
    <row r="438" spans="1:7" x14ac:dyDescent="0.25">
      <c r="A438" s="173" t="s">
        <v>315</v>
      </c>
      <c r="B438" s="501" t="s">
        <v>1730</v>
      </c>
      <c r="C438" s="501" t="s">
        <v>1731</v>
      </c>
      <c r="D438" s="503">
        <v>17535.919999999998</v>
      </c>
      <c r="E438" s="503">
        <v>237044.19</v>
      </c>
      <c r="F438" s="501">
        <v>0</v>
      </c>
      <c r="G438" s="501">
        <v>0</v>
      </c>
    </row>
    <row r="439" spans="1:7" x14ac:dyDescent="0.25">
      <c r="A439" s="173" t="s">
        <v>315</v>
      </c>
      <c r="B439" s="501" t="s">
        <v>1732</v>
      </c>
      <c r="C439" s="501" t="s">
        <v>1733</v>
      </c>
      <c r="D439" s="503">
        <v>66013.58</v>
      </c>
      <c r="E439" s="503">
        <v>833290.98</v>
      </c>
      <c r="F439" s="501">
        <v>0</v>
      </c>
      <c r="G439" s="501">
        <v>0</v>
      </c>
    </row>
    <row r="440" spans="1:7" x14ac:dyDescent="0.25">
      <c r="A440" s="173" t="s">
        <v>315</v>
      </c>
      <c r="B440" s="501" t="s">
        <v>1734</v>
      </c>
      <c r="C440" s="501" t="s">
        <v>1735</v>
      </c>
      <c r="D440" s="503">
        <v>10774.04</v>
      </c>
      <c r="E440" s="503">
        <v>114458.18</v>
      </c>
      <c r="F440" s="501">
        <v>0</v>
      </c>
      <c r="G440" s="501">
        <v>0</v>
      </c>
    </row>
    <row r="441" spans="1:7" x14ac:dyDescent="0.25">
      <c r="A441" s="173" t="s">
        <v>315</v>
      </c>
      <c r="B441" s="501" t="s">
        <v>1736</v>
      </c>
      <c r="C441" s="501" t="s">
        <v>1737</v>
      </c>
      <c r="D441" s="503">
        <v>229178.75</v>
      </c>
      <c r="E441" s="503">
        <v>2964745.26</v>
      </c>
      <c r="F441" s="501">
        <v>0</v>
      </c>
      <c r="G441" s="501">
        <v>0</v>
      </c>
    </row>
    <row r="442" spans="1:7" x14ac:dyDescent="0.25">
      <c r="A442" s="173" t="s">
        <v>315</v>
      </c>
      <c r="B442" s="501" t="s">
        <v>1738</v>
      </c>
      <c r="C442" s="501" t="s">
        <v>1739</v>
      </c>
      <c r="D442" s="503">
        <v>67274.399999999994</v>
      </c>
      <c r="E442" s="503">
        <v>776893.65</v>
      </c>
      <c r="F442" s="501">
        <v>0</v>
      </c>
      <c r="G442" s="501">
        <v>0</v>
      </c>
    </row>
    <row r="443" spans="1:7" x14ac:dyDescent="0.25">
      <c r="B443" s="501"/>
      <c r="C443" s="501"/>
      <c r="D443" s="501"/>
      <c r="E443" s="501"/>
      <c r="F443" s="501"/>
      <c r="G443" s="501"/>
    </row>
    <row r="444" spans="1:7" x14ac:dyDescent="0.25">
      <c r="B444" s="501"/>
      <c r="C444" s="501"/>
      <c r="D444" s="501"/>
      <c r="E444" s="501"/>
      <c r="F444" s="501"/>
      <c r="G444" s="501"/>
    </row>
    <row r="445" spans="1:7" x14ac:dyDescent="0.25">
      <c r="B445" s="501" t="s">
        <v>1240</v>
      </c>
      <c r="C445" s="501" t="s">
        <v>1241</v>
      </c>
      <c r="D445" s="501" t="s">
        <v>1242</v>
      </c>
      <c r="E445" s="501" t="s">
        <v>1243</v>
      </c>
      <c r="F445" s="501"/>
      <c r="G445" s="501" t="s">
        <v>1740</v>
      </c>
    </row>
    <row r="446" spans="1:7" x14ac:dyDescent="0.25">
      <c r="B446" s="501" t="s">
        <v>1245</v>
      </c>
      <c r="C446" s="501" t="s">
        <v>1246</v>
      </c>
      <c r="D446" s="501" t="s">
        <v>1247</v>
      </c>
      <c r="E446" s="501"/>
      <c r="F446" s="501"/>
      <c r="G446" s="501"/>
    </row>
    <row r="447" spans="1:7" x14ac:dyDescent="0.25">
      <c r="B447" s="501"/>
      <c r="C447" s="501" t="s">
        <v>1248</v>
      </c>
      <c r="D447" s="501" t="s">
        <v>1249</v>
      </c>
      <c r="E447" s="501" t="s">
        <v>1250</v>
      </c>
      <c r="F447" s="501" t="s">
        <v>1251</v>
      </c>
      <c r="G447" s="501">
        <v>9</v>
      </c>
    </row>
    <row r="448" spans="1:7" x14ac:dyDescent="0.25">
      <c r="B448" s="501"/>
      <c r="C448" s="501"/>
      <c r="D448" s="501"/>
      <c r="E448" s="501"/>
      <c r="F448" s="501"/>
      <c r="G448" s="501"/>
    </row>
    <row r="449" spans="1:7" x14ac:dyDescent="0.25">
      <c r="B449" s="501">
        <v>1</v>
      </c>
      <c r="C449" s="501">
        <v>1</v>
      </c>
      <c r="D449" s="501" t="s">
        <v>1252</v>
      </c>
      <c r="E449" s="501" t="s">
        <v>1253</v>
      </c>
      <c r="F449" s="501"/>
      <c r="G449" s="501" t="s">
        <v>1254</v>
      </c>
    </row>
    <row r="450" spans="1:7" x14ac:dyDescent="0.25">
      <c r="B450" s="501"/>
      <c r="C450" s="501"/>
      <c r="D450" s="501"/>
      <c r="E450" s="501"/>
      <c r="F450" s="501"/>
      <c r="G450" s="501"/>
    </row>
    <row r="451" spans="1:7" x14ac:dyDescent="0.25">
      <c r="B451" s="501" t="s">
        <v>1255</v>
      </c>
      <c r="C451" s="501" t="s">
        <v>1256</v>
      </c>
      <c r="D451" s="501" t="s">
        <v>1257</v>
      </c>
      <c r="E451" s="501" t="s">
        <v>1258</v>
      </c>
      <c r="F451" s="501" t="s">
        <v>1259</v>
      </c>
      <c r="G451" s="501" t="s">
        <v>1260</v>
      </c>
    </row>
    <row r="452" spans="1:7" x14ac:dyDescent="0.25">
      <c r="B452" s="501"/>
      <c r="C452" s="501"/>
      <c r="D452" s="501"/>
      <c r="E452" s="501"/>
      <c r="F452" s="501"/>
      <c r="G452" s="501"/>
    </row>
    <row r="453" spans="1:7" x14ac:dyDescent="0.25">
      <c r="B453" s="501"/>
      <c r="C453" s="501"/>
      <c r="D453" s="501"/>
      <c r="E453" s="501"/>
      <c r="F453" s="501"/>
      <c r="G453" s="501"/>
    </row>
    <row r="454" spans="1:7" x14ac:dyDescent="0.25">
      <c r="A454" s="173" t="s">
        <v>315</v>
      </c>
      <c r="B454" s="501" t="s">
        <v>1741</v>
      </c>
      <c r="C454" s="501" t="s">
        <v>1742</v>
      </c>
      <c r="D454" s="503">
        <v>26547.67</v>
      </c>
      <c r="E454" s="503">
        <v>173540.89</v>
      </c>
      <c r="F454" s="501">
        <v>0</v>
      </c>
      <c r="G454" s="503">
        <v>70703.740000000005</v>
      </c>
    </row>
    <row r="455" spans="1:7" x14ac:dyDescent="0.25">
      <c r="A455" s="173" t="s">
        <v>315</v>
      </c>
      <c r="B455" s="501" t="s">
        <v>1743</v>
      </c>
      <c r="C455" s="501" t="s">
        <v>1744</v>
      </c>
      <c r="D455" s="503">
        <v>1249377.7</v>
      </c>
      <c r="E455" s="503">
        <v>8092009.96</v>
      </c>
      <c r="F455" s="501">
        <v>0</v>
      </c>
      <c r="G455" s="501">
        <v>0</v>
      </c>
    </row>
    <row r="456" spans="1:7" x14ac:dyDescent="0.25">
      <c r="A456" s="173" t="s">
        <v>315</v>
      </c>
      <c r="B456" s="501" t="s">
        <v>1745</v>
      </c>
      <c r="C456" s="501" t="s">
        <v>1746</v>
      </c>
      <c r="D456" s="503">
        <v>12382.79</v>
      </c>
      <c r="E456" s="503">
        <v>143894.81</v>
      </c>
      <c r="F456" s="501">
        <v>0</v>
      </c>
      <c r="G456" s="501">
        <v>0</v>
      </c>
    </row>
    <row r="457" spans="1:7" x14ac:dyDescent="0.25">
      <c r="A457" s="173" t="s">
        <v>316</v>
      </c>
      <c r="B457" s="501" t="s">
        <v>1747</v>
      </c>
      <c r="C457" s="501" t="s">
        <v>1748</v>
      </c>
      <c r="D457" s="503">
        <v>53436.79</v>
      </c>
      <c r="E457" s="503">
        <v>2067953.07</v>
      </c>
      <c r="F457" s="503">
        <v>180204.52</v>
      </c>
      <c r="G457" s="503">
        <v>1807657.06</v>
      </c>
    </row>
    <row r="458" spans="1:7" x14ac:dyDescent="0.25">
      <c r="A458" s="173" t="s">
        <v>315</v>
      </c>
      <c r="B458" s="501" t="s">
        <v>1749</v>
      </c>
      <c r="C458" s="501" t="s">
        <v>1750</v>
      </c>
      <c r="D458" s="501">
        <v>0</v>
      </c>
      <c r="E458" s="501">
        <v>0</v>
      </c>
      <c r="F458" s="501">
        <v>0</v>
      </c>
      <c r="G458" s="503">
        <v>2582.04</v>
      </c>
    </row>
    <row r="459" spans="1:7" x14ac:dyDescent="0.25">
      <c r="B459" s="501"/>
      <c r="C459" s="501"/>
      <c r="D459" s="501"/>
      <c r="E459" s="501"/>
      <c r="F459" s="501"/>
      <c r="G459" s="501"/>
    </row>
    <row r="460" spans="1:7" x14ac:dyDescent="0.25">
      <c r="B460" s="501"/>
      <c r="C460" s="501" t="s">
        <v>1751</v>
      </c>
      <c r="D460" s="503">
        <v>1470990.74</v>
      </c>
      <c r="E460" s="830">
        <v>32485639.649999999</v>
      </c>
      <c r="F460" s="503">
        <v>1811383.11</v>
      </c>
      <c r="G460" s="503">
        <v>18361662.780000001</v>
      </c>
    </row>
    <row r="461" spans="1:7" x14ac:dyDescent="0.25">
      <c r="B461" s="501"/>
      <c r="C461" s="501"/>
      <c r="D461" s="501"/>
      <c r="E461" s="501"/>
      <c r="F461" s="501"/>
      <c r="G461" s="501"/>
    </row>
    <row r="462" spans="1:7" x14ac:dyDescent="0.25">
      <c r="B462" s="501"/>
      <c r="C462" s="501" t="s">
        <v>1752</v>
      </c>
      <c r="D462" s="503">
        <v>10837004.460000001</v>
      </c>
      <c r="E462" s="503">
        <v>128440429.77</v>
      </c>
      <c r="F462" s="503">
        <v>9898263.7599999998</v>
      </c>
      <c r="G462" s="503">
        <v>105533471.79000001</v>
      </c>
    </row>
    <row r="463" spans="1:7" x14ac:dyDescent="0.25">
      <c r="A463" s="173" t="s">
        <v>322</v>
      </c>
      <c r="B463" s="836" t="s">
        <v>1753</v>
      </c>
      <c r="C463" s="836" t="s">
        <v>1754</v>
      </c>
      <c r="D463" s="837">
        <v>1810197.7</v>
      </c>
      <c r="E463" s="837">
        <v>24203577.82</v>
      </c>
      <c r="F463" s="837">
        <v>1618537.64</v>
      </c>
      <c r="G463" s="837">
        <v>18677082.34</v>
      </c>
    </row>
    <row r="464" spans="1:7" x14ac:dyDescent="0.25">
      <c r="A464" s="173" t="s">
        <v>322</v>
      </c>
      <c r="B464" s="836" t="s">
        <v>1755</v>
      </c>
      <c r="C464" s="836" t="s">
        <v>1756</v>
      </c>
      <c r="D464" s="837">
        <v>1729669</v>
      </c>
      <c r="E464" s="837">
        <v>19702988.039999999</v>
      </c>
      <c r="F464" s="837">
        <v>1534631</v>
      </c>
      <c r="G464" s="837">
        <v>20355445.75</v>
      </c>
    </row>
    <row r="465" spans="1:7" x14ac:dyDescent="0.25">
      <c r="A465" s="173" t="s">
        <v>322</v>
      </c>
      <c r="B465" s="836" t="s">
        <v>1757</v>
      </c>
      <c r="C465" s="836" t="s">
        <v>1758</v>
      </c>
      <c r="D465" s="837">
        <v>207321.53</v>
      </c>
      <c r="E465" s="837">
        <v>2861591.5</v>
      </c>
      <c r="F465" s="837">
        <v>139747.81</v>
      </c>
      <c r="G465" s="837">
        <v>2100549.61</v>
      </c>
    </row>
    <row r="466" spans="1:7" x14ac:dyDescent="0.25">
      <c r="A466" s="173" t="s">
        <v>319</v>
      </c>
      <c r="B466" s="835" t="s">
        <v>1759</v>
      </c>
      <c r="C466" s="835" t="s">
        <v>447</v>
      </c>
      <c r="D466" s="830">
        <v>433171.64</v>
      </c>
      <c r="E466" s="830">
        <v>4165629.34</v>
      </c>
      <c r="F466" s="830">
        <v>299882.96999999997</v>
      </c>
      <c r="G466" s="830">
        <v>3546462.52</v>
      </c>
    </row>
    <row r="467" spans="1:7" x14ac:dyDescent="0.25">
      <c r="A467" s="173" t="s">
        <v>318</v>
      </c>
      <c r="B467" s="835" t="s">
        <v>1760</v>
      </c>
      <c r="C467" s="835" t="s">
        <v>1761</v>
      </c>
      <c r="D467" s="830">
        <v>65049.48</v>
      </c>
      <c r="E467" s="830">
        <v>684350.01</v>
      </c>
      <c r="F467" s="830">
        <v>54355.73</v>
      </c>
      <c r="G467" s="830">
        <v>684500.62</v>
      </c>
    </row>
    <row r="468" spans="1:7" x14ac:dyDescent="0.25">
      <c r="A468" s="173" t="s">
        <v>319</v>
      </c>
      <c r="B468" s="835" t="s">
        <v>1762</v>
      </c>
      <c r="C468" s="835" t="s">
        <v>1763</v>
      </c>
      <c r="D468" s="830">
        <v>-1674568.97</v>
      </c>
      <c r="E468" s="830">
        <v>2191793.36</v>
      </c>
      <c r="F468" s="830">
        <v>-121037.03</v>
      </c>
      <c r="G468" s="830">
        <v>973920.6</v>
      </c>
    </row>
    <row r="469" spans="1:7" x14ac:dyDescent="0.25">
      <c r="B469" s="501" t="s">
        <v>1764</v>
      </c>
      <c r="C469" s="501" t="s">
        <v>1765</v>
      </c>
      <c r="D469" s="503">
        <v>136179.56</v>
      </c>
      <c r="E469" s="503">
        <v>1426797.54</v>
      </c>
      <c r="F469" s="503">
        <v>232283.6</v>
      </c>
      <c r="G469" s="503">
        <v>1607812.02</v>
      </c>
    </row>
    <row r="470" spans="1:7" x14ac:dyDescent="0.25">
      <c r="B470" s="501" t="s">
        <v>1766</v>
      </c>
      <c r="C470" s="501" t="s">
        <v>1767</v>
      </c>
      <c r="D470" s="503">
        <v>218125.7</v>
      </c>
      <c r="E470" s="503">
        <v>279046.24</v>
      </c>
      <c r="F470" s="501">
        <v>369.14</v>
      </c>
      <c r="G470" s="503">
        <v>10449.98</v>
      </c>
    </row>
    <row r="471" spans="1:7" x14ac:dyDescent="0.25">
      <c r="B471" s="501" t="s">
        <v>1768</v>
      </c>
      <c r="C471" s="501" t="s">
        <v>1769</v>
      </c>
      <c r="D471" s="503">
        <v>2750</v>
      </c>
      <c r="E471" s="503">
        <v>6300</v>
      </c>
      <c r="F471" s="503">
        <v>2500</v>
      </c>
      <c r="G471" s="503">
        <v>61779.55</v>
      </c>
    </row>
    <row r="472" spans="1:7" x14ac:dyDescent="0.25">
      <c r="B472" s="501" t="s">
        <v>1770</v>
      </c>
      <c r="C472" s="501" t="s">
        <v>1771</v>
      </c>
      <c r="D472" s="503">
        <v>2734247.9</v>
      </c>
      <c r="E472" s="503">
        <v>12986057.84</v>
      </c>
      <c r="F472" s="503">
        <v>250320.91</v>
      </c>
      <c r="G472" s="503">
        <v>10233830.23</v>
      </c>
    </row>
    <row r="473" spans="1:7" x14ac:dyDescent="0.25">
      <c r="B473" s="501" t="s">
        <v>1772</v>
      </c>
      <c r="C473" s="501" t="s">
        <v>1773</v>
      </c>
      <c r="D473" s="501">
        <v>0</v>
      </c>
      <c r="E473" s="501">
        <v>-35.549999999999997</v>
      </c>
      <c r="F473" s="501">
        <v>0</v>
      </c>
      <c r="G473" s="501">
        <v>103.77</v>
      </c>
    </row>
    <row r="474" spans="1:7" x14ac:dyDescent="0.25">
      <c r="B474" s="501" t="s">
        <v>1774</v>
      </c>
      <c r="C474" s="501" t="s">
        <v>1775</v>
      </c>
      <c r="D474" s="503">
        <v>15310.21</v>
      </c>
      <c r="E474" s="503">
        <v>158991.15</v>
      </c>
      <c r="F474" s="503">
        <v>-1818.79</v>
      </c>
      <c r="G474" s="503">
        <v>184393.60000000001</v>
      </c>
    </row>
    <row r="475" spans="1:7" x14ac:dyDescent="0.25">
      <c r="B475" s="501" t="s">
        <v>1776</v>
      </c>
      <c r="C475" s="501" t="s">
        <v>1777</v>
      </c>
      <c r="D475" s="501">
        <v>0</v>
      </c>
      <c r="E475" s="503">
        <v>15274.15</v>
      </c>
      <c r="F475" s="501">
        <v>0</v>
      </c>
      <c r="G475" s="501">
        <v>0</v>
      </c>
    </row>
    <row r="476" spans="1:7" x14ac:dyDescent="0.25">
      <c r="B476" s="501" t="s">
        <v>1778</v>
      </c>
      <c r="C476" s="501" t="s">
        <v>1779</v>
      </c>
      <c r="D476" s="503">
        <v>1980.07</v>
      </c>
      <c r="E476" s="503">
        <v>12681.24</v>
      </c>
      <c r="F476" s="501">
        <v>0</v>
      </c>
      <c r="G476" s="501">
        <v>0</v>
      </c>
    </row>
    <row r="477" spans="1:7" x14ac:dyDescent="0.25">
      <c r="B477" s="501" t="s">
        <v>1780</v>
      </c>
      <c r="C477" s="501" t="s">
        <v>1781</v>
      </c>
      <c r="D477" s="503">
        <v>12126.33</v>
      </c>
      <c r="E477" s="503">
        <v>53756.58</v>
      </c>
      <c r="F477" s="501">
        <v>0</v>
      </c>
      <c r="G477" s="501">
        <v>0</v>
      </c>
    </row>
    <row r="478" spans="1:7" x14ac:dyDescent="0.25">
      <c r="B478" s="501" t="s">
        <v>1782</v>
      </c>
      <c r="C478" s="501" t="s">
        <v>1783</v>
      </c>
      <c r="D478" s="503">
        <v>51643.48</v>
      </c>
      <c r="E478" s="503">
        <v>250637.86</v>
      </c>
      <c r="F478" s="501">
        <v>0</v>
      </c>
      <c r="G478" s="501">
        <v>0</v>
      </c>
    </row>
    <row r="479" spans="1:7" x14ac:dyDescent="0.25">
      <c r="B479" s="501" t="s">
        <v>1784</v>
      </c>
      <c r="C479" s="501" t="s">
        <v>1785</v>
      </c>
      <c r="D479" s="503">
        <v>90826.14</v>
      </c>
      <c r="E479" s="503">
        <v>1203653.8600000001</v>
      </c>
      <c r="F479" s="503">
        <v>134044.45000000001</v>
      </c>
      <c r="G479" s="503">
        <v>1231201.57</v>
      </c>
    </row>
    <row r="480" spans="1:7" x14ac:dyDescent="0.25">
      <c r="B480" s="501" t="s">
        <v>1786</v>
      </c>
      <c r="C480" s="501" t="s">
        <v>1787</v>
      </c>
      <c r="D480" s="503">
        <v>335313.01</v>
      </c>
      <c r="E480" s="503">
        <v>3968081.84</v>
      </c>
      <c r="F480" s="503">
        <v>228812.74</v>
      </c>
      <c r="G480" s="503">
        <v>3671580.85</v>
      </c>
    </row>
    <row r="481" spans="2:8" x14ac:dyDescent="0.25">
      <c r="B481" s="501" t="s">
        <v>1788</v>
      </c>
      <c r="C481" s="501" t="s">
        <v>1789</v>
      </c>
      <c r="D481" s="503">
        <v>295599.68</v>
      </c>
      <c r="E481" s="503">
        <v>1901943.61</v>
      </c>
      <c r="F481" s="503">
        <v>191711.88</v>
      </c>
      <c r="G481" s="503">
        <v>1601004.66</v>
      </c>
    </row>
    <row r="482" spans="2:8" x14ac:dyDescent="0.25">
      <c r="B482" s="501" t="s">
        <v>1790</v>
      </c>
      <c r="C482" s="501" t="s">
        <v>1791</v>
      </c>
      <c r="D482" s="503">
        <v>402865.11</v>
      </c>
      <c r="E482" s="503">
        <v>3023797.89</v>
      </c>
      <c r="F482" s="503">
        <v>368859.36</v>
      </c>
      <c r="G482" s="503">
        <v>2729973.78</v>
      </c>
    </row>
    <row r="483" spans="2:8" x14ac:dyDescent="0.25">
      <c r="B483" s="501" t="s">
        <v>1792</v>
      </c>
      <c r="C483" s="501" t="s">
        <v>1793</v>
      </c>
      <c r="D483" s="503">
        <v>199234.68</v>
      </c>
      <c r="E483" s="503">
        <v>1342279.79</v>
      </c>
      <c r="F483" s="503">
        <v>179992.95999999999</v>
      </c>
      <c r="G483" s="503">
        <v>1263076.97</v>
      </c>
    </row>
    <row r="484" spans="2:8" x14ac:dyDescent="0.25">
      <c r="B484" s="501" t="s">
        <v>1794</v>
      </c>
      <c r="C484" s="501" t="s">
        <v>1795</v>
      </c>
      <c r="D484" s="503">
        <v>95269.86</v>
      </c>
      <c r="E484" s="503">
        <v>705432.84</v>
      </c>
      <c r="F484" s="503">
        <v>95937.31</v>
      </c>
      <c r="G484" s="503">
        <v>671858.09</v>
      </c>
    </row>
    <row r="485" spans="2:8" x14ac:dyDescent="0.25">
      <c r="B485" s="501" t="s">
        <v>1796</v>
      </c>
      <c r="C485" s="501" t="s">
        <v>1797</v>
      </c>
      <c r="D485" s="503">
        <v>70748.009999999995</v>
      </c>
      <c r="E485" s="503">
        <v>334955.24</v>
      </c>
      <c r="F485" s="503">
        <v>45105.46</v>
      </c>
      <c r="G485" s="503">
        <v>268242.18</v>
      </c>
    </row>
    <row r="486" spans="2:8" x14ac:dyDescent="0.25">
      <c r="B486" s="501" t="s">
        <v>1798</v>
      </c>
      <c r="C486" s="501" t="s">
        <v>1799</v>
      </c>
      <c r="D486" s="503">
        <v>54876.46</v>
      </c>
      <c r="E486" s="503">
        <v>297851.56</v>
      </c>
      <c r="F486" s="503">
        <v>22497.09</v>
      </c>
      <c r="G486" s="503">
        <v>204305.23</v>
      </c>
    </row>
    <row r="487" spans="2:8" x14ac:dyDescent="0.25">
      <c r="B487" s="501" t="s">
        <v>1800</v>
      </c>
      <c r="C487" s="501" t="s">
        <v>1801</v>
      </c>
      <c r="D487" s="503">
        <v>13417.81</v>
      </c>
      <c r="E487" s="503">
        <v>90611.72</v>
      </c>
      <c r="F487" s="503">
        <v>5039.45</v>
      </c>
      <c r="G487" s="503">
        <v>78137.67</v>
      </c>
    </row>
    <row r="488" spans="2:8" x14ac:dyDescent="0.25">
      <c r="B488" s="501" t="s">
        <v>1802</v>
      </c>
      <c r="C488" s="501" t="s">
        <v>1803</v>
      </c>
      <c r="D488" s="503">
        <v>3908.21</v>
      </c>
      <c r="E488" s="503">
        <v>50246.05</v>
      </c>
      <c r="F488" s="503">
        <v>1865.92</v>
      </c>
      <c r="G488" s="503">
        <v>23540.22</v>
      </c>
    </row>
    <row r="489" spans="2:8" x14ac:dyDescent="0.25">
      <c r="B489" s="501" t="s">
        <v>1804</v>
      </c>
      <c r="C489" s="501" t="s">
        <v>1805</v>
      </c>
      <c r="D489" s="503">
        <v>33289.599999999999</v>
      </c>
      <c r="E489" s="503">
        <v>294748.26</v>
      </c>
      <c r="F489" s="503">
        <v>51361.4</v>
      </c>
      <c r="G489" s="503">
        <v>438358.22</v>
      </c>
    </row>
    <row r="490" spans="2:8" x14ac:dyDescent="0.25">
      <c r="B490" s="501" t="s">
        <v>1806</v>
      </c>
      <c r="C490" s="501" t="s">
        <v>1807</v>
      </c>
      <c r="D490" s="503">
        <v>33630</v>
      </c>
      <c r="E490" s="503">
        <v>405219.35</v>
      </c>
      <c r="F490" s="503">
        <v>23115</v>
      </c>
      <c r="G490" s="503">
        <v>648398.44999999995</v>
      </c>
    </row>
    <row r="491" spans="2:8" x14ac:dyDescent="0.25">
      <c r="B491" s="501" t="s">
        <v>1808</v>
      </c>
      <c r="C491" s="501" t="s">
        <v>1809</v>
      </c>
      <c r="D491" s="503">
        <v>17493.93</v>
      </c>
      <c r="E491" s="503">
        <v>417797.55</v>
      </c>
      <c r="F491" s="503">
        <v>68057.88</v>
      </c>
      <c r="G491" s="503">
        <v>472425.91</v>
      </c>
    </row>
    <row r="492" spans="2:8" x14ac:dyDescent="0.25">
      <c r="B492" s="501" t="s">
        <v>1810</v>
      </c>
      <c r="C492" s="501" t="s">
        <v>1811</v>
      </c>
      <c r="D492" s="501">
        <v>801.38</v>
      </c>
      <c r="E492" s="503">
        <v>8482.85</v>
      </c>
      <c r="F492" s="501">
        <v>423.34</v>
      </c>
      <c r="G492" s="503">
        <v>2579.71</v>
      </c>
    </row>
    <row r="493" spans="2:8" x14ac:dyDescent="0.25">
      <c r="B493" s="501" t="s">
        <v>1812</v>
      </c>
      <c r="C493" s="501" t="s">
        <v>1813</v>
      </c>
      <c r="D493" s="503">
        <v>14373.89</v>
      </c>
      <c r="E493" s="503">
        <v>-1062849.21</v>
      </c>
      <c r="F493" s="503">
        <v>17104.91</v>
      </c>
      <c r="G493" s="503">
        <v>2142281.33</v>
      </c>
    </row>
    <row r="494" spans="2:8" x14ac:dyDescent="0.25">
      <c r="B494" s="501"/>
      <c r="C494" s="501"/>
      <c r="D494" s="501"/>
      <c r="E494" s="501"/>
      <c r="F494" s="501"/>
      <c r="G494" s="501"/>
    </row>
    <row r="495" spans="2:8" x14ac:dyDescent="0.25">
      <c r="B495" s="501"/>
      <c r="C495" s="501" t="s">
        <v>1814</v>
      </c>
      <c r="D495" s="503">
        <v>7404851.4000000004</v>
      </c>
      <c r="E495" s="503">
        <v>81981690.319999993</v>
      </c>
      <c r="F495" s="503">
        <v>5443702.1299999999</v>
      </c>
      <c r="G495" s="503">
        <v>73883295.430000007</v>
      </c>
    </row>
    <row r="496" spans="2:8" x14ac:dyDescent="0.25">
      <c r="B496" s="831" t="s">
        <v>1501</v>
      </c>
      <c r="C496" s="831" t="s">
        <v>1444</v>
      </c>
      <c r="D496" s="832">
        <v>-2419461.31</v>
      </c>
      <c r="E496" s="832">
        <v>-12339993.99</v>
      </c>
      <c r="F496" s="831">
        <v>0</v>
      </c>
      <c r="G496" s="831">
        <v>0</v>
      </c>
      <c r="H496" t="s">
        <v>2775</v>
      </c>
    </row>
    <row r="497" spans="1:7" x14ac:dyDescent="0.25">
      <c r="B497" s="833" t="s">
        <v>2776</v>
      </c>
      <c r="C497" s="831" t="s">
        <v>1814</v>
      </c>
      <c r="D497" s="832">
        <f>D495-D496</f>
        <v>9824312.7100000009</v>
      </c>
      <c r="E497" s="832">
        <f t="shared" ref="E497:G497" si="2">E495-E496</f>
        <v>94321684.309999987</v>
      </c>
      <c r="F497" s="832">
        <f t="shared" si="2"/>
        <v>5443702.1299999999</v>
      </c>
      <c r="G497" s="832">
        <f t="shared" si="2"/>
        <v>73883295.430000007</v>
      </c>
    </row>
    <row r="498" spans="1:7" x14ac:dyDescent="0.25">
      <c r="B498" s="501"/>
      <c r="C498" s="501"/>
      <c r="D498" s="503"/>
      <c r="E498" s="503"/>
      <c r="F498" s="503"/>
      <c r="G498" s="503"/>
    </row>
    <row r="499" spans="1:7" x14ac:dyDescent="0.25">
      <c r="B499" s="501"/>
      <c r="C499" s="501"/>
      <c r="D499" s="503"/>
      <c r="E499" s="503"/>
      <c r="F499" s="503"/>
      <c r="G499" s="503"/>
    </row>
    <row r="500" spans="1:7" x14ac:dyDescent="0.25">
      <c r="B500" s="501"/>
      <c r="C500" s="501"/>
      <c r="D500" s="503"/>
      <c r="E500" s="503"/>
      <c r="F500" s="503"/>
      <c r="G500" s="503"/>
    </row>
    <row r="501" spans="1:7" x14ac:dyDescent="0.25">
      <c r="B501" s="501"/>
      <c r="C501" s="501"/>
      <c r="D501" s="503"/>
      <c r="E501" s="503"/>
      <c r="F501" s="503"/>
      <c r="G501" s="503"/>
    </row>
    <row r="502" spans="1:7" x14ac:dyDescent="0.25">
      <c r="A502" s="173" t="s">
        <v>325</v>
      </c>
      <c r="B502" s="501" t="s">
        <v>1815</v>
      </c>
      <c r="C502" s="501" t="s">
        <v>449</v>
      </c>
      <c r="D502" s="503">
        <v>-1899151.16</v>
      </c>
      <c r="E502" s="503">
        <v>-15165886.880000001</v>
      </c>
      <c r="F502" s="503">
        <v>-998672.13</v>
      </c>
      <c r="G502" s="503">
        <v>-6416670.4199999999</v>
      </c>
    </row>
    <row r="503" spans="1:7" x14ac:dyDescent="0.25">
      <c r="A503" s="173" t="s">
        <v>325</v>
      </c>
      <c r="B503" s="501" t="s">
        <v>1816</v>
      </c>
      <c r="C503" s="501" t="s">
        <v>1817</v>
      </c>
      <c r="D503" s="503">
        <v>248239.07</v>
      </c>
      <c r="E503" s="503">
        <v>998038.88</v>
      </c>
      <c r="F503" s="503">
        <v>102778.95</v>
      </c>
      <c r="G503" s="503">
        <v>1323588.24</v>
      </c>
    </row>
    <row r="504" spans="1:7" x14ac:dyDescent="0.25">
      <c r="A504" s="173" t="s">
        <v>325</v>
      </c>
      <c r="B504" s="501" t="s">
        <v>1818</v>
      </c>
      <c r="C504" s="501" t="s">
        <v>1819</v>
      </c>
      <c r="D504" s="503">
        <v>276187.21999999997</v>
      </c>
      <c r="E504" s="503">
        <v>1163153.5900000001</v>
      </c>
      <c r="F504" s="503">
        <v>95016.47</v>
      </c>
      <c r="G504" s="503">
        <v>1441067.09</v>
      </c>
    </row>
    <row r="505" spans="1:7" x14ac:dyDescent="0.25">
      <c r="A505" s="173" t="s">
        <v>325</v>
      </c>
      <c r="B505" s="501" t="s">
        <v>1820</v>
      </c>
      <c r="C505" s="501" t="s">
        <v>1821</v>
      </c>
      <c r="D505" s="503">
        <v>4883.8</v>
      </c>
      <c r="E505" s="503">
        <v>58605.4</v>
      </c>
      <c r="F505" s="503">
        <v>9584.99</v>
      </c>
      <c r="G505" s="503">
        <v>115020.4</v>
      </c>
    </row>
    <row r="506" spans="1:7" x14ac:dyDescent="0.25">
      <c r="A506" s="173" t="s">
        <v>325</v>
      </c>
      <c r="B506" s="501" t="s">
        <v>1822</v>
      </c>
      <c r="C506" s="501" t="s">
        <v>1823</v>
      </c>
      <c r="D506" s="503">
        <v>315734.38</v>
      </c>
      <c r="E506" s="503">
        <v>3788812.56</v>
      </c>
      <c r="F506" s="503">
        <v>315734.38</v>
      </c>
      <c r="G506" s="503">
        <v>3788812.56</v>
      </c>
    </row>
    <row r="507" spans="1:7" x14ac:dyDescent="0.25">
      <c r="A507" s="173" t="s">
        <v>325</v>
      </c>
      <c r="B507" s="501" t="s">
        <v>1824</v>
      </c>
      <c r="C507" s="501" t="s">
        <v>1825</v>
      </c>
      <c r="D507" s="503">
        <v>69823.88</v>
      </c>
      <c r="E507" s="503">
        <v>837887.12</v>
      </c>
      <c r="F507" s="503">
        <v>85265.76</v>
      </c>
      <c r="G507" s="503">
        <v>1023189.14</v>
      </c>
    </row>
    <row r="508" spans="1:7" x14ac:dyDescent="0.25">
      <c r="A508" s="173" t="s">
        <v>325</v>
      </c>
      <c r="B508" s="501" t="s">
        <v>1826</v>
      </c>
      <c r="C508" s="501" t="s">
        <v>1827</v>
      </c>
      <c r="D508" s="503">
        <v>194626.47</v>
      </c>
      <c r="E508" s="503">
        <v>2335517.64</v>
      </c>
      <c r="F508" s="503">
        <v>194626.47</v>
      </c>
      <c r="G508" s="503">
        <v>2335517.64</v>
      </c>
    </row>
    <row r="509" spans="1:7" x14ac:dyDescent="0.25">
      <c r="A509" s="173" t="s">
        <v>325</v>
      </c>
      <c r="B509" s="501" t="s">
        <v>1828</v>
      </c>
      <c r="C509" s="501" t="s">
        <v>1829</v>
      </c>
      <c r="D509" s="503">
        <v>108243.78</v>
      </c>
      <c r="E509" s="503">
        <v>1298925.3600000001</v>
      </c>
      <c r="F509" s="503">
        <v>108396.02</v>
      </c>
      <c r="G509" s="503">
        <v>1300752.24</v>
      </c>
    </row>
    <row r="510" spans="1:7" x14ac:dyDescent="0.25">
      <c r="A510" s="173" t="s">
        <v>325</v>
      </c>
      <c r="B510" s="501" t="s">
        <v>1830</v>
      </c>
      <c r="C510" s="501" t="s">
        <v>1831</v>
      </c>
      <c r="D510" s="503">
        <v>102822.45</v>
      </c>
      <c r="E510" s="503">
        <v>1513226.77</v>
      </c>
      <c r="F510" s="503">
        <v>124045.29</v>
      </c>
      <c r="G510" s="503">
        <v>1252265.0900000001</v>
      </c>
    </row>
    <row r="511" spans="1:7" x14ac:dyDescent="0.25">
      <c r="B511" s="501"/>
      <c r="C511" s="501"/>
      <c r="D511" s="501"/>
      <c r="E511" s="501"/>
      <c r="F511" s="501"/>
      <c r="G511" s="501"/>
    </row>
    <row r="512" spans="1:7" x14ac:dyDescent="0.25">
      <c r="B512" s="501"/>
      <c r="C512" s="501"/>
      <c r="D512" s="501"/>
      <c r="E512" s="501"/>
      <c r="F512" s="501"/>
      <c r="G512" s="501"/>
    </row>
    <row r="513" spans="1:7" x14ac:dyDescent="0.25">
      <c r="B513" s="501" t="s">
        <v>1240</v>
      </c>
      <c r="C513" s="501" t="s">
        <v>1241</v>
      </c>
      <c r="D513" s="501" t="s">
        <v>1242</v>
      </c>
      <c r="E513" s="501" t="s">
        <v>1243</v>
      </c>
      <c r="F513" s="501"/>
      <c r="G513" s="501" t="s">
        <v>1832</v>
      </c>
    </row>
    <row r="514" spans="1:7" x14ac:dyDescent="0.25">
      <c r="B514" s="501" t="s">
        <v>1245</v>
      </c>
      <c r="C514" s="501" t="s">
        <v>1246</v>
      </c>
      <c r="D514" s="501" t="s">
        <v>1247</v>
      </c>
      <c r="E514" s="501"/>
      <c r="F514" s="501"/>
      <c r="G514" s="501"/>
    </row>
    <row r="515" spans="1:7" x14ac:dyDescent="0.25">
      <c r="B515" s="501"/>
      <c r="C515" s="501" t="s">
        <v>1248</v>
      </c>
      <c r="D515" s="501" t="s">
        <v>1249</v>
      </c>
      <c r="E515" s="501" t="s">
        <v>1250</v>
      </c>
      <c r="F515" s="501" t="s">
        <v>1251</v>
      </c>
      <c r="G515" s="501">
        <v>9</v>
      </c>
    </row>
    <row r="516" spans="1:7" x14ac:dyDescent="0.25">
      <c r="B516" s="501"/>
      <c r="C516" s="501"/>
      <c r="D516" s="501"/>
      <c r="E516" s="501"/>
      <c r="F516" s="501"/>
      <c r="G516" s="501"/>
    </row>
    <row r="517" spans="1:7" x14ac:dyDescent="0.25">
      <c r="B517" s="501">
        <v>1</v>
      </c>
      <c r="C517" s="501">
        <v>1</v>
      </c>
      <c r="D517" s="501" t="s">
        <v>1252</v>
      </c>
      <c r="E517" s="501" t="s">
        <v>1253</v>
      </c>
      <c r="F517" s="501"/>
      <c r="G517" s="501" t="s">
        <v>1254</v>
      </c>
    </row>
    <row r="518" spans="1:7" x14ac:dyDescent="0.25">
      <c r="B518" s="501"/>
      <c r="C518" s="501"/>
      <c r="D518" s="501"/>
      <c r="E518" s="501"/>
      <c r="F518" s="501"/>
      <c r="G518" s="501"/>
    </row>
    <row r="519" spans="1:7" x14ac:dyDescent="0.25">
      <c r="B519" s="501" t="s">
        <v>1255</v>
      </c>
      <c r="C519" s="501" t="s">
        <v>1256</v>
      </c>
      <c r="D519" s="501" t="s">
        <v>1257</v>
      </c>
      <c r="E519" s="501" t="s">
        <v>1258</v>
      </c>
      <c r="F519" s="501" t="s">
        <v>1259</v>
      </c>
      <c r="G519" s="501" t="s">
        <v>1260</v>
      </c>
    </row>
    <row r="520" spans="1:7" x14ac:dyDescent="0.25">
      <c r="B520" s="501"/>
      <c r="C520" s="501"/>
      <c r="D520" s="501"/>
      <c r="E520" s="501"/>
      <c r="F520" s="501"/>
      <c r="G520" s="501"/>
    </row>
    <row r="521" spans="1:7" x14ac:dyDescent="0.25">
      <c r="B521" s="501"/>
      <c r="C521" s="501"/>
      <c r="D521" s="501"/>
      <c r="E521" s="501"/>
      <c r="F521" s="501"/>
      <c r="G521" s="501"/>
    </row>
    <row r="522" spans="1:7" x14ac:dyDescent="0.25">
      <c r="A522" s="173" t="s">
        <v>325</v>
      </c>
      <c r="B522" s="501" t="s">
        <v>1833</v>
      </c>
      <c r="C522" s="501" t="s">
        <v>1834</v>
      </c>
      <c r="D522" s="503">
        <v>96311.360000000001</v>
      </c>
      <c r="E522" s="503">
        <v>1450570.33</v>
      </c>
      <c r="F522" s="503">
        <v>109099.38</v>
      </c>
      <c r="G522" s="503">
        <v>1229738.8400000001</v>
      </c>
    </row>
    <row r="523" spans="1:7" x14ac:dyDescent="0.25">
      <c r="A523" s="173" t="s">
        <v>325</v>
      </c>
      <c r="B523" s="501" t="s">
        <v>1835</v>
      </c>
      <c r="C523" s="501" t="s">
        <v>1836</v>
      </c>
      <c r="D523" s="503">
        <v>353906.28</v>
      </c>
      <c r="E523" s="503">
        <v>4247631.3600000003</v>
      </c>
      <c r="F523" s="503">
        <v>353253.28</v>
      </c>
      <c r="G523" s="503">
        <v>4196422.3600000003</v>
      </c>
    </row>
    <row r="524" spans="1:7" x14ac:dyDescent="0.25">
      <c r="A524" s="173" t="s">
        <v>325</v>
      </c>
      <c r="B524" s="501" t="s">
        <v>1837</v>
      </c>
      <c r="C524" s="501" t="s">
        <v>1838</v>
      </c>
      <c r="D524" s="503">
        <v>703442.53</v>
      </c>
      <c r="E524" s="503">
        <v>8441310.3599999994</v>
      </c>
      <c r="F524" s="503">
        <v>703593.97</v>
      </c>
      <c r="G524" s="503">
        <v>8443127.6400000006</v>
      </c>
    </row>
    <row r="525" spans="1:7" x14ac:dyDescent="0.25">
      <c r="A525" s="173" t="s">
        <v>325</v>
      </c>
      <c r="B525" s="501" t="s">
        <v>1839</v>
      </c>
      <c r="C525" s="501" t="s">
        <v>1840</v>
      </c>
      <c r="D525" s="503">
        <v>350677.01</v>
      </c>
      <c r="E525" s="503">
        <v>4287189.74</v>
      </c>
      <c r="F525" s="503">
        <v>-23721.14</v>
      </c>
      <c r="G525" s="503">
        <v>4496677.53</v>
      </c>
    </row>
    <row r="526" spans="1:7" x14ac:dyDescent="0.25">
      <c r="B526" s="501"/>
      <c r="C526" s="501"/>
      <c r="D526" s="501"/>
      <c r="E526" s="501"/>
      <c r="F526" s="501"/>
      <c r="G526" s="501"/>
    </row>
    <row r="527" spans="1:7" x14ac:dyDescent="0.25">
      <c r="B527" s="501"/>
      <c r="C527" s="501" t="s">
        <v>1841</v>
      </c>
      <c r="D527" s="503">
        <v>925747.07</v>
      </c>
      <c r="E527" s="506">
        <v>15254982.23</v>
      </c>
      <c r="F527" s="503">
        <v>1179001.69</v>
      </c>
      <c r="G527" s="503">
        <v>24529508.350000001</v>
      </c>
    </row>
    <row r="528" spans="1:7" x14ac:dyDescent="0.25">
      <c r="B528" s="501"/>
      <c r="C528" s="501" t="s">
        <v>1842</v>
      </c>
      <c r="D528" s="503">
        <v>138741861.78999999</v>
      </c>
      <c r="E528" s="503">
        <v>1596263015.5599999</v>
      </c>
      <c r="F528" s="503">
        <v>128923146.66</v>
      </c>
      <c r="G528" s="503">
        <v>1452380331.6900001</v>
      </c>
    </row>
    <row r="529" spans="2:7" x14ac:dyDescent="0.25">
      <c r="B529" s="501"/>
      <c r="C529" s="501"/>
      <c r="D529" s="501"/>
      <c r="E529" s="501"/>
      <c r="F529" s="501"/>
      <c r="G529" s="501"/>
    </row>
    <row r="530" spans="2:7" x14ac:dyDescent="0.25">
      <c r="B530" s="501"/>
      <c r="C530" s="501"/>
      <c r="D530" s="501"/>
      <c r="E530" s="501"/>
      <c r="F530" s="501"/>
      <c r="G530" s="501"/>
    </row>
    <row r="531" spans="2:7" x14ac:dyDescent="0.25">
      <c r="B531" s="501"/>
      <c r="C531" s="501" t="s">
        <v>1843</v>
      </c>
      <c r="D531" s="503">
        <v>20438741.719999999</v>
      </c>
      <c r="E531" s="503">
        <v>115063984.98999999</v>
      </c>
      <c r="F531" s="503">
        <v>46769863.450000003</v>
      </c>
      <c r="G531" s="503">
        <v>196051545.94999999</v>
      </c>
    </row>
    <row r="532" spans="2:7" x14ac:dyDescent="0.25">
      <c r="B532" s="501"/>
      <c r="C532" s="501"/>
      <c r="D532" s="501"/>
      <c r="E532" s="501"/>
      <c r="F532" s="501"/>
      <c r="G532" s="501"/>
    </row>
    <row r="533" spans="2:7" x14ac:dyDescent="0.25">
      <c r="B533" s="501" t="s">
        <v>1844</v>
      </c>
      <c r="C533" s="501" t="s">
        <v>1845</v>
      </c>
      <c r="D533" s="501"/>
      <c r="E533" s="501"/>
      <c r="F533" s="501"/>
      <c r="G533" s="501"/>
    </row>
    <row r="534" spans="2:7" x14ac:dyDescent="0.25">
      <c r="B534" s="501" t="s">
        <v>1846</v>
      </c>
      <c r="C534" s="501" t="s">
        <v>1847</v>
      </c>
      <c r="D534" s="503">
        <v>3104383.79</v>
      </c>
      <c r="E534" s="503">
        <v>34309128.280000001</v>
      </c>
      <c r="F534" s="503">
        <v>6646569.4000000004</v>
      </c>
      <c r="G534" s="503">
        <v>29424847.870000001</v>
      </c>
    </row>
    <row r="535" spans="2:7" x14ac:dyDescent="0.25">
      <c r="B535" s="501" t="s">
        <v>1848</v>
      </c>
      <c r="C535" s="501" t="s">
        <v>1849</v>
      </c>
      <c r="D535" s="503">
        <v>378346.32</v>
      </c>
      <c r="E535" s="503">
        <v>3207805.71</v>
      </c>
      <c r="F535" s="503">
        <v>403324</v>
      </c>
      <c r="G535" s="503">
        <v>2632283</v>
      </c>
    </row>
    <row r="536" spans="2:7" x14ac:dyDescent="0.25">
      <c r="B536" s="501" t="s">
        <v>1850</v>
      </c>
      <c r="C536" s="501" t="s">
        <v>1851</v>
      </c>
      <c r="D536" s="503">
        <v>173556.47</v>
      </c>
      <c r="E536" s="503">
        <v>1952129.44</v>
      </c>
      <c r="F536" s="503">
        <v>343255</v>
      </c>
      <c r="G536" s="503">
        <v>2163407</v>
      </c>
    </row>
    <row r="537" spans="2:7" x14ac:dyDescent="0.25">
      <c r="B537" s="501" t="s">
        <v>1852</v>
      </c>
      <c r="C537" s="501" t="s">
        <v>1853</v>
      </c>
      <c r="D537" s="501">
        <v>0</v>
      </c>
      <c r="E537" s="501">
        <v>0</v>
      </c>
      <c r="F537" s="501">
        <v>0</v>
      </c>
      <c r="G537" s="503">
        <v>-94511.43</v>
      </c>
    </row>
    <row r="538" spans="2:7" x14ac:dyDescent="0.25">
      <c r="B538" s="501" t="s">
        <v>1854</v>
      </c>
      <c r="C538" s="501" t="s">
        <v>1855</v>
      </c>
      <c r="D538" s="503">
        <v>1002.62</v>
      </c>
      <c r="E538" s="503">
        <v>220371.71</v>
      </c>
      <c r="F538" s="501">
        <v>0</v>
      </c>
      <c r="G538" s="503">
        <v>212236</v>
      </c>
    </row>
    <row r="539" spans="2:7" x14ac:dyDescent="0.25">
      <c r="B539" s="501" t="s">
        <v>1856</v>
      </c>
      <c r="C539" s="501" t="s">
        <v>1857</v>
      </c>
      <c r="D539" s="503">
        <v>-12545</v>
      </c>
      <c r="E539" s="503">
        <v>2502231.66</v>
      </c>
      <c r="F539" s="503">
        <v>249053.85</v>
      </c>
      <c r="G539" s="503">
        <v>409419.11</v>
      </c>
    </row>
    <row r="540" spans="2:7" x14ac:dyDescent="0.25">
      <c r="B540" s="501" t="s">
        <v>1858</v>
      </c>
      <c r="C540" s="501" t="s">
        <v>1859</v>
      </c>
      <c r="D540" s="503">
        <v>-342688.65</v>
      </c>
      <c r="E540" s="503">
        <v>6115209.2300000004</v>
      </c>
      <c r="F540" s="503">
        <v>496753</v>
      </c>
      <c r="G540" s="503">
        <v>10991290.25</v>
      </c>
    </row>
    <row r="541" spans="2:7" x14ac:dyDescent="0.25">
      <c r="B541" s="501" t="s">
        <v>1860</v>
      </c>
      <c r="C541" s="501" t="s">
        <v>1861</v>
      </c>
      <c r="D541" s="503">
        <v>-157199.45000000001</v>
      </c>
      <c r="E541" s="503">
        <v>4594733.26</v>
      </c>
      <c r="F541" s="503">
        <v>455879</v>
      </c>
      <c r="G541" s="503">
        <v>9722260</v>
      </c>
    </row>
    <row r="542" spans="2:7" x14ac:dyDescent="0.25">
      <c r="B542" s="501" t="s">
        <v>1862</v>
      </c>
      <c r="C542" s="501" t="s">
        <v>1863</v>
      </c>
      <c r="D542" s="503">
        <v>541482.64</v>
      </c>
      <c r="E542" s="503">
        <v>-1721057.21</v>
      </c>
      <c r="F542" s="503">
        <v>-1074902</v>
      </c>
      <c r="G542" s="503">
        <v>2995159</v>
      </c>
    </row>
    <row r="543" spans="2:7" x14ac:dyDescent="0.25">
      <c r="B543" s="501" t="s">
        <v>1864</v>
      </c>
      <c r="C543" s="501" t="s">
        <v>1865</v>
      </c>
      <c r="D543" s="503">
        <v>248390.99</v>
      </c>
      <c r="E543" s="503">
        <v>-5246166.25</v>
      </c>
      <c r="F543" s="503">
        <v>-869021</v>
      </c>
      <c r="G543" s="503">
        <v>2454562</v>
      </c>
    </row>
    <row r="544" spans="2:7" x14ac:dyDescent="0.25">
      <c r="B544" s="501" t="s">
        <v>1866</v>
      </c>
      <c r="C544" s="501" t="s">
        <v>1867</v>
      </c>
      <c r="D544" s="503">
        <v>41104.120000000003</v>
      </c>
      <c r="E544" s="503">
        <v>386403.05</v>
      </c>
      <c r="F544" s="503">
        <v>7789.17</v>
      </c>
      <c r="G544" s="503">
        <v>-180115.25</v>
      </c>
    </row>
    <row r="545" spans="2:7" x14ac:dyDescent="0.25">
      <c r="B545" s="501" t="s">
        <v>1868</v>
      </c>
      <c r="C545" s="501" t="s">
        <v>1867</v>
      </c>
      <c r="D545" s="503">
        <v>-404733.67</v>
      </c>
      <c r="E545" s="503">
        <v>6782511.6500000004</v>
      </c>
      <c r="F545" s="503">
        <v>-3660393.26</v>
      </c>
      <c r="G545" s="503">
        <v>-15436382.289999999</v>
      </c>
    </row>
    <row r="546" spans="2:7" x14ac:dyDescent="0.25">
      <c r="B546" s="501" t="s">
        <v>1869</v>
      </c>
      <c r="C546" s="501" t="s">
        <v>1870</v>
      </c>
      <c r="D546" s="503">
        <v>674581.59</v>
      </c>
      <c r="E546" s="503">
        <v>-2879469.99</v>
      </c>
      <c r="F546" s="503">
        <v>585994.31999999995</v>
      </c>
      <c r="G546" s="503">
        <v>3267539.01</v>
      </c>
    </row>
    <row r="547" spans="2:7" x14ac:dyDescent="0.25">
      <c r="B547" s="501" t="s">
        <v>1871</v>
      </c>
      <c r="C547" s="501" t="s">
        <v>1872</v>
      </c>
      <c r="D547" s="503">
        <v>790153.32</v>
      </c>
      <c r="E547" s="503">
        <v>-3060545</v>
      </c>
      <c r="F547" s="503">
        <v>702526.42</v>
      </c>
      <c r="G547" s="503">
        <v>3421977</v>
      </c>
    </row>
    <row r="548" spans="2:7" x14ac:dyDescent="0.25">
      <c r="B548" s="501" t="s">
        <v>1873</v>
      </c>
      <c r="C548" s="501" t="s">
        <v>1874</v>
      </c>
      <c r="D548" s="501">
        <v>0</v>
      </c>
      <c r="E548" s="503">
        <v>-17368.28</v>
      </c>
      <c r="F548" s="501">
        <v>-114</v>
      </c>
      <c r="G548" s="503">
        <v>-54878</v>
      </c>
    </row>
    <row r="549" spans="2:7" x14ac:dyDescent="0.25">
      <c r="B549" s="501" t="s">
        <v>1875</v>
      </c>
      <c r="C549" s="501" t="s">
        <v>1876</v>
      </c>
      <c r="D549" s="501">
        <v>0</v>
      </c>
      <c r="E549" s="503">
        <v>-12144.95</v>
      </c>
      <c r="F549" s="501">
        <v>-95</v>
      </c>
      <c r="G549" s="503">
        <v>-44815</v>
      </c>
    </row>
    <row r="550" spans="2:7" x14ac:dyDescent="0.25">
      <c r="B550" s="501" t="s">
        <v>1877</v>
      </c>
      <c r="C550" s="501" t="s">
        <v>1878</v>
      </c>
      <c r="D550" s="503">
        <v>-117433.21</v>
      </c>
      <c r="E550" s="503">
        <v>-1584448.25</v>
      </c>
      <c r="F550" s="503">
        <v>-113182.69</v>
      </c>
      <c r="G550" s="503">
        <v>-1499451.52</v>
      </c>
    </row>
    <row r="551" spans="2:7" x14ac:dyDescent="0.25">
      <c r="B551" s="501" t="s">
        <v>1879</v>
      </c>
      <c r="C551" s="501" t="s">
        <v>1880</v>
      </c>
      <c r="D551" s="503">
        <v>-84432.22</v>
      </c>
      <c r="E551" s="503">
        <v>-712966.35</v>
      </c>
      <c r="F551" s="503">
        <v>-232403</v>
      </c>
      <c r="G551" s="503">
        <v>-767608</v>
      </c>
    </row>
    <row r="552" spans="2:7" x14ac:dyDescent="0.25">
      <c r="B552" s="501" t="s">
        <v>1881</v>
      </c>
      <c r="C552" s="501" t="s">
        <v>1882</v>
      </c>
      <c r="D552" s="503">
        <v>-38731.07</v>
      </c>
      <c r="E552" s="503">
        <v>-433525.11</v>
      </c>
      <c r="F552" s="503">
        <v>-193421</v>
      </c>
      <c r="G552" s="503">
        <v>-630466</v>
      </c>
    </row>
    <row r="553" spans="2:7" x14ac:dyDescent="0.25">
      <c r="B553" s="501" t="s">
        <v>1883</v>
      </c>
      <c r="C553" s="501" t="s">
        <v>1884</v>
      </c>
      <c r="D553" s="503">
        <v>-116812.53</v>
      </c>
      <c r="E553" s="503">
        <v>-86679.51</v>
      </c>
      <c r="F553" s="503">
        <v>56637</v>
      </c>
      <c r="G553" s="503">
        <v>163955</v>
      </c>
    </row>
    <row r="554" spans="2:7" x14ac:dyDescent="0.25">
      <c r="B554" s="501" t="s">
        <v>1885</v>
      </c>
      <c r="C554" s="501" t="s">
        <v>1886</v>
      </c>
      <c r="D554" s="503">
        <v>441342.15</v>
      </c>
      <c r="E554" s="503">
        <v>-93865.24</v>
      </c>
      <c r="F554" s="503">
        <v>25628</v>
      </c>
      <c r="G554" s="503">
        <v>141818</v>
      </c>
    </row>
    <row r="555" spans="2:7" x14ac:dyDescent="0.25">
      <c r="B555" s="501"/>
      <c r="C555" s="501"/>
      <c r="D555" s="501"/>
      <c r="E555" s="501"/>
      <c r="F555" s="501"/>
      <c r="G555" s="501"/>
    </row>
    <row r="556" spans="2:7" x14ac:dyDescent="0.25">
      <c r="B556" s="501"/>
      <c r="C556" s="501" t="s">
        <v>1887</v>
      </c>
      <c r="D556" s="503">
        <v>5119768.21</v>
      </c>
      <c r="E556" s="503">
        <v>44222287.850000001</v>
      </c>
      <c r="F556" s="503">
        <v>3829877.21</v>
      </c>
      <c r="G556" s="503">
        <v>49292525.75</v>
      </c>
    </row>
    <row r="557" spans="2:7" x14ac:dyDescent="0.25">
      <c r="B557" s="501" t="s">
        <v>1888</v>
      </c>
      <c r="C557" s="501" t="s">
        <v>1889</v>
      </c>
      <c r="D557" s="503">
        <v>28777.17</v>
      </c>
      <c r="E557" s="503">
        <v>346017.21</v>
      </c>
      <c r="F557" s="503">
        <v>14775</v>
      </c>
      <c r="G557" s="503">
        <v>167109.71</v>
      </c>
    </row>
    <row r="558" spans="2:7" x14ac:dyDescent="0.25">
      <c r="B558" s="501" t="s">
        <v>1890</v>
      </c>
      <c r="C558" s="501" t="s">
        <v>1891</v>
      </c>
      <c r="D558" s="501">
        <v>0</v>
      </c>
      <c r="E558" s="503">
        <v>5025054.8</v>
      </c>
      <c r="F558" s="501">
        <v>0</v>
      </c>
      <c r="G558" s="501">
        <v>0</v>
      </c>
    </row>
    <row r="559" spans="2:7" x14ac:dyDescent="0.25">
      <c r="B559" s="501"/>
      <c r="C559" s="501"/>
      <c r="D559" s="501"/>
      <c r="E559" s="501"/>
      <c r="F559" s="501"/>
      <c r="G559" s="501"/>
    </row>
    <row r="560" spans="2:7" x14ac:dyDescent="0.25">
      <c r="B560" s="501"/>
      <c r="C560" s="501" t="s">
        <v>1892</v>
      </c>
      <c r="D560" s="503">
        <v>28777.17</v>
      </c>
      <c r="E560" s="503">
        <v>5371072.0099999998</v>
      </c>
      <c r="F560" s="503">
        <v>14775</v>
      </c>
      <c r="G560" s="503">
        <v>167109.71</v>
      </c>
    </row>
    <row r="561" spans="2:7" x14ac:dyDescent="0.25">
      <c r="B561" s="501"/>
      <c r="C561" s="501"/>
      <c r="D561" s="501"/>
      <c r="E561" s="501"/>
      <c r="F561" s="501"/>
      <c r="G561" s="501"/>
    </row>
    <row r="562" spans="2:7" x14ac:dyDescent="0.25">
      <c r="B562" s="501"/>
      <c r="C562" s="501" t="s">
        <v>1893</v>
      </c>
      <c r="D562" s="503">
        <v>5148545.38</v>
      </c>
      <c r="E562" s="832">
        <v>49593359.859999999</v>
      </c>
      <c r="F562" s="503">
        <v>3844652.21</v>
      </c>
      <c r="G562" s="503">
        <v>49459635.460000001</v>
      </c>
    </row>
    <row r="563" spans="2:7" x14ac:dyDescent="0.25">
      <c r="B563" s="501"/>
      <c r="C563" s="501"/>
      <c r="D563" s="501"/>
      <c r="E563" s="501"/>
      <c r="F563" s="501"/>
      <c r="G563" s="501"/>
    </row>
    <row r="564" spans="2:7" x14ac:dyDescent="0.25">
      <c r="B564" s="501" t="s">
        <v>1894</v>
      </c>
      <c r="C564" s="501" t="s">
        <v>1895</v>
      </c>
      <c r="D564" s="501">
        <v>0</v>
      </c>
      <c r="E564" s="501">
        <v>382.6</v>
      </c>
      <c r="F564" s="501">
        <v>0</v>
      </c>
      <c r="G564" s="501">
        <v>0</v>
      </c>
    </row>
    <row r="565" spans="2:7" x14ac:dyDescent="0.25">
      <c r="B565" s="501" t="s">
        <v>1896</v>
      </c>
      <c r="C565" s="501" t="s">
        <v>1655</v>
      </c>
      <c r="D565" s="503">
        <v>1159.28</v>
      </c>
      <c r="E565" s="503">
        <v>14623.17</v>
      </c>
      <c r="F565" s="501">
        <v>731.78</v>
      </c>
      <c r="G565" s="503">
        <v>14387.28</v>
      </c>
    </row>
    <row r="566" spans="2:7" x14ac:dyDescent="0.25">
      <c r="B566" s="501" t="s">
        <v>1897</v>
      </c>
      <c r="C566" s="501" t="s">
        <v>1657</v>
      </c>
      <c r="D566" s="501">
        <v>153.26</v>
      </c>
      <c r="E566" s="503">
        <v>3000.76</v>
      </c>
      <c r="F566" s="501">
        <v>113.19</v>
      </c>
      <c r="G566" s="503">
        <v>5447.99</v>
      </c>
    </row>
    <row r="567" spans="2:7" x14ac:dyDescent="0.25">
      <c r="B567" s="501" t="s">
        <v>1898</v>
      </c>
      <c r="C567" s="501" t="s">
        <v>1659</v>
      </c>
      <c r="D567" s="503">
        <v>2737.28</v>
      </c>
      <c r="E567" s="503">
        <v>15339.04</v>
      </c>
      <c r="F567" s="501">
        <v>0</v>
      </c>
      <c r="G567" s="503">
        <v>2065.56</v>
      </c>
    </row>
    <row r="568" spans="2:7" x14ac:dyDescent="0.25">
      <c r="B568" s="501" t="s">
        <v>1899</v>
      </c>
      <c r="C568" s="501" t="s">
        <v>1900</v>
      </c>
      <c r="D568" s="503">
        <v>41905.410000000003</v>
      </c>
      <c r="E568" s="503">
        <v>146237.5</v>
      </c>
      <c r="F568" s="503">
        <v>49436.76</v>
      </c>
      <c r="G568" s="503">
        <v>243262.18</v>
      </c>
    </row>
    <row r="569" spans="2:7" x14ac:dyDescent="0.25">
      <c r="B569" s="501" t="s">
        <v>1901</v>
      </c>
      <c r="C569" s="501" t="s">
        <v>1902</v>
      </c>
      <c r="D569" s="501">
        <v>0</v>
      </c>
      <c r="E569" s="503">
        <v>12100</v>
      </c>
      <c r="F569" s="501">
        <v>0</v>
      </c>
      <c r="G569" s="501">
        <v>161.5</v>
      </c>
    </row>
    <row r="570" spans="2:7" x14ac:dyDescent="0.25">
      <c r="B570" s="501" t="s">
        <v>1903</v>
      </c>
      <c r="C570" s="501" t="s">
        <v>1701</v>
      </c>
      <c r="D570" s="503">
        <v>44898.9</v>
      </c>
      <c r="E570" s="503">
        <v>516763.72</v>
      </c>
      <c r="F570" s="503">
        <v>38913.5</v>
      </c>
      <c r="G570" s="503">
        <v>2511606.71</v>
      </c>
    </row>
    <row r="571" spans="2:7" x14ac:dyDescent="0.25">
      <c r="B571" s="501" t="s">
        <v>1904</v>
      </c>
      <c r="C571" s="501" t="s">
        <v>1716</v>
      </c>
      <c r="D571" s="503">
        <v>18892.080000000002</v>
      </c>
      <c r="E571" s="503">
        <v>210592.5</v>
      </c>
      <c r="F571" s="503">
        <v>13521.25</v>
      </c>
      <c r="G571" s="503">
        <v>144183.75</v>
      </c>
    </row>
    <row r="572" spans="2:7" x14ac:dyDescent="0.25">
      <c r="B572" s="501" t="s">
        <v>1905</v>
      </c>
      <c r="C572" s="501" t="s">
        <v>1906</v>
      </c>
      <c r="D572" s="503">
        <v>2234.61</v>
      </c>
      <c r="E572" s="503">
        <v>26815.54</v>
      </c>
      <c r="F572" s="503">
        <v>2234.62</v>
      </c>
      <c r="G572" s="503">
        <v>9278.85</v>
      </c>
    </row>
    <row r="573" spans="2:7" x14ac:dyDescent="0.25">
      <c r="B573" s="501"/>
      <c r="C573" s="501"/>
      <c r="D573" s="501"/>
      <c r="E573" s="501"/>
      <c r="F573" s="501"/>
      <c r="G573" s="501"/>
    </row>
    <row r="574" spans="2:7" x14ac:dyDescent="0.25">
      <c r="B574" s="501"/>
      <c r="C574" s="501"/>
      <c r="D574" s="501"/>
      <c r="E574" s="501"/>
      <c r="F574" s="501"/>
      <c r="G574" s="501"/>
    </row>
    <row r="575" spans="2:7" x14ac:dyDescent="0.25">
      <c r="B575" s="501" t="s">
        <v>1240</v>
      </c>
      <c r="C575" s="501" t="s">
        <v>1241</v>
      </c>
      <c r="D575" s="501" t="s">
        <v>1242</v>
      </c>
      <c r="E575" s="501" t="s">
        <v>1243</v>
      </c>
      <c r="F575" s="501"/>
      <c r="G575" s="501" t="s">
        <v>1907</v>
      </c>
    </row>
    <row r="576" spans="2:7" x14ac:dyDescent="0.25">
      <c r="B576" s="501" t="s">
        <v>1245</v>
      </c>
      <c r="C576" s="501" t="s">
        <v>1246</v>
      </c>
      <c r="D576" s="501" t="s">
        <v>1247</v>
      </c>
      <c r="E576" s="501"/>
      <c r="F576" s="501"/>
      <c r="G576" s="501"/>
    </row>
    <row r="577" spans="2:7" x14ac:dyDescent="0.25">
      <c r="B577" s="501"/>
      <c r="C577" s="501" t="s">
        <v>1248</v>
      </c>
      <c r="D577" s="501" t="s">
        <v>1249</v>
      </c>
      <c r="E577" s="501" t="s">
        <v>1250</v>
      </c>
      <c r="F577" s="501" t="s">
        <v>1251</v>
      </c>
      <c r="G577" s="501">
        <v>9</v>
      </c>
    </row>
    <row r="578" spans="2:7" x14ac:dyDescent="0.25">
      <c r="B578" s="501"/>
      <c r="C578" s="501"/>
      <c r="D578" s="501"/>
      <c r="E578" s="501"/>
      <c r="F578" s="501"/>
      <c r="G578" s="501"/>
    </row>
    <row r="579" spans="2:7" x14ac:dyDescent="0.25">
      <c r="B579" s="501">
        <v>1</v>
      </c>
      <c r="C579" s="501">
        <v>1</v>
      </c>
      <c r="D579" s="501" t="s">
        <v>1252</v>
      </c>
      <c r="E579" s="501" t="s">
        <v>1253</v>
      </c>
      <c r="F579" s="501"/>
      <c r="G579" s="501" t="s">
        <v>1254</v>
      </c>
    </row>
    <row r="580" spans="2:7" x14ac:dyDescent="0.25">
      <c r="B580" s="501"/>
      <c r="C580" s="501"/>
      <c r="D580" s="501"/>
      <c r="E580" s="501"/>
      <c r="F580" s="501"/>
      <c r="G580" s="501"/>
    </row>
    <row r="581" spans="2:7" x14ac:dyDescent="0.25">
      <c r="B581" s="501" t="s">
        <v>1255</v>
      </c>
      <c r="C581" s="501" t="s">
        <v>1256</v>
      </c>
      <c r="D581" s="501" t="s">
        <v>1257</v>
      </c>
      <c r="E581" s="501" t="s">
        <v>1258</v>
      </c>
      <c r="F581" s="501" t="s">
        <v>1259</v>
      </c>
      <c r="G581" s="501" t="s">
        <v>1260</v>
      </c>
    </row>
    <row r="582" spans="2:7" x14ac:dyDescent="0.25">
      <c r="B582" s="501"/>
      <c r="C582" s="501"/>
      <c r="D582" s="501"/>
      <c r="E582" s="501"/>
      <c r="F582" s="501"/>
      <c r="G582" s="501"/>
    </row>
    <row r="583" spans="2:7" x14ac:dyDescent="0.25">
      <c r="B583" s="501"/>
      <c r="C583" s="501"/>
      <c r="D583" s="501"/>
      <c r="E583" s="501"/>
      <c r="F583" s="501"/>
      <c r="G583" s="501"/>
    </row>
    <row r="584" spans="2:7" x14ac:dyDescent="0.25">
      <c r="B584" s="501" t="s">
        <v>1908</v>
      </c>
      <c r="C584" s="501" t="s">
        <v>1729</v>
      </c>
      <c r="D584" s="503">
        <v>481135.9</v>
      </c>
      <c r="E584" s="503">
        <v>844787.05</v>
      </c>
      <c r="F584" s="503">
        <v>24645</v>
      </c>
      <c r="G584" s="503">
        <v>24645</v>
      </c>
    </row>
    <row r="585" spans="2:7" x14ac:dyDescent="0.25">
      <c r="B585" s="501" t="s">
        <v>1909</v>
      </c>
      <c r="C585" s="501" t="s">
        <v>1754</v>
      </c>
      <c r="D585" s="501">
        <v>0</v>
      </c>
      <c r="E585" s="503">
        <v>16992.599999999999</v>
      </c>
      <c r="F585" s="501">
        <v>0</v>
      </c>
      <c r="G585" s="503">
        <v>-3929.89</v>
      </c>
    </row>
    <row r="586" spans="2:7" x14ac:dyDescent="0.25">
      <c r="B586" s="501" t="s">
        <v>1910</v>
      </c>
      <c r="C586" s="501" t="s">
        <v>1758</v>
      </c>
      <c r="D586" s="503">
        <v>86385.07</v>
      </c>
      <c r="E586" s="503">
        <v>998297.36</v>
      </c>
      <c r="F586" s="503">
        <v>59301.61</v>
      </c>
      <c r="G586" s="503">
        <v>715938.35</v>
      </c>
    </row>
    <row r="587" spans="2:7" x14ac:dyDescent="0.25">
      <c r="B587" s="501" t="s">
        <v>1911</v>
      </c>
      <c r="C587" s="501" t="s">
        <v>447</v>
      </c>
      <c r="D587" s="501">
        <v>312.2</v>
      </c>
      <c r="E587" s="503">
        <v>2326.38</v>
      </c>
      <c r="F587" s="501">
        <v>154.41999999999999</v>
      </c>
      <c r="G587" s="501">
        <v>463.26</v>
      </c>
    </row>
    <row r="588" spans="2:7" x14ac:dyDescent="0.25">
      <c r="B588" s="501" t="s">
        <v>1912</v>
      </c>
      <c r="C588" s="501" t="s">
        <v>1771</v>
      </c>
      <c r="D588" s="501">
        <v>0</v>
      </c>
      <c r="E588" s="503">
        <v>5979.85</v>
      </c>
      <c r="F588" s="501">
        <v>0</v>
      </c>
      <c r="G588" s="503">
        <v>24744.61</v>
      </c>
    </row>
    <row r="589" spans="2:7" x14ac:dyDescent="0.25">
      <c r="B589" s="501" t="s">
        <v>1913</v>
      </c>
      <c r="C589" s="501" t="s">
        <v>1914</v>
      </c>
      <c r="D589" s="501">
        <v>0</v>
      </c>
      <c r="E589" s="503">
        <v>60000</v>
      </c>
      <c r="F589" s="501">
        <v>0</v>
      </c>
      <c r="G589" s="503">
        <v>600000</v>
      </c>
    </row>
    <row r="590" spans="2:7" x14ac:dyDescent="0.25">
      <c r="B590" s="501"/>
      <c r="C590" s="501"/>
      <c r="D590" s="501"/>
      <c r="E590" s="501"/>
      <c r="F590" s="501"/>
      <c r="G590" s="501"/>
    </row>
    <row r="591" spans="2:7" x14ac:dyDescent="0.25">
      <c r="B591" s="501"/>
      <c r="C591" s="501" t="s">
        <v>1915</v>
      </c>
      <c r="D591" s="503">
        <v>679813.99</v>
      </c>
      <c r="E591" s="832">
        <v>2874238.07</v>
      </c>
      <c r="F591" s="503">
        <v>189052.13</v>
      </c>
      <c r="G591" s="503">
        <v>4292255.1500000004</v>
      </c>
    </row>
    <row r="592" spans="2:7" x14ac:dyDescent="0.25">
      <c r="B592" s="501"/>
      <c r="C592" s="501"/>
      <c r="D592" s="501"/>
      <c r="E592" s="501"/>
      <c r="F592" s="501"/>
      <c r="G592" s="501"/>
    </row>
    <row r="593" spans="2:7" x14ac:dyDescent="0.25">
      <c r="B593" s="501"/>
      <c r="C593" s="501" t="s">
        <v>1916</v>
      </c>
      <c r="D593" s="503">
        <v>24907473.109999999</v>
      </c>
      <c r="E593" s="503">
        <v>161783106.78</v>
      </c>
      <c r="F593" s="503">
        <v>50425463.530000001</v>
      </c>
      <c r="G593" s="503">
        <v>241218926.25999999</v>
      </c>
    </row>
    <row r="594" spans="2:7" x14ac:dyDescent="0.25">
      <c r="B594" s="501"/>
      <c r="C594" s="501" t="s">
        <v>1917</v>
      </c>
      <c r="D594" s="501" t="s">
        <v>1918</v>
      </c>
      <c r="E594" s="501" t="s">
        <v>1919</v>
      </c>
      <c r="F594" s="501" t="s">
        <v>1919</v>
      </c>
      <c r="G594" s="501" t="s">
        <v>1919</v>
      </c>
    </row>
    <row r="595" spans="2:7" x14ac:dyDescent="0.25">
      <c r="B595" s="501"/>
      <c r="C595" s="501"/>
      <c r="D595" s="501"/>
      <c r="E595" s="501"/>
      <c r="F595" s="501"/>
      <c r="G595" s="501"/>
    </row>
    <row r="596" spans="2:7" x14ac:dyDescent="0.25">
      <c r="B596" s="501"/>
      <c r="C596" s="501"/>
      <c r="D596" s="501"/>
      <c r="E596" s="501"/>
      <c r="F596" s="501"/>
      <c r="G596" s="501"/>
    </row>
    <row r="597" spans="2:7" x14ac:dyDescent="0.25">
      <c r="B597" s="501" t="s">
        <v>1240</v>
      </c>
      <c r="C597" s="501" t="s">
        <v>1241</v>
      </c>
      <c r="D597" s="501" t="s">
        <v>1242</v>
      </c>
      <c r="E597" s="501" t="s">
        <v>1243</v>
      </c>
      <c r="F597" s="501"/>
      <c r="G597" s="501" t="s">
        <v>1920</v>
      </c>
    </row>
    <row r="598" spans="2:7" x14ac:dyDescent="0.25">
      <c r="B598" s="501" t="s">
        <v>1245</v>
      </c>
      <c r="C598" s="501" t="s">
        <v>1246</v>
      </c>
      <c r="D598" s="501" t="s">
        <v>1247</v>
      </c>
      <c r="E598" s="501"/>
      <c r="F598" s="501"/>
      <c r="G598" s="501"/>
    </row>
    <row r="599" spans="2:7" x14ac:dyDescent="0.25">
      <c r="B599" s="501"/>
      <c r="C599" s="501" t="s">
        <v>1248</v>
      </c>
      <c r="D599" s="501" t="s">
        <v>1249</v>
      </c>
      <c r="E599" s="501" t="s">
        <v>1250</v>
      </c>
      <c r="F599" s="501" t="s">
        <v>1251</v>
      </c>
      <c r="G599" s="501">
        <v>9</v>
      </c>
    </row>
    <row r="600" spans="2:7" x14ac:dyDescent="0.25">
      <c r="B600" s="501"/>
      <c r="C600" s="501"/>
      <c r="D600" s="501"/>
      <c r="E600" s="501"/>
      <c r="F600" s="501"/>
      <c r="G600" s="501"/>
    </row>
    <row r="601" spans="2:7" x14ac:dyDescent="0.25">
      <c r="B601" s="504">
        <v>43466</v>
      </c>
      <c r="C601" s="501">
        <v>101</v>
      </c>
      <c r="D601" s="501" t="s">
        <v>1921</v>
      </c>
      <c r="E601" s="501" t="s">
        <v>1922</v>
      </c>
      <c r="F601" s="501"/>
      <c r="G601" s="501" t="s">
        <v>1254</v>
      </c>
    </row>
    <row r="602" spans="2:7" x14ac:dyDescent="0.25">
      <c r="B602" s="501"/>
      <c r="C602" s="501"/>
      <c r="D602" s="501"/>
      <c r="E602" s="501"/>
      <c r="F602" s="501"/>
      <c r="G602" s="501"/>
    </row>
    <row r="603" spans="2:7" x14ac:dyDescent="0.25">
      <c r="B603" s="501" t="s">
        <v>1255</v>
      </c>
      <c r="C603" s="501" t="s">
        <v>1256</v>
      </c>
      <c r="D603" s="501" t="s">
        <v>1257</v>
      </c>
      <c r="E603" s="501" t="s">
        <v>1258</v>
      </c>
      <c r="F603" s="501" t="s">
        <v>1259</v>
      </c>
      <c r="G603" s="501" t="s">
        <v>1260</v>
      </c>
    </row>
    <row r="604" spans="2:7" x14ac:dyDescent="0.25">
      <c r="B604" s="501"/>
      <c r="C604" s="501"/>
      <c r="D604" s="501"/>
      <c r="E604" s="501"/>
      <c r="F604" s="501"/>
      <c r="G604" s="501"/>
    </row>
    <row r="605" spans="2:7" x14ac:dyDescent="0.25">
      <c r="B605" s="501"/>
      <c r="C605" s="501"/>
      <c r="D605" s="501"/>
      <c r="E605" s="501"/>
      <c r="F605" s="501"/>
      <c r="G605" s="501"/>
    </row>
    <row r="606" spans="2:7" x14ac:dyDescent="0.25">
      <c r="B606" s="501" t="s">
        <v>598</v>
      </c>
      <c r="C606" s="501" t="s">
        <v>1261</v>
      </c>
      <c r="D606" s="501"/>
      <c r="E606" s="501"/>
      <c r="F606" s="501"/>
      <c r="G606" s="501"/>
    </row>
    <row r="607" spans="2:7" x14ac:dyDescent="0.25">
      <c r="B607" s="501" t="s">
        <v>1262</v>
      </c>
      <c r="C607" s="501" t="s">
        <v>428</v>
      </c>
      <c r="D607" s="503">
        <v>142366014.25</v>
      </c>
      <c r="E607" s="503">
        <v>1723003193.6099999</v>
      </c>
      <c r="F607" s="503">
        <v>147689725.05000001</v>
      </c>
      <c r="G607" s="503">
        <v>1745495832.04</v>
      </c>
    </row>
    <row r="608" spans="2:7" x14ac:dyDescent="0.25">
      <c r="B608" s="501" t="s">
        <v>1263</v>
      </c>
      <c r="C608" s="501" t="s">
        <v>1264</v>
      </c>
      <c r="D608" s="503">
        <v>2117785.6000000001</v>
      </c>
      <c r="E608" s="503">
        <v>21708229.609999999</v>
      </c>
      <c r="F608" s="503">
        <v>2502779.7999999998</v>
      </c>
      <c r="G608" s="503">
        <v>31000730</v>
      </c>
    </row>
    <row r="609" spans="2:7" x14ac:dyDescent="0.25">
      <c r="B609" s="501" t="s">
        <v>1265</v>
      </c>
      <c r="C609" s="501" t="s">
        <v>1266</v>
      </c>
      <c r="D609" s="503">
        <v>650007.30000000005</v>
      </c>
      <c r="E609" s="503">
        <v>9546815.8000000007</v>
      </c>
      <c r="F609" s="503">
        <v>860627.1</v>
      </c>
      <c r="G609" s="503">
        <v>10896960.449999999</v>
      </c>
    </row>
    <row r="610" spans="2:7" x14ac:dyDescent="0.25">
      <c r="B610" s="501"/>
      <c r="C610" s="501"/>
      <c r="D610" s="501"/>
      <c r="E610" s="501"/>
      <c r="F610" s="501"/>
      <c r="G610" s="501"/>
    </row>
    <row r="611" spans="2:7" x14ac:dyDescent="0.25">
      <c r="B611" s="501"/>
      <c r="C611" s="501" t="s">
        <v>1267</v>
      </c>
      <c r="D611" s="503">
        <v>145133807.15000001</v>
      </c>
      <c r="E611" s="503">
        <v>1754258239.02</v>
      </c>
      <c r="F611" s="503">
        <v>151053131.94999999</v>
      </c>
      <c r="G611" s="503">
        <v>1787393522.49</v>
      </c>
    </row>
    <row r="612" spans="2:7" x14ac:dyDescent="0.25">
      <c r="B612" s="501" t="s">
        <v>1268</v>
      </c>
      <c r="C612" s="501" t="s">
        <v>429</v>
      </c>
      <c r="D612" s="503">
        <v>86885886.650000006</v>
      </c>
      <c r="E612" s="503">
        <v>996861272.88</v>
      </c>
      <c r="F612" s="503">
        <v>78603983.069999993</v>
      </c>
      <c r="G612" s="503">
        <v>935880634.27999997</v>
      </c>
    </row>
    <row r="613" spans="2:7" x14ac:dyDescent="0.25">
      <c r="B613" s="501" t="s">
        <v>1269</v>
      </c>
      <c r="C613" s="501" t="s">
        <v>1270</v>
      </c>
      <c r="D613" s="503">
        <v>524767.69999999995</v>
      </c>
      <c r="E613" s="503">
        <v>3581798.6</v>
      </c>
      <c r="F613" s="503">
        <v>483092.9</v>
      </c>
      <c r="G613" s="503">
        <v>3895219.6</v>
      </c>
    </row>
    <row r="614" spans="2:7" x14ac:dyDescent="0.25">
      <c r="B614" s="501" t="s">
        <v>1271</v>
      </c>
      <c r="C614" s="501" t="s">
        <v>1272</v>
      </c>
      <c r="D614" s="503">
        <v>754790.6</v>
      </c>
      <c r="E614" s="503">
        <v>9541865.6600000001</v>
      </c>
      <c r="F614" s="503">
        <v>617146.25</v>
      </c>
      <c r="G614" s="503">
        <v>8674231.3499999996</v>
      </c>
    </row>
    <row r="615" spans="2:7" x14ac:dyDescent="0.25">
      <c r="B615" s="501" t="s">
        <v>1273</v>
      </c>
      <c r="C615" s="501" t="s">
        <v>1274</v>
      </c>
      <c r="D615" s="503">
        <v>757324.47</v>
      </c>
      <c r="E615" s="503">
        <v>10417357.48</v>
      </c>
      <c r="F615" s="503">
        <v>882259.58</v>
      </c>
      <c r="G615" s="503">
        <v>11276837.449999999</v>
      </c>
    </row>
    <row r="616" spans="2:7" x14ac:dyDescent="0.25">
      <c r="B616" s="501"/>
      <c r="C616" s="501"/>
      <c r="D616" s="501"/>
      <c r="E616" s="501"/>
      <c r="F616" s="501"/>
      <c r="G616" s="501"/>
    </row>
    <row r="617" spans="2:7" x14ac:dyDescent="0.25">
      <c r="B617" s="501"/>
      <c r="C617" s="501" t="s">
        <v>1275</v>
      </c>
      <c r="D617" s="503">
        <v>88922769.420000002</v>
      </c>
      <c r="E617" s="503">
        <v>1020402294.62</v>
      </c>
      <c r="F617" s="503">
        <v>80586481.799999997</v>
      </c>
      <c r="G617" s="503">
        <v>959726922.67999995</v>
      </c>
    </row>
    <row r="618" spans="2:7" x14ac:dyDescent="0.25">
      <c r="B618" s="501"/>
      <c r="C618" s="501" t="s">
        <v>1276</v>
      </c>
      <c r="D618" s="503">
        <v>234056576.56999999</v>
      </c>
      <c r="E618" s="503">
        <v>2774660533.6399999</v>
      </c>
      <c r="F618" s="503">
        <v>231639613.75</v>
      </c>
      <c r="G618" s="503">
        <v>2747120445.1700001</v>
      </c>
    </row>
    <row r="619" spans="2:7" x14ac:dyDescent="0.25">
      <c r="B619" s="501"/>
      <c r="C619" s="501"/>
      <c r="D619" s="501"/>
      <c r="E619" s="501"/>
      <c r="F619" s="501"/>
      <c r="G619" s="501"/>
    </row>
    <row r="620" spans="2:7" x14ac:dyDescent="0.25">
      <c r="B620" s="501" t="s">
        <v>1277</v>
      </c>
      <c r="C620" s="501" t="s">
        <v>431</v>
      </c>
      <c r="D620" s="501"/>
      <c r="E620" s="501"/>
      <c r="F620" s="501"/>
      <c r="G620" s="501"/>
    </row>
    <row r="621" spans="2:7" x14ac:dyDescent="0.25">
      <c r="B621" s="501" t="s">
        <v>1278</v>
      </c>
      <c r="C621" s="501" t="s">
        <v>1279</v>
      </c>
      <c r="D621" s="501">
        <v>0</v>
      </c>
      <c r="E621" s="501">
        <v>417.9</v>
      </c>
      <c r="F621" s="501">
        <v>0</v>
      </c>
      <c r="G621" s="503">
        <v>6332.99</v>
      </c>
    </row>
    <row r="622" spans="2:7" x14ac:dyDescent="0.25">
      <c r="B622" s="501" t="s">
        <v>1280</v>
      </c>
      <c r="C622" s="501" t="s">
        <v>1281</v>
      </c>
      <c r="D622" s="503">
        <v>-1085343.75</v>
      </c>
      <c r="E622" s="503">
        <v>-5288046.4400000004</v>
      </c>
      <c r="F622" s="503">
        <v>-468966.13</v>
      </c>
      <c r="G622" s="503">
        <v>-12801949.130000001</v>
      </c>
    </row>
    <row r="623" spans="2:7" x14ac:dyDescent="0.25">
      <c r="B623" s="501" t="s">
        <v>1282</v>
      </c>
      <c r="C623" s="501" t="s">
        <v>1283</v>
      </c>
      <c r="D623" s="503">
        <v>-105400</v>
      </c>
      <c r="E623" s="503">
        <v>333600</v>
      </c>
      <c r="F623" s="503">
        <v>83600</v>
      </c>
      <c r="G623" s="503">
        <v>-361700</v>
      </c>
    </row>
    <row r="624" spans="2:7" x14ac:dyDescent="0.25">
      <c r="B624" s="501" t="s">
        <v>1284</v>
      </c>
      <c r="C624" s="501" t="s">
        <v>1285</v>
      </c>
      <c r="D624" s="503">
        <v>-1957618.21</v>
      </c>
      <c r="E624" s="503">
        <v>-20578317.41</v>
      </c>
      <c r="F624" s="503">
        <v>-1572735.69</v>
      </c>
      <c r="G624" s="503">
        <v>-20004438.800000001</v>
      </c>
    </row>
    <row r="625" spans="2:7" x14ac:dyDescent="0.25">
      <c r="B625" s="501" t="s">
        <v>1286</v>
      </c>
      <c r="C625" s="501" t="s">
        <v>1287</v>
      </c>
      <c r="D625" s="503">
        <v>-53100</v>
      </c>
      <c r="E625" s="503">
        <v>-396800</v>
      </c>
      <c r="F625" s="503">
        <v>99100</v>
      </c>
      <c r="G625" s="503">
        <v>-306900</v>
      </c>
    </row>
    <row r="626" spans="2:7" x14ac:dyDescent="0.25">
      <c r="B626" s="501"/>
      <c r="C626" s="501"/>
      <c r="D626" s="501"/>
      <c r="E626" s="501"/>
      <c r="F626" s="501"/>
      <c r="G626" s="501"/>
    </row>
    <row r="627" spans="2:7" x14ac:dyDescent="0.25">
      <c r="B627" s="501"/>
      <c r="C627" s="501" t="s">
        <v>1288</v>
      </c>
      <c r="D627" s="503">
        <v>-3201461.96</v>
      </c>
      <c r="E627" s="503">
        <v>-25929145.949999999</v>
      </c>
      <c r="F627" s="503">
        <v>-1859001.82</v>
      </c>
      <c r="G627" s="503">
        <v>-33468654.940000001</v>
      </c>
    </row>
    <row r="628" spans="2:7" x14ac:dyDescent="0.25">
      <c r="B628" s="501" t="s">
        <v>1289</v>
      </c>
      <c r="C628" s="501" t="s">
        <v>1290</v>
      </c>
      <c r="D628" s="501">
        <v>0</v>
      </c>
      <c r="E628" s="501">
        <v>0.93</v>
      </c>
      <c r="F628" s="501">
        <v>0</v>
      </c>
      <c r="G628" s="501">
        <v>6.24</v>
      </c>
    </row>
    <row r="629" spans="2:7" x14ac:dyDescent="0.25">
      <c r="B629" s="501" t="s">
        <v>1291</v>
      </c>
      <c r="C629" s="501" t="s">
        <v>1290</v>
      </c>
      <c r="D629" s="503">
        <v>-23728.31</v>
      </c>
      <c r="E629" s="503">
        <v>-453791.98</v>
      </c>
      <c r="F629" s="503">
        <v>-10838.21</v>
      </c>
      <c r="G629" s="503">
        <v>-236076.39</v>
      </c>
    </row>
    <row r="630" spans="2:7" x14ac:dyDescent="0.25">
      <c r="B630" s="501" t="s">
        <v>1292</v>
      </c>
      <c r="C630" s="501" t="s">
        <v>1290</v>
      </c>
      <c r="D630" s="503">
        <v>-24800</v>
      </c>
      <c r="E630" s="503">
        <v>18400</v>
      </c>
      <c r="F630" s="503">
        <v>41900</v>
      </c>
      <c r="G630" s="503">
        <v>-82700</v>
      </c>
    </row>
    <row r="631" spans="2:7" x14ac:dyDescent="0.25">
      <c r="B631" s="501" t="s">
        <v>1293</v>
      </c>
      <c r="C631" s="501" t="s">
        <v>1290</v>
      </c>
      <c r="D631" s="503">
        <v>-166240.56</v>
      </c>
      <c r="E631" s="503">
        <v>-1762885.72</v>
      </c>
      <c r="F631" s="503">
        <v>-99231.679999999993</v>
      </c>
      <c r="G631" s="503">
        <v>-1332309.8400000001</v>
      </c>
    </row>
    <row r="632" spans="2:7" x14ac:dyDescent="0.25">
      <c r="B632" s="501" t="s">
        <v>1294</v>
      </c>
      <c r="C632" s="501" t="s">
        <v>1290</v>
      </c>
      <c r="D632" s="503">
        <v>33800</v>
      </c>
      <c r="E632" s="503">
        <v>-208500</v>
      </c>
      <c r="F632" s="503">
        <v>-9500</v>
      </c>
      <c r="G632" s="503">
        <v>-214700</v>
      </c>
    </row>
    <row r="633" spans="2:7" x14ac:dyDescent="0.25">
      <c r="B633" s="501"/>
      <c r="C633" s="501"/>
      <c r="D633" s="501"/>
      <c r="E633" s="501"/>
      <c r="F633" s="501"/>
      <c r="G633" s="501"/>
    </row>
    <row r="634" spans="2:7" x14ac:dyDescent="0.25">
      <c r="B634" s="501"/>
      <c r="C634" s="501" t="s">
        <v>1295</v>
      </c>
      <c r="D634" s="503">
        <v>-180968.87</v>
      </c>
      <c r="E634" s="503">
        <v>-2406776.77</v>
      </c>
      <c r="F634" s="503">
        <v>-77669.89</v>
      </c>
      <c r="G634" s="503">
        <v>-1865779.99</v>
      </c>
    </row>
    <row r="635" spans="2:7" x14ac:dyDescent="0.25">
      <c r="B635" s="501" t="s">
        <v>1296</v>
      </c>
      <c r="C635" s="501" t="s">
        <v>1297</v>
      </c>
      <c r="D635" s="501">
        <v>0</v>
      </c>
      <c r="E635" s="501">
        <v>0</v>
      </c>
      <c r="F635" s="501">
        <v>0</v>
      </c>
      <c r="G635" s="503">
        <v>1346.28</v>
      </c>
    </row>
    <row r="636" spans="2:7" x14ac:dyDescent="0.25">
      <c r="B636" s="501" t="s">
        <v>1298</v>
      </c>
      <c r="C636" s="501" t="s">
        <v>1299</v>
      </c>
      <c r="D636" s="501">
        <v>0</v>
      </c>
      <c r="E636" s="501">
        <v>0</v>
      </c>
      <c r="F636" s="501">
        <v>0</v>
      </c>
      <c r="G636" s="503">
        <v>-6877.48</v>
      </c>
    </row>
    <row r="637" spans="2:7" x14ac:dyDescent="0.25">
      <c r="B637" s="501" t="s">
        <v>1300</v>
      </c>
      <c r="C637" s="501" t="s">
        <v>1301</v>
      </c>
      <c r="D637" s="503">
        <v>32690.68</v>
      </c>
      <c r="E637" s="503">
        <v>32690.68</v>
      </c>
      <c r="F637" s="501">
        <v>0</v>
      </c>
      <c r="G637" s="501">
        <v>0</v>
      </c>
    </row>
    <row r="638" spans="2:7" x14ac:dyDescent="0.25">
      <c r="B638" s="501" t="s">
        <v>1302</v>
      </c>
      <c r="C638" s="501" t="s">
        <v>1303</v>
      </c>
      <c r="D638" s="503">
        <v>-1220066.03</v>
      </c>
      <c r="E638" s="503">
        <v>-11969142.77</v>
      </c>
      <c r="F638" s="503">
        <v>-1616855.37</v>
      </c>
      <c r="G638" s="503">
        <v>-11390081.130000001</v>
      </c>
    </row>
    <row r="639" spans="2:7" x14ac:dyDescent="0.25">
      <c r="B639" s="501" t="s">
        <v>1304</v>
      </c>
      <c r="C639" s="501" t="s">
        <v>1303</v>
      </c>
      <c r="D639" s="503">
        <v>-1858401</v>
      </c>
      <c r="E639" s="503">
        <v>-1952559</v>
      </c>
      <c r="F639" s="503">
        <v>1544861</v>
      </c>
      <c r="G639" s="503">
        <v>1754913</v>
      </c>
    </row>
    <row r="640" spans="2:7" x14ac:dyDescent="0.25">
      <c r="B640" s="501" t="s">
        <v>1305</v>
      </c>
      <c r="C640" s="501" t="s">
        <v>1306</v>
      </c>
      <c r="D640" s="503">
        <v>-1828724.42</v>
      </c>
      <c r="E640" s="503">
        <v>-19120704.329999998</v>
      </c>
      <c r="F640" s="503">
        <v>-1833534.38</v>
      </c>
      <c r="G640" s="503">
        <v>-19023765.5</v>
      </c>
    </row>
    <row r="641" spans="2:7" x14ac:dyDescent="0.25">
      <c r="B641" s="501" t="s">
        <v>1307</v>
      </c>
      <c r="C641" s="501" t="s">
        <v>1306</v>
      </c>
      <c r="D641" s="503">
        <v>266000</v>
      </c>
      <c r="E641" s="503">
        <v>-950039</v>
      </c>
      <c r="F641" s="503">
        <v>142388</v>
      </c>
      <c r="G641" s="503">
        <v>371998</v>
      </c>
    </row>
    <row r="642" spans="2:7" x14ac:dyDescent="0.25">
      <c r="B642" s="501" t="s">
        <v>1308</v>
      </c>
      <c r="C642" s="501" t="s">
        <v>1309</v>
      </c>
      <c r="D642" s="501">
        <v>132.78</v>
      </c>
      <c r="E642" s="501">
        <v>132.78</v>
      </c>
      <c r="F642" s="501">
        <v>0</v>
      </c>
      <c r="G642" s="501">
        <v>0</v>
      </c>
    </row>
    <row r="643" spans="2:7" x14ac:dyDescent="0.25">
      <c r="B643" s="501" t="s">
        <v>1310</v>
      </c>
      <c r="C643" s="501" t="s">
        <v>1311</v>
      </c>
      <c r="D643" s="503">
        <v>-4312104.67</v>
      </c>
      <c r="E643" s="503">
        <v>-69310673.390000001</v>
      </c>
      <c r="F643" s="503">
        <v>-2982727.53</v>
      </c>
      <c r="G643" s="503">
        <v>-77304349.200000003</v>
      </c>
    </row>
    <row r="644" spans="2:7" x14ac:dyDescent="0.25">
      <c r="B644" s="501" t="s">
        <v>1312</v>
      </c>
      <c r="C644" s="501" t="s">
        <v>1313</v>
      </c>
      <c r="D644" s="503">
        <v>5476696.7199999997</v>
      </c>
      <c r="E644" s="503">
        <v>10860518.59</v>
      </c>
      <c r="F644" s="503">
        <v>-1765929.5</v>
      </c>
      <c r="G644" s="503">
        <v>14384849.5</v>
      </c>
    </row>
    <row r="645" spans="2:7" x14ac:dyDescent="0.25">
      <c r="B645" s="501" t="s">
        <v>1314</v>
      </c>
      <c r="C645" s="501" t="s">
        <v>1315</v>
      </c>
      <c r="D645" s="503">
        <v>-3476903.59</v>
      </c>
      <c r="E645" s="503">
        <v>-37691142.469999999</v>
      </c>
      <c r="F645" s="503">
        <v>-4140910.63</v>
      </c>
      <c r="G645" s="503">
        <v>-43286718.18</v>
      </c>
    </row>
    <row r="646" spans="2:7" x14ac:dyDescent="0.25">
      <c r="B646" s="501" t="s">
        <v>1316</v>
      </c>
      <c r="C646" s="501" t="s">
        <v>1313</v>
      </c>
      <c r="D646" s="503">
        <v>1837104.04</v>
      </c>
      <c r="E646" s="503">
        <v>4435810.42</v>
      </c>
      <c r="F646" s="503">
        <v>431052.25</v>
      </c>
      <c r="G646" s="503">
        <v>4726317</v>
      </c>
    </row>
    <row r="647" spans="2:7" x14ac:dyDescent="0.25">
      <c r="B647" s="501" t="s">
        <v>1317</v>
      </c>
      <c r="C647" s="501" t="s">
        <v>1318</v>
      </c>
      <c r="D647" s="503">
        <v>-8696622.4299999997</v>
      </c>
      <c r="E647" s="503">
        <v>-71060301.629999995</v>
      </c>
      <c r="F647" s="503">
        <v>-6274968.6200000001</v>
      </c>
      <c r="G647" s="503">
        <v>-100540084.23999999</v>
      </c>
    </row>
    <row r="648" spans="2:7" x14ac:dyDescent="0.25">
      <c r="B648" s="501" t="s">
        <v>1319</v>
      </c>
      <c r="C648" s="501" t="s">
        <v>1318</v>
      </c>
      <c r="D648" s="503">
        <v>3002369</v>
      </c>
      <c r="E648" s="503">
        <v>1230981</v>
      </c>
      <c r="F648" s="503">
        <v>850536</v>
      </c>
      <c r="G648" s="503">
        <v>13183052</v>
      </c>
    </row>
    <row r="649" spans="2:7" x14ac:dyDescent="0.25">
      <c r="B649" s="501" t="s">
        <v>1320</v>
      </c>
      <c r="C649" s="501" t="s">
        <v>1318</v>
      </c>
      <c r="D649" s="503">
        <v>-1097366.52</v>
      </c>
      <c r="E649" s="503">
        <v>-14297475.029999999</v>
      </c>
      <c r="F649" s="503">
        <v>-1440313.59</v>
      </c>
      <c r="G649" s="503">
        <v>-16982768.989999998</v>
      </c>
    </row>
    <row r="650" spans="2:7" x14ac:dyDescent="0.25">
      <c r="B650" s="501" t="s">
        <v>1321</v>
      </c>
      <c r="C650" s="501" t="s">
        <v>1318</v>
      </c>
      <c r="D650" s="503">
        <v>-5907</v>
      </c>
      <c r="E650" s="503">
        <v>-381554.41</v>
      </c>
      <c r="F650" s="503">
        <v>287904</v>
      </c>
      <c r="G650" s="503">
        <v>278959</v>
      </c>
    </row>
    <row r="651" spans="2:7" x14ac:dyDescent="0.25">
      <c r="B651" s="501" t="s">
        <v>1322</v>
      </c>
      <c r="C651" s="501" t="s">
        <v>1323</v>
      </c>
      <c r="D651" s="501">
        <v>0</v>
      </c>
      <c r="E651" s="503">
        <v>108359.85</v>
      </c>
      <c r="F651" s="503">
        <v>39517</v>
      </c>
      <c r="G651" s="503">
        <v>497402.57</v>
      </c>
    </row>
    <row r="652" spans="2:7" x14ac:dyDescent="0.25">
      <c r="B652" s="501" t="s">
        <v>1324</v>
      </c>
      <c r="C652" s="501" t="s">
        <v>1325</v>
      </c>
      <c r="D652" s="501">
        <v>405.6</v>
      </c>
      <c r="E652" s="503">
        <v>-150622.92000000001</v>
      </c>
      <c r="F652" s="503">
        <v>-60320.480000000003</v>
      </c>
      <c r="G652" s="503">
        <v>-1085496.99</v>
      </c>
    </row>
    <row r="653" spans="2:7" x14ac:dyDescent="0.25">
      <c r="B653" s="501" t="s">
        <v>1326</v>
      </c>
      <c r="C653" s="501" t="s">
        <v>1327</v>
      </c>
      <c r="D653" s="501">
        <v>0</v>
      </c>
      <c r="E653" s="501">
        <v>0</v>
      </c>
      <c r="F653" s="501">
        <v>0</v>
      </c>
      <c r="G653" s="501">
        <v>-900</v>
      </c>
    </row>
    <row r="654" spans="2:7" x14ac:dyDescent="0.25">
      <c r="B654" s="501" t="s">
        <v>1328</v>
      </c>
      <c r="C654" s="501" t="s">
        <v>1329</v>
      </c>
      <c r="D654" s="501">
        <v>0</v>
      </c>
      <c r="E654" s="503">
        <v>25343065</v>
      </c>
      <c r="F654" s="501">
        <v>0</v>
      </c>
      <c r="G654" s="501">
        <v>0</v>
      </c>
    </row>
    <row r="655" spans="2:7" x14ac:dyDescent="0.25">
      <c r="B655" s="501" t="s">
        <v>1330</v>
      </c>
      <c r="C655" s="501" t="s">
        <v>1331</v>
      </c>
      <c r="D655" s="501">
        <v>0</v>
      </c>
      <c r="E655" s="501">
        <v>0</v>
      </c>
      <c r="F655" s="501">
        <v>0</v>
      </c>
      <c r="G655" s="503">
        <v>3404.99</v>
      </c>
    </row>
    <row r="656" spans="2:7" x14ac:dyDescent="0.25">
      <c r="B656" s="501" t="s">
        <v>1332</v>
      </c>
      <c r="C656" s="501" t="s">
        <v>1331</v>
      </c>
      <c r="D656" s="503">
        <v>-44364353.43</v>
      </c>
      <c r="E656" s="503">
        <v>-512721726.94</v>
      </c>
      <c r="F656" s="503">
        <v>-27455519.329999998</v>
      </c>
      <c r="G656" s="503">
        <v>-488710464.72000003</v>
      </c>
    </row>
    <row r="657" spans="2:7" x14ac:dyDescent="0.25">
      <c r="B657" s="501"/>
      <c r="C657" s="501"/>
      <c r="D657" s="501"/>
      <c r="E657" s="501"/>
      <c r="F657" s="501"/>
      <c r="G657" s="501"/>
    </row>
    <row r="658" spans="2:7" x14ac:dyDescent="0.25">
      <c r="B658" s="501"/>
      <c r="C658" s="501"/>
      <c r="D658" s="501"/>
      <c r="E658" s="501"/>
      <c r="F658" s="501"/>
      <c r="G658" s="501"/>
    </row>
    <row r="659" spans="2:7" x14ac:dyDescent="0.25">
      <c r="B659" s="501" t="s">
        <v>1240</v>
      </c>
      <c r="C659" s="501" t="s">
        <v>1241</v>
      </c>
      <c r="D659" s="501" t="s">
        <v>1242</v>
      </c>
      <c r="E659" s="501" t="s">
        <v>1243</v>
      </c>
      <c r="F659" s="501"/>
      <c r="G659" s="501" t="s">
        <v>1923</v>
      </c>
    </row>
    <row r="660" spans="2:7" x14ac:dyDescent="0.25">
      <c r="B660" s="501" t="s">
        <v>1245</v>
      </c>
      <c r="C660" s="501" t="s">
        <v>1246</v>
      </c>
      <c r="D660" s="501" t="s">
        <v>1247</v>
      </c>
      <c r="E660" s="501"/>
      <c r="F660" s="501"/>
      <c r="G660" s="501"/>
    </row>
    <row r="661" spans="2:7" x14ac:dyDescent="0.25">
      <c r="B661" s="501"/>
      <c r="C661" s="501" t="s">
        <v>1248</v>
      </c>
      <c r="D661" s="501" t="s">
        <v>1249</v>
      </c>
      <c r="E661" s="501" t="s">
        <v>1250</v>
      </c>
      <c r="F661" s="501" t="s">
        <v>1251</v>
      </c>
      <c r="G661" s="501">
        <v>9</v>
      </c>
    </row>
    <row r="662" spans="2:7" x14ac:dyDescent="0.25">
      <c r="B662" s="501"/>
      <c r="C662" s="501"/>
      <c r="D662" s="501"/>
      <c r="E662" s="501"/>
      <c r="F662" s="501"/>
      <c r="G662" s="501"/>
    </row>
    <row r="663" spans="2:7" x14ac:dyDescent="0.25">
      <c r="B663" s="504">
        <v>43466</v>
      </c>
      <c r="C663" s="501">
        <v>101</v>
      </c>
      <c r="D663" s="501" t="s">
        <v>1921</v>
      </c>
      <c r="E663" s="501" t="s">
        <v>1922</v>
      </c>
      <c r="F663" s="501"/>
      <c r="G663" s="501" t="s">
        <v>1254</v>
      </c>
    </row>
    <row r="664" spans="2:7" x14ac:dyDescent="0.25">
      <c r="B664" s="501"/>
      <c r="C664" s="501"/>
      <c r="D664" s="501"/>
      <c r="E664" s="501"/>
      <c r="F664" s="501"/>
      <c r="G664" s="501"/>
    </row>
    <row r="665" spans="2:7" x14ac:dyDescent="0.25">
      <c r="B665" s="501" t="s">
        <v>1255</v>
      </c>
      <c r="C665" s="501" t="s">
        <v>1256</v>
      </c>
      <c r="D665" s="501" t="s">
        <v>1257</v>
      </c>
      <c r="E665" s="501" t="s">
        <v>1258</v>
      </c>
      <c r="F665" s="501" t="s">
        <v>1259</v>
      </c>
      <c r="G665" s="501" t="s">
        <v>1260</v>
      </c>
    </row>
    <row r="666" spans="2:7" x14ac:dyDescent="0.25">
      <c r="B666" s="501"/>
      <c r="C666" s="501"/>
      <c r="D666" s="501"/>
      <c r="E666" s="501"/>
      <c r="F666" s="501"/>
      <c r="G666" s="501"/>
    </row>
    <row r="667" spans="2:7" x14ac:dyDescent="0.25">
      <c r="B667" s="501"/>
      <c r="C667" s="501"/>
      <c r="D667" s="501"/>
      <c r="E667" s="501"/>
      <c r="F667" s="501"/>
      <c r="G667" s="501"/>
    </row>
    <row r="668" spans="2:7" x14ac:dyDescent="0.25">
      <c r="B668" s="501" t="s">
        <v>1334</v>
      </c>
      <c r="C668" s="501" t="s">
        <v>1331</v>
      </c>
      <c r="D668" s="503">
        <v>-4421232.25</v>
      </c>
      <c r="E668" s="503">
        <v>25739697.73</v>
      </c>
      <c r="F668" s="503">
        <v>-18149474.829999998</v>
      </c>
      <c r="G668" s="503">
        <v>-10106292.75</v>
      </c>
    </row>
    <row r="669" spans="2:7" x14ac:dyDescent="0.25">
      <c r="B669" s="501" t="s">
        <v>1335</v>
      </c>
      <c r="C669" s="501" t="s">
        <v>1331</v>
      </c>
      <c r="D669" s="503">
        <v>-26900120.43</v>
      </c>
      <c r="E669" s="503">
        <v>-270914781.99000001</v>
      </c>
      <c r="F669" s="503">
        <v>-21155161.640000001</v>
      </c>
      <c r="G669" s="503">
        <v>-284732579.38</v>
      </c>
    </row>
    <row r="670" spans="2:7" x14ac:dyDescent="0.25">
      <c r="B670" s="501" t="s">
        <v>1336</v>
      </c>
      <c r="C670" s="501" t="s">
        <v>1331</v>
      </c>
      <c r="D670" s="503">
        <v>1244184.8999999999</v>
      </c>
      <c r="E670" s="503">
        <v>-5857606.0800000001</v>
      </c>
      <c r="F670" s="503">
        <v>-302957.78999999998</v>
      </c>
      <c r="G670" s="503">
        <v>18469940.280000001</v>
      </c>
    </row>
    <row r="671" spans="2:7" x14ac:dyDescent="0.25">
      <c r="B671" s="501" t="s">
        <v>1337</v>
      </c>
      <c r="C671" s="501" t="s">
        <v>1338</v>
      </c>
      <c r="D671" s="503">
        <v>-3154594.49</v>
      </c>
      <c r="E671" s="503">
        <v>-51260376.939999998</v>
      </c>
      <c r="F671" s="503">
        <v>-4551876.62</v>
      </c>
      <c r="G671" s="503">
        <v>-45603607.950000003</v>
      </c>
    </row>
    <row r="672" spans="2:7" x14ac:dyDescent="0.25">
      <c r="B672" s="501" t="s">
        <v>1339</v>
      </c>
      <c r="C672" s="501" t="s">
        <v>1340</v>
      </c>
      <c r="D672" s="503">
        <v>-1397500</v>
      </c>
      <c r="E672" s="503">
        <v>3129099.61</v>
      </c>
      <c r="F672" s="503">
        <v>-350200</v>
      </c>
      <c r="G672" s="503">
        <v>-3080000</v>
      </c>
    </row>
    <row r="673" spans="2:7" x14ac:dyDescent="0.25">
      <c r="B673" s="501" t="s">
        <v>1341</v>
      </c>
      <c r="C673" s="501" t="s">
        <v>1342</v>
      </c>
      <c r="D673" s="503">
        <v>-1161741.25</v>
      </c>
      <c r="E673" s="503">
        <v>-16318476.449999999</v>
      </c>
      <c r="F673" s="503">
        <v>-1248193.04</v>
      </c>
      <c r="G673" s="503">
        <v>-15387849.35</v>
      </c>
    </row>
    <row r="674" spans="2:7" x14ac:dyDescent="0.25">
      <c r="B674" s="501" t="s">
        <v>1343</v>
      </c>
      <c r="C674" s="501" t="s">
        <v>1344</v>
      </c>
      <c r="D674" s="503">
        <v>-239600</v>
      </c>
      <c r="E674" s="503">
        <v>-4305900</v>
      </c>
      <c r="F674" s="503">
        <v>-50300</v>
      </c>
      <c r="G674" s="503">
        <v>-502200</v>
      </c>
    </row>
    <row r="675" spans="2:7" x14ac:dyDescent="0.25">
      <c r="B675" s="501" t="s">
        <v>1345</v>
      </c>
      <c r="C675" s="501" t="s">
        <v>1346</v>
      </c>
      <c r="D675" s="503">
        <v>-18087.240000000002</v>
      </c>
      <c r="E675" s="503">
        <v>-643901.59</v>
      </c>
      <c r="F675" s="501">
        <v>0</v>
      </c>
      <c r="G675" s="503">
        <v>-1282122.45</v>
      </c>
    </row>
    <row r="676" spans="2:7" x14ac:dyDescent="0.25">
      <c r="B676" s="501" t="s">
        <v>1347</v>
      </c>
      <c r="C676" s="501" t="s">
        <v>1346</v>
      </c>
      <c r="D676" s="503">
        <v>16900</v>
      </c>
      <c r="E676" s="503">
        <v>564500</v>
      </c>
      <c r="F676" s="503">
        <v>-295800</v>
      </c>
      <c r="G676" s="503">
        <v>-348200</v>
      </c>
    </row>
    <row r="677" spans="2:7" x14ac:dyDescent="0.25">
      <c r="B677" s="501" t="s">
        <v>1348</v>
      </c>
      <c r="C677" s="501" t="s">
        <v>1349</v>
      </c>
      <c r="D677" s="503">
        <v>-36718.370000000003</v>
      </c>
      <c r="E677" s="503">
        <v>-668736.85</v>
      </c>
      <c r="F677" s="503">
        <v>-30317.42</v>
      </c>
      <c r="G677" s="503">
        <v>-430147.4</v>
      </c>
    </row>
    <row r="678" spans="2:7" x14ac:dyDescent="0.25">
      <c r="B678" s="501" t="s">
        <v>1350</v>
      </c>
      <c r="C678" s="501" t="s">
        <v>1349</v>
      </c>
      <c r="D678" s="503">
        <v>-39800</v>
      </c>
      <c r="E678" s="503">
        <v>-31800</v>
      </c>
      <c r="F678" s="503">
        <v>-50100</v>
      </c>
      <c r="G678" s="503">
        <v>10000</v>
      </c>
    </row>
    <row r="679" spans="2:7" x14ac:dyDescent="0.25">
      <c r="B679" s="501"/>
      <c r="C679" s="501"/>
      <c r="D679" s="501"/>
      <c r="E679" s="501"/>
      <c r="F679" s="501"/>
      <c r="G679" s="501"/>
    </row>
    <row r="680" spans="2:7" x14ac:dyDescent="0.25">
      <c r="B680" s="501"/>
      <c r="C680" s="501" t="s">
        <v>1351</v>
      </c>
      <c r="D680" s="503">
        <v>-92353359.400000006</v>
      </c>
      <c r="E680" s="503">
        <v>-1018162666.13</v>
      </c>
      <c r="F680" s="503">
        <v>-90459202.519999996</v>
      </c>
      <c r="G680" s="503">
        <v>-1066122323.09</v>
      </c>
    </row>
    <row r="681" spans="2:7" x14ac:dyDescent="0.25">
      <c r="B681" s="501" t="s">
        <v>1352</v>
      </c>
      <c r="C681" s="501" t="s">
        <v>1353</v>
      </c>
      <c r="D681" s="503">
        <v>-19597.8</v>
      </c>
      <c r="E681" s="503">
        <v>-233084.73</v>
      </c>
      <c r="F681" s="503">
        <v>-17800</v>
      </c>
      <c r="G681" s="503">
        <v>-220268.59</v>
      </c>
    </row>
    <row r="682" spans="2:7" x14ac:dyDescent="0.25">
      <c r="B682" s="501" t="s">
        <v>1354</v>
      </c>
      <c r="C682" s="501" t="s">
        <v>1355</v>
      </c>
      <c r="D682" s="503">
        <v>-12414050.85</v>
      </c>
      <c r="E682" s="503">
        <v>-143963935.25999999</v>
      </c>
      <c r="F682" s="503">
        <v>-12489234.27</v>
      </c>
      <c r="G682" s="503">
        <v>-137211452.49000001</v>
      </c>
    </row>
    <row r="683" spans="2:7" x14ac:dyDescent="0.25">
      <c r="B683" s="501" t="s">
        <v>1356</v>
      </c>
      <c r="C683" s="501" t="s">
        <v>1357</v>
      </c>
      <c r="D683" s="503">
        <v>759400</v>
      </c>
      <c r="E683" s="503">
        <v>-3203700</v>
      </c>
      <c r="F683" s="503">
        <v>-708660</v>
      </c>
      <c r="G683" s="503">
        <v>-3137470.14</v>
      </c>
    </row>
    <row r="684" spans="2:7" x14ac:dyDescent="0.25">
      <c r="B684" s="501" t="s">
        <v>1358</v>
      </c>
      <c r="C684" s="501" t="s">
        <v>1359</v>
      </c>
      <c r="D684" s="503">
        <v>-11417170.85</v>
      </c>
      <c r="E684" s="503">
        <v>-118806789.81</v>
      </c>
      <c r="F684" s="503">
        <v>-9369536.3800000008</v>
      </c>
      <c r="G684" s="503">
        <v>-114343495.11</v>
      </c>
    </row>
    <row r="685" spans="2:7" x14ac:dyDescent="0.25">
      <c r="B685" s="501" t="s">
        <v>1360</v>
      </c>
      <c r="C685" s="501" t="s">
        <v>1361</v>
      </c>
      <c r="D685" s="503">
        <v>1199000</v>
      </c>
      <c r="E685" s="503">
        <v>-11285300</v>
      </c>
      <c r="F685" s="503">
        <v>-533940</v>
      </c>
      <c r="G685" s="503">
        <v>-2163983.5</v>
      </c>
    </row>
    <row r="686" spans="2:7" x14ac:dyDescent="0.25">
      <c r="B686" s="501" t="s">
        <v>1362</v>
      </c>
      <c r="C686" s="501" t="s">
        <v>1363</v>
      </c>
      <c r="D686" s="503">
        <v>30548.560000000001</v>
      </c>
      <c r="E686" s="503">
        <v>476044.28</v>
      </c>
      <c r="F686" s="503">
        <v>50199.73</v>
      </c>
      <c r="G686" s="503">
        <v>528683.19999999995</v>
      </c>
    </row>
    <row r="687" spans="2:7" x14ac:dyDescent="0.25">
      <c r="B687" s="501" t="s">
        <v>1364</v>
      </c>
      <c r="C687" s="501" t="s">
        <v>1363</v>
      </c>
      <c r="D687" s="501">
        <v>-531</v>
      </c>
      <c r="E687" s="503">
        <v>-1524</v>
      </c>
      <c r="F687" s="501">
        <v>0</v>
      </c>
      <c r="G687" s="501">
        <v>-524</v>
      </c>
    </row>
    <row r="688" spans="2:7" x14ac:dyDescent="0.25">
      <c r="B688" s="501" t="s">
        <v>1365</v>
      </c>
      <c r="C688" s="501" t="s">
        <v>1363</v>
      </c>
      <c r="D688" s="503">
        <v>-140144.60999999999</v>
      </c>
      <c r="E688" s="503">
        <v>-1636999.87</v>
      </c>
      <c r="F688" s="503">
        <v>-198006.87</v>
      </c>
      <c r="G688" s="503">
        <v>-1451906.26</v>
      </c>
    </row>
    <row r="689" spans="2:7" x14ac:dyDescent="0.25">
      <c r="B689" s="501" t="s">
        <v>1366</v>
      </c>
      <c r="C689" s="501" t="s">
        <v>1367</v>
      </c>
      <c r="D689" s="503">
        <v>-92696.38</v>
      </c>
      <c r="E689" s="503">
        <v>-561727.71</v>
      </c>
      <c r="F689" s="503">
        <v>-549156.07999999996</v>
      </c>
      <c r="G689" s="503">
        <v>-5738101</v>
      </c>
    </row>
    <row r="690" spans="2:7" x14ac:dyDescent="0.25">
      <c r="B690" s="501" t="s">
        <v>1368</v>
      </c>
      <c r="C690" s="501" t="s">
        <v>1369</v>
      </c>
      <c r="D690" s="503">
        <v>-715616.61</v>
      </c>
      <c r="E690" s="503">
        <v>-15082111.18</v>
      </c>
      <c r="F690" s="503">
        <v>-386446.07</v>
      </c>
      <c r="G690" s="503">
        <v>-4287646.4400000004</v>
      </c>
    </row>
    <row r="691" spans="2:7" x14ac:dyDescent="0.25">
      <c r="B691" s="501" t="s">
        <v>1370</v>
      </c>
      <c r="C691" s="501" t="s">
        <v>1371</v>
      </c>
      <c r="D691" s="503">
        <v>42691.54</v>
      </c>
      <c r="E691" s="503">
        <v>-186215.57</v>
      </c>
      <c r="F691" s="503">
        <v>-28252.35</v>
      </c>
      <c r="G691" s="503">
        <v>-453966.47</v>
      </c>
    </row>
    <row r="692" spans="2:7" x14ac:dyDescent="0.25">
      <c r="B692" s="501" t="s">
        <v>1372</v>
      </c>
      <c r="C692" s="501" t="s">
        <v>1373</v>
      </c>
      <c r="D692" s="503">
        <v>-198403.13</v>
      </c>
      <c r="E692" s="503">
        <v>-1158992.51</v>
      </c>
      <c r="F692" s="503">
        <v>-149987.1</v>
      </c>
      <c r="G692" s="503">
        <v>-990303.85</v>
      </c>
    </row>
    <row r="693" spans="2:7" x14ac:dyDescent="0.25">
      <c r="B693" s="501" t="s">
        <v>1374</v>
      </c>
      <c r="C693" s="501" t="s">
        <v>1375</v>
      </c>
      <c r="D693" s="501">
        <v>0</v>
      </c>
      <c r="E693" s="503">
        <v>-18847.46</v>
      </c>
      <c r="F693" s="501">
        <v>-178.33</v>
      </c>
      <c r="G693" s="503">
        <v>-80443.69</v>
      </c>
    </row>
    <row r="694" spans="2:7" x14ac:dyDescent="0.25">
      <c r="B694" s="501" t="s">
        <v>1376</v>
      </c>
      <c r="C694" s="501" t="s">
        <v>1377</v>
      </c>
      <c r="D694" s="503">
        <v>-63415.55</v>
      </c>
      <c r="E694" s="503">
        <v>-110087.13</v>
      </c>
      <c r="F694" s="503">
        <v>-2096.0300000000002</v>
      </c>
      <c r="G694" s="503">
        <v>-95391.01</v>
      </c>
    </row>
    <row r="695" spans="2:7" x14ac:dyDescent="0.25">
      <c r="B695" s="501" t="s">
        <v>1378</v>
      </c>
      <c r="C695" s="501" t="s">
        <v>1379</v>
      </c>
      <c r="D695" s="503">
        <v>-7063.42</v>
      </c>
      <c r="E695" s="503">
        <v>-1204.78</v>
      </c>
      <c r="F695" s="503">
        <v>-5947.21</v>
      </c>
      <c r="G695" s="503">
        <v>-6845.43</v>
      </c>
    </row>
    <row r="696" spans="2:7" x14ac:dyDescent="0.25">
      <c r="B696" s="501"/>
      <c r="C696" s="501"/>
      <c r="D696" s="501"/>
      <c r="E696" s="501"/>
      <c r="F696" s="501"/>
      <c r="G696" s="501"/>
    </row>
    <row r="697" spans="2:7" x14ac:dyDescent="0.25">
      <c r="B697" s="501"/>
      <c r="C697" s="501" t="s">
        <v>1380</v>
      </c>
      <c r="D697" s="503">
        <v>-23037050.100000001</v>
      </c>
      <c r="E697" s="503">
        <v>-295774475.73000002</v>
      </c>
      <c r="F697" s="503">
        <v>-24389040.960000001</v>
      </c>
      <c r="G697" s="503">
        <v>-269653114.77999997</v>
      </c>
    </row>
    <row r="698" spans="2:7" x14ac:dyDescent="0.25">
      <c r="B698" s="501"/>
      <c r="C698" s="501"/>
      <c r="D698" s="501"/>
      <c r="E698" s="501"/>
      <c r="F698" s="501"/>
      <c r="G698" s="501"/>
    </row>
    <row r="699" spans="2:7" x14ac:dyDescent="0.25">
      <c r="B699" s="501"/>
      <c r="C699" s="501" t="s">
        <v>1381</v>
      </c>
      <c r="D699" s="503">
        <v>-118772840.33</v>
      </c>
      <c r="E699" s="503">
        <v>-1342273064.5799999</v>
      </c>
      <c r="F699" s="503">
        <v>-116784915.19</v>
      </c>
      <c r="G699" s="503">
        <v>-1371109872.8</v>
      </c>
    </row>
    <row r="700" spans="2:7" x14ac:dyDescent="0.25">
      <c r="B700" s="501"/>
      <c r="C700" s="501"/>
      <c r="D700" s="501"/>
      <c r="E700" s="501"/>
      <c r="F700" s="501"/>
      <c r="G700" s="501"/>
    </row>
    <row r="701" spans="2:7" x14ac:dyDescent="0.25">
      <c r="B701" s="501"/>
      <c r="C701" s="501"/>
      <c r="D701" s="501"/>
      <c r="E701" s="501"/>
      <c r="F701" s="501"/>
      <c r="G701" s="501"/>
    </row>
    <row r="702" spans="2:7" x14ac:dyDescent="0.25">
      <c r="B702" s="501"/>
      <c r="C702" s="501" t="s">
        <v>1382</v>
      </c>
      <c r="D702" s="503">
        <v>115283736.23999999</v>
      </c>
      <c r="E702" s="503">
        <v>1432387469.0599999</v>
      </c>
      <c r="F702" s="503">
        <v>114854698.56</v>
      </c>
      <c r="G702" s="503">
        <v>1376010572.3699999</v>
      </c>
    </row>
    <row r="703" spans="2:7" x14ac:dyDescent="0.25">
      <c r="B703" s="501"/>
      <c r="C703" s="501"/>
      <c r="D703" s="501"/>
      <c r="E703" s="501"/>
      <c r="F703" s="501"/>
      <c r="G703" s="501"/>
    </row>
    <row r="704" spans="2:7" x14ac:dyDescent="0.25">
      <c r="B704" s="501" t="s">
        <v>1383</v>
      </c>
      <c r="C704" s="501" t="s">
        <v>1384</v>
      </c>
      <c r="D704" s="501"/>
      <c r="E704" s="501"/>
      <c r="F704" s="501"/>
      <c r="G704" s="501"/>
    </row>
    <row r="705" spans="2:7" x14ac:dyDescent="0.25">
      <c r="B705" s="501" t="s">
        <v>1385</v>
      </c>
      <c r="C705" s="501" t="s">
        <v>1386</v>
      </c>
      <c r="D705" s="503">
        <v>-1687.35</v>
      </c>
      <c r="E705" s="503">
        <v>-223197.96</v>
      </c>
      <c r="F705" s="503">
        <v>-39282.769999999997</v>
      </c>
      <c r="G705" s="503">
        <v>-87092.39</v>
      </c>
    </row>
    <row r="706" spans="2:7" x14ac:dyDescent="0.25">
      <c r="B706" s="501" t="s">
        <v>1387</v>
      </c>
      <c r="C706" s="501" t="s">
        <v>1388</v>
      </c>
      <c r="D706" s="503">
        <v>753704.05</v>
      </c>
      <c r="E706" s="503">
        <v>9192609.9100000001</v>
      </c>
      <c r="F706" s="503">
        <v>722979.39</v>
      </c>
      <c r="G706" s="503">
        <v>8912429.8800000008</v>
      </c>
    </row>
    <row r="707" spans="2:7" x14ac:dyDescent="0.25">
      <c r="B707" s="501" t="s">
        <v>1390</v>
      </c>
      <c r="C707" s="501" t="s">
        <v>1391</v>
      </c>
      <c r="D707" s="503">
        <v>1603060.5</v>
      </c>
      <c r="E707" s="503">
        <v>17155243.510000002</v>
      </c>
      <c r="F707" s="503">
        <v>1781474.37</v>
      </c>
      <c r="G707" s="503">
        <v>14988232.49</v>
      </c>
    </row>
    <row r="708" spans="2:7" x14ac:dyDescent="0.25">
      <c r="B708" s="501" t="s">
        <v>1393</v>
      </c>
      <c r="C708" s="501" t="s">
        <v>1394</v>
      </c>
      <c r="D708" s="503">
        <v>402751.65</v>
      </c>
      <c r="E708" s="503">
        <v>5207003.67</v>
      </c>
      <c r="F708" s="503">
        <v>378909.18</v>
      </c>
      <c r="G708" s="503">
        <v>5230635.3499999996</v>
      </c>
    </row>
    <row r="709" spans="2:7" x14ac:dyDescent="0.25">
      <c r="B709" s="501" t="s">
        <v>1395</v>
      </c>
      <c r="C709" s="501" t="s">
        <v>1396</v>
      </c>
      <c r="D709" s="503">
        <v>150205.47</v>
      </c>
      <c r="E709" s="503">
        <v>1868660.14</v>
      </c>
      <c r="F709" s="503">
        <v>148428.09</v>
      </c>
      <c r="G709" s="503">
        <v>1976699.97</v>
      </c>
    </row>
    <row r="710" spans="2:7" x14ac:dyDescent="0.25">
      <c r="B710" s="501" t="s">
        <v>1397</v>
      </c>
      <c r="C710" s="501" t="s">
        <v>1398</v>
      </c>
      <c r="D710" s="503">
        <v>44951.63</v>
      </c>
      <c r="E710" s="503">
        <v>615516.39</v>
      </c>
      <c r="F710" s="503">
        <v>52194.12</v>
      </c>
      <c r="G710" s="503">
        <v>502594.33</v>
      </c>
    </row>
    <row r="711" spans="2:7" x14ac:dyDescent="0.25">
      <c r="B711" s="501" t="s">
        <v>1399</v>
      </c>
      <c r="C711" s="501" t="s">
        <v>1400</v>
      </c>
      <c r="D711" s="503">
        <v>36948.07</v>
      </c>
      <c r="E711" s="503">
        <v>508924.68</v>
      </c>
      <c r="F711" s="503">
        <v>37129.18</v>
      </c>
      <c r="G711" s="503">
        <v>511822.72</v>
      </c>
    </row>
    <row r="712" spans="2:7" x14ac:dyDescent="0.25">
      <c r="B712" s="501" t="s">
        <v>1401</v>
      </c>
      <c r="C712" s="501" t="s">
        <v>1402</v>
      </c>
      <c r="D712" s="503">
        <v>6069.88</v>
      </c>
      <c r="E712" s="503">
        <v>78541.740000000005</v>
      </c>
      <c r="F712" s="503">
        <v>5843.36</v>
      </c>
      <c r="G712" s="503">
        <v>77790.05</v>
      </c>
    </row>
    <row r="713" spans="2:7" x14ac:dyDescent="0.25">
      <c r="B713" s="501" t="s">
        <v>1405</v>
      </c>
      <c r="C713" s="501" t="s">
        <v>1406</v>
      </c>
      <c r="D713" s="503">
        <v>44906.33</v>
      </c>
      <c r="E713" s="503">
        <v>1246382.19</v>
      </c>
      <c r="F713" s="503">
        <v>60090</v>
      </c>
      <c r="G713" s="503">
        <v>820745.32</v>
      </c>
    </row>
    <row r="714" spans="2:7" x14ac:dyDescent="0.25">
      <c r="B714" s="501" t="s">
        <v>1407</v>
      </c>
      <c r="C714" s="501" t="s">
        <v>1408</v>
      </c>
      <c r="D714" s="503">
        <v>5940</v>
      </c>
      <c r="E714" s="503">
        <v>54950</v>
      </c>
      <c r="F714" s="503">
        <v>22500</v>
      </c>
      <c r="G714" s="503">
        <v>147890</v>
      </c>
    </row>
    <row r="715" spans="2:7" x14ac:dyDescent="0.25">
      <c r="B715" s="501" t="s">
        <v>1409</v>
      </c>
      <c r="C715" s="501" t="s">
        <v>1410</v>
      </c>
      <c r="D715" s="503">
        <v>23692.75</v>
      </c>
      <c r="E715" s="503">
        <v>512116.2</v>
      </c>
      <c r="F715" s="503">
        <v>111507</v>
      </c>
      <c r="G715" s="503">
        <v>298041.90000000002</v>
      </c>
    </row>
    <row r="716" spans="2:7" x14ac:dyDescent="0.25">
      <c r="B716" s="501" t="s">
        <v>1414</v>
      </c>
      <c r="C716" s="501" t="s">
        <v>1415</v>
      </c>
      <c r="D716" s="503">
        <v>5000</v>
      </c>
      <c r="E716" s="503">
        <v>30092.5</v>
      </c>
      <c r="F716" s="503">
        <v>5000</v>
      </c>
      <c r="G716" s="503">
        <v>25000</v>
      </c>
    </row>
    <row r="717" spans="2:7" x14ac:dyDescent="0.25">
      <c r="B717" s="501" t="s">
        <v>1416</v>
      </c>
      <c r="C717" s="501" t="s">
        <v>1417</v>
      </c>
      <c r="D717" s="501">
        <v>0</v>
      </c>
      <c r="E717" s="501">
        <v>0</v>
      </c>
      <c r="F717" s="501">
        <v>0</v>
      </c>
      <c r="G717" s="503">
        <v>-25000</v>
      </c>
    </row>
    <row r="718" spans="2:7" x14ac:dyDescent="0.25">
      <c r="B718" s="501" t="s">
        <v>1422</v>
      </c>
      <c r="C718" s="501" t="s">
        <v>1423</v>
      </c>
      <c r="D718" s="503">
        <v>30795.200000000001</v>
      </c>
      <c r="E718" s="503">
        <v>353518.98</v>
      </c>
      <c r="F718" s="503">
        <v>51235.71</v>
      </c>
      <c r="G718" s="503">
        <v>480775.6</v>
      </c>
    </row>
    <row r="719" spans="2:7" x14ac:dyDescent="0.25">
      <c r="B719" s="501"/>
      <c r="C719" s="501"/>
      <c r="D719" s="501"/>
      <c r="E719" s="501"/>
      <c r="F719" s="501"/>
      <c r="G719" s="501"/>
    </row>
    <row r="720" spans="2:7" x14ac:dyDescent="0.25">
      <c r="B720" s="501"/>
      <c r="C720" s="501"/>
      <c r="D720" s="501"/>
      <c r="E720" s="501"/>
      <c r="F720" s="501"/>
      <c r="G720" s="501"/>
    </row>
    <row r="721" spans="2:7" x14ac:dyDescent="0.25">
      <c r="B721" s="501" t="s">
        <v>1240</v>
      </c>
      <c r="C721" s="501" t="s">
        <v>1241</v>
      </c>
      <c r="D721" s="501" t="s">
        <v>1242</v>
      </c>
      <c r="E721" s="501" t="s">
        <v>1243</v>
      </c>
      <c r="F721" s="501"/>
      <c r="G721" s="501" t="s">
        <v>1924</v>
      </c>
    </row>
    <row r="722" spans="2:7" x14ac:dyDescent="0.25">
      <c r="B722" s="501" t="s">
        <v>1245</v>
      </c>
      <c r="C722" s="501" t="s">
        <v>1246</v>
      </c>
      <c r="D722" s="501" t="s">
        <v>1247</v>
      </c>
      <c r="E722" s="501"/>
      <c r="F722" s="501"/>
      <c r="G722" s="501"/>
    </row>
    <row r="723" spans="2:7" x14ac:dyDescent="0.25">
      <c r="B723" s="501"/>
      <c r="C723" s="501" t="s">
        <v>1248</v>
      </c>
      <c r="D723" s="501" t="s">
        <v>1249</v>
      </c>
      <c r="E723" s="501" t="s">
        <v>1250</v>
      </c>
      <c r="F723" s="501" t="s">
        <v>1251</v>
      </c>
      <c r="G723" s="501">
        <v>9</v>
      </c>
    </row>
    <row r="724" spans="2:7" x14ac:dyDescent="0.25">
      <c r="B724" s="501"/>
      <c r="C724" s="501"/>
      <c r="D724" s="501"/>
      <c r="E724" s="501"/>
      <c r="F724" s="501"/>
      <c r="G724" s="501"/>
    </row>
    <row r="725" spans="2:7" x14ac:dyDescent="0.25">
      <c r="B725" s="504">
        <v>43466</v>
      </c>
      <c r="C725" s="501">
        <v>101</v>
      </c>
      <c r="D725" s="501" t="s">
        <v>1921</v>
      </c>
      <c r="E725" s="501" t="s">
        <v>1922</v>
      </c>
      <c r="F725" s="501"/>
      <c r="G725" s="501" t="s">
        <v>1254</v>
      </c>
    </row>
    <row r="726" spans="2:7" x14ac:dyDescent="0.25">
      <c r="B726" s="501"/>
      <c r="C726" s="501"/>
      <c r="D726" s="501"/>
      <c r="E726" s="501"/>
      <c r="F726" s="501"/>
      <c r="G726" s="501"/>
    </row>
    <row r="727" spans="2:7" x14ac:dyDescent="0.25">
      <c r="B727" s="501" t="s">
        <v>1255</v>
      </c>
      <c r="C727" s="501" t="s">
        <v>1256</v>
      </c>
      <c r="D727" s="501" t="s">
        <v>1257</v>
      </c>
      <c r="E727" s="501" t="s">
        <v>1258</v>
      </c>
      <c r="F727" s="501" t="s">
        <v>1259</v>
      </c>
      <c r="G727" s="501" t="s">
        <v>1260</v>
      </c>
    </row>
    <row r="728" spans="2:7" x14ac:dyDescent="0.25">
      <c r="B728" s="501"/>
      <c r="C728" s="501"/>
      <c r="D728" s="501"/>
      <c r="E728" s="501"/>
      <c r="F728" s="501"/>
      <c r="G728" s="501"/>
    </row>
    <row r="729" spans="2:7" x14ac:dyDescent="0.25">
      <c r="B729" s="501" t="s">
        <v>1383</v>
      </c>
      <c r="C729" s="501" t="s">
        <v>1384</v>
      </c>
      <c r="D729" s="501"/>
      <c r="E729" s="501"/>
      <c r="F729" s="501"/>
      <c r="G729" s="501"/>
    </row>
    <row r="730" spans="2:7" x14ac:dyDescent="0.25">
      <c r="B730" s="501" t="s">
        <v>1424</v>
      </c>
      <c r="C730" s="501" t="s">
        <v>1425</v>
      </c>
      <c r="D730" s="503">
        <v>10000</v>
      </c>
      <c r="E730" s="503">
        <v>16300.82</v>
      </c>
      <c r="F730" s="503">
        <v>10000</v>
      </c>
      <c r="G730" s="503">
        <v>143533.56</v>
      </c>
    </row>
    <row r="731" spans="2:7" x14ac:dyDescent="0.25">
      <c r="B731" s="501" t="s">
        <v>1426</v>
      </c>
      <c r="C731" s="501" t="s">
        <v>1427</v>
      </c>
      <c r="D731" s="503">
        <v>5369.27</v>
      </c>
      <c r="E731" s="503">
        <v>75816.19</v>
      </c>
      <c r="F731" s="503">
        <v>5489.81</v>
      </c>
      <c r="G731" s="503">
        <v>69339.759999999995</v>
      </c>
    </row>
    <row r="732" spans="2:7" x14ac:dyDescent="0.25">
      <c r="B732" s="501" t="s">
        <v>1428</v>
      </c>
      <c r="C732" s="501" t="s">
        <v>1429</v>
      </c>
      <c r="D732" s="503">
        <v>695551.6</v>
      </c>
      <c r="E732" s="503">
        <v>6335390.5499999998</v>
      </c>
      <c r="F732" s="503">
        <v>929060.34</v>
      </c>
      <c r="G732" s="503">
        <v>6726744.6900000004</v>
      </c>
    </row>
    <row r="733" spans="2:7" x14ac:dyDescent="0.25">
      <c r="B733" s="501" t="s">
        <v>1432</v>
      </c>
      <c r="C733" s="501" t="s">
        <v>1433</v>
      </c>
      <c r="D733" s="503">
        <v>-32407.89</v>
      </c>
      <c r="E733" s="503">
        <v>-543892.6</v>
      </c>
      <c r="F733" s="501">
        <v>0</v>
      </c>
      <c r="G733" s="501">
        <v>0</v>
      </c>
    </row>
    <row r="734" spans="2:7" x14ac:dyDescent="0.25">
      <c r="B734" s="501" t="s">
        <v>1435</v>
      </c>
      <c r="C734" s="501" t="s">
        <v>1436</v>
      </c>
      <c r="D734" s="501">
        <v>0</v>
      </c>
      <c r="E734" s="503">
        <v>3167.1</v>
      </c>
      <c r="F734" s="501">
        <v>62.94</v>
      </c>
      <c r="G734" s="503">
        <v>8215.35</v>
      </c>
    </row>
    <row r="735" spans="2:7" x14ac:dyDescent="0.25">
      <c r="B735" s="501" t="s">
        <v>1437</v>
      </c>
      <c r="C735" s="501" t="s">
        <v>1438</v>
      </c>
      <c r="D735" s="501">
        <v>0</v>
      </c>
      <c r="E735" s="501">
        <v>0</v>
      </c>
      <c r="F735" s="501">
        <v>0</v>
      </c>
      <c r="G735" s="503">
        <v>2896131.86</v>
      </c>
    </row>
    <row r="736" spans="2:7" x14ac:dyDescent="0.25">
      <c r="B736" s="501" t="s">
        <v>1439</v>
      </c>
      <c r="C736" s="501" t="s">
        <v>1440</v>
      </c>
      <c r="D736" s="503">
        <v>28546</v>
      </c>
      <c r="E736" s="503">
        <v>66215</v>
      </c>
      <c r="F736" s="501">
        <v>0</v>
      </c>
      <c r="G736" s="501">
        <v>0</v>
      </c>
    </row>
    <row r="737" spans="2:7" x14ac:dyDescent="0.25">
      <c r="B737" s="501" t="s">
        <v>1441</v>
      </c>
      <c r="C737" s="501" t="s">
        <v>1442</v>
      </c>
      <c r="D737" s="501">
        <v>0</v>
      </c>
      <c r="E737" s="503">
        <v>-72000</v>
      </c>
      <c r="F737" s="503">
        <v>-12280.72</v>
      </c>
      <c r="G737" s="503">
        <v>-2077161.38</v>
      </c>
    </row>
    <row r="738" spans="2:7" x14ac:dyDescent="0.25">
      <c r="B738" s="501" t="s">
        <v>1443</v>
      </c>
      <c r="C738" s="501" t="s">
        <v>1444</v>
      </c>
      <c r="D738" s="503">
        <v>572784.55000000005</v>
      </c>
      <c r="E738" s="503">
        <v>1303487.1499999999</v>
      </c>
      <c r="F738" s="501">
        <v>0</v>
      </c>
      <c r="G738" s="501">
        <v>0</v>
      </c>
    </row>
    <row r="739" spans="2:7" x14ac:dyDescent="0.25">
      <c r="B739" s="501" t="s">
        <v>1445</v>
      </c>
      <c r="C739" s="501" t="s">
        <v>1446</v>
      </c>
      <c r="D739" s="503">
        <v>-60754.84</v>
      </c>
      <c r="E739" s="503">
        <v>1242601.3700000001</v>
      </c>
      <c r="F739" s="503">
        <v>229743</v>
      </c>
      <c r="G739" s="503">
        <v>1515412</v>
      </c>
    </row>
    <row r="740" spans="2:7" x14ac:dyDescent="0.25">
      <c r="B740" s="501" t="s">
        <v>1447</v>
      </c>
      <c r="C740" s="501" t="s">
        <v>1448</v>
      </c>
      <c r="D740" s="501">
        <v>0</v>
      </c>
      <c r="E740" s="501">
        <v>0</v>
      </c>
      <c r="F740" s="501">
        <v>299</v>
      </c>
      <c r="G740" s="501">
        <v>299</v>
      </c>
    </row>
    <row r="741" spans="2:7" x14ac:dyDescent="0.25">
      <c r="B741" s="501" t="s">
        <v>1449</v>
      </c>
      <c r="C741" s="501" t="s">
        <v>1450</v>
      </c>
      <c r="D741" s="501">
        <v>0</v>
      </c>
      <c r="E741" s="503">
        <v>357917.46</v>
      </c>
      <c r="F741" s="501">
        <v>0</v>
      </c>
      <c r="G741" s="501">
        <v>0</v>
      </c>
    </row>
    <row r="742" spans="2:7" x14ac:dyDescent="0.25">
      <c r="B742" s="501" t="s">
        <v>1452</v>
      </c>
      <c r="C742" s="501" t="s">
        <v>1453</v>
      </c>
      <c r="D742" s="501">
        <v>0</v>
      </c>
      <c r="E742" s="503">
        <v>-204910.13</v>
      </c>
      <c r="F742" s="501">
        <v>0</v>
      </c>
      <c r="G742" s="501">
        <v>0</v>
      </c>
    </row>
    <row r="743" spans="2:7" x14ac:dyDescent="0.25">
      <c r="B743" s="501"/>
      <c r="C743" s="501"/>
      <c r="D743" s="501"/>
      <c r="E743" s="501"/>
      <c r="F743" s="501"/>
      <c r="G743" s="501"/>
    </row>
    <row r="744" spans="2:7" x14ac:dyDescent="0.25">
      <c r="B744" s="501"/>
      <c r="C744" s="501" t="s">
        <v>1457</v>
      </c>
      <c r="D744" s="503">
        <v>4325426.87</v>
      </c>
      <c r="E744" s="503">
        <v>45180454.859999999</v>
      </c>
      <c r="F744" s="503">
        <v>4500382</v>
      </c>
      <c r="G744" s="503">
        <v>43143080.060000002</v>
      </c>
    </row>
    <row r="745" spans="2:7" x14ac:dyDescent="0.25">
      <c r="B745" s="501"/>
      <c r="C745" s="501"/>
      <c r="D745" s="501"/>
      <c r="E745" s="501"/>
      <c r="F745" s="501"/>
      <c r="G745" s="501"/>
    </row>
    <row r="746" spans="2:7" x14ac:dyDescent="0.25">
      <c r="B746" s="501" t="s">
        <v>1497</v>
      </c>
      <c r="C746" s="501" t="s">
        <v>1498</v>
      </c>
      <c r="D746" s="501">
        <v>0</v>
      </c>
      <c r="E746" s="501">
        <v>0</v>
      </c>
      <c r="F746" s="503">
        <v>-23935.33</v>
      </c>
      <c r="G746" s="503">
        <v>206860.91</v>
      </c>
    </row>
    <row r="747" spans="2:7" x14ac:dyDescent="0.25">
      <c r="B747" s="501"/>
      <c r="C747" s="501"/>
      <c r="D747" s="501"/>
      <c r="E747" s="501"/>
      <c r="F747" s="501"/>
      <c r="G747" s="501"/>
    </row>
    <row r="748" spans="2:7" x14ac:dyDescent="0.25">
      <c r="B748" s="501"/>
      <c r="C748" s="501" t="s">
        <v>1507</v>
      </c>
      <c r="D748" s="501">
        <v>0</v>
      </c>
      <c r="E748" s="501">
        <v>0</v>
      </c>
      <c r="F748" s="503">
        <v>-23935.33</v>
      </c>
      <c r="G748" s="503">
        <v>206860.91</v>
      </c>
    </row>
    <row r="749" spans="2:7" x14ac:dyDescent="0.25">
      <c r="B749" s="501">
        <v>692</v>
      </c>
      <c r="C749" s="501" t="s">
        <v>1508</v>
      </c>
      <c r="D749" s="501"/>
      <c r="E749" s="501"/>
      <c r="F749" s="501"/>
      <c r="G749" s="501"/>
    </row>
    <row r="750" spans="2:7" x14ac:dyDescent="0.25">
      <c r="B750" s="501" t="s">
        <v>1509</v>
      </c>
      <c r="C750" s="501" t="s">
        <v>1510</v>
      </c>
      <c r="D750" s="503">
        <v>21071410.09</v>
      </c>
      <c r="E750" s="503">
        <v>29819727.27</v>
      </c>
      <c r="F750" s="503">
        <v>41694283.600000001</v>
      </c>
      <c r="G750" s="503">
        <v>55066499.549999997</v>
      </c>
    </row>
    <row r="751" spans="2:7" x14ac:dyDescent="0.25">
      <c r="B751" s="501"/>
      <c r="C751" s="501" t="s">
        <v>1511</v>
      </c>
      <c r="D751" s="503">
        <v>21071410.09</v>
      </c>
      <c r="E751" s="503">
        <v>29819727.27</v>
      </c>
      <c r="F751" s="503">
        <v>41694283.600000001</v>
      </c>
      <c r="G751" s="503">
        <v>55066499.549999997</v>
      </c>
    </row>
    <row r="752" spans="2:7" x14ac:dyDescent="0.25">
      <c r="B752" s="501"/>
      <c r="C752" s="501" t="s">
        <v>1515</v>
      </c>
      <c r="D752" s="503">
        <v>25396836.960000001</v>
      </c>
      <c r="E752" s="503">
        <v>75000182.129999995</v>
      </c>
      <c r="F752" s="503">
        <v>46170730.270000003</v>
      </c>
      <c r="G752" s="503">
        <v>98416440.519999996</v>
      </c>
    </row>
    <row r="753" spans="2:7" x14ac:dyDescent="0.25">
      <c r="B753" s="501"/>
      <c r="C753" s="501"/>
      <c r="D753" s="501"/>
      <c r="E753" s="501"/>
      <c r="F753" s="501"/>
      <c r="G753" s="501"/>
    </row>
    <row r="754" spans="2:7" x14ac:dyDescent="0.25">
      <c r="B754" s="501"/>
      <c r="C754" s="501"/>
      <c r="D754" s="501"/>
      <c r="E754" s="501"/>
      <c r="F754" s="501"/>
      <c r="G754" s="501"/>
    </row>
    <row r="755" spans="2:7" x14ac:dyDescent="0.25">
      <c r="B755" s="501"/>
      <c r="C755" s="501" t="s">
        <v>1516</v>
      </c>
      <c r="D755" s="503">
        <v>140680573.19999999</v>
      </c>
      <c r="E755" s="503">
        <v>1507387651.1900001</v>
      </c>
      <c r="F755" s="503">
        <v>161025428.83000001</v>
      </c>
      <c r="G755" s="503">
        <v>1474427012.8900001</v>
      </c>
    </row>
    <row r="756" spans="2:7" x14ac:dyDescent="0.25">
      <c r="B756" s="501"/>
      <c r="C756" s="501"/>
      <c r="D756" s="501"/>
      <c r="E756" s="501"/>
      <c r="F756" s="501"/>
      <c r="G756" s="501"/>
    </row>
    <row r="757" spans="2:7" x14ac:dyDescent="0.25">
      <c r="B757" s="501" t="s">
        <v>1517</v>
      </c>
      <c r="C757" s="501" t="s">
        <v>1518</v>
      </c>
      <c r="D757" s="501"/>
      <c r="E757" s="501"/>
      <c r="F757" s="501"/>
      <c r="G757" s="501"/>
    </row>
    <row r="758" spans="2:7" x14ac:dyDescent="0.25">
      <c r="B758" s="501" t="s">
        <v>1519</v>
      </c>
      <c r="C758" s="501" t="s">
        <v>473</v>
      </c>
      <c r="D758" s="503">
        <v>2628662.7200000002</v>
      </c>
      <c r="E758" s="503">
        <v>29765164.079999998</v>
      </c>
      <c r="F758" s="503">
        <v>2831495.07</v>
      </c>
      <c r="G758" s="503">
        <v>29460064.780000001</v>
      </c>
    </row>
    <row r="759" spans="2:7" x14ac:dyDescent="0.25">
      <c r="B759" s="501" t="s">
        <v>1520</v>
      </c>
      <c r="C759" s="501" t="s">
        <v>1521</v>
      </c>
      <c r="D759" s="501">
        <v>0</v>
      </c>
      <c r="E759" s="503">
        <v>-177727.58</v>
      </c>
      <c r="F759" s="501">
        <v>0</v>
      </c>
      <c r="G759" s="501">
        <v>0</v>
      </c>
    </row>
    <row r="760" spans="2:7" x14ac:dyDescent="0.25">
      <c r="B760" s="501" t="s">
        <v>1522</v>
      </c>
      <c r="C760" s="501" t="s">
        <v>1523</v>
      </c>
      <c r="D760" s="503">
        <v>9031804.9600000009</v>
      </c>
      <c r="E760" s="503">
        <v>105725713.15000001</v>
      </c>
      <c r="F760" s="503">
        <v>8819131.0500000007</v>
      </c>
      <c r="G760" s="503">
        <v>98425297.200000003</v>
      </c>
    </row>
    <row r="761" spans="2:7" x14ac:dyDescent="0.25">
      <c r="B761" s="501" t="s">
        <v>1524</v>
      </c>
      <c r="C761" s="501" t="s">
        <v>1525</v>
      </c>
      <c r="D761" s="503">
        <v>10092865.84</v>
      </c>
      <c r="E761" s="503">
        <v>125916768.53</v>
      </c>
      <c r="F761" s="503">
        <v>11139893.960000001</v>
      </c>
      <c r="G761" s="503">
        <v>118530310.43000001</v>
      </c>
    </row>
    <row r="762" spans="2:7" x14ac:dyDescent="0.25">
      <c r="B762" s="501" t="s">
        <v>1526</v>
      </c>
      <c r="C762" s="501" t="s">
        <v>1527</v>
      </c>
      <c r="D762" s="503">
        <v>5263677.3899999997</v>
      </c>
      <c r="E762" s="503">
        <v>60107503.219999999</v>
      </c>
      <c r="F762" s="503">
        <v>4907275.83</v>
      </c>
      <c r="G762" s="503">
        <v>53731805.479999997</v>
      </c>
    </row>
    <row r="763" spans="2:7" x14ac:dyDescent="0.25">
      <c r="B763" s="501" t="s">
        <v>1528</v>
      </c>
      <c r="C763" s="501" t="s">
        <v>1529</v>
      </c>
      <c r="D763" s="503">
        <v>14282136.199999999</v>
      </c>
      <c r="E763" s="503">
        <v>167272550.97999999</v>
      </c>
      <c r="F763" s="503">
        <v>13653042.83</v>
      </c>
      <c r="G763" s="503">
        <v>157986727.75999999</v>
      </c>
    </row>
    <row r="764" spans="2:7" x14ac:dyDescent="0.25">
      <c r="B764" s="501" t="s">
        <v>1530</v>
      </c>
      <c r="C764" s="501" t="s">
        <v>1531</v>
      </c>
      <c r="D764" s="503">
        <v>655824.96</v>
      </c>
      <c r="E764" s="503">
        <v>7322734.4699999997</v>
      </c>
      <c r="F764" s="503">
        <v>596064.11</v>
      </c>
      <c r="G764" s="503">
        <v>6397538.3700000001</v>
      </c>
    </row>
    <row r="765" spans="2:7" x14ac:dyDescent="0.25">
      <c r="B765" s="501" t="s">
        <v>1532</v>
      </c>
      <c r="C765" s="501" t="s">
        <v>1533</v>
      </c>
      <c r="D765" s="503">
        <v>5463200.9400000004</v>
      </c>
      <c r="E765" s="503">
        <v>64305515.549999997</v>
      </c>
      <c r="F765" s="503">
        <v>5501894.6500000004</v>
      </c>
      <c r="G765" s="503">
        <v>59294680.439999998</v>
      </c>
    </row>
    <row r="766" spans="2:7" x14ac:dyDescent="0.25">
      <c r="B766" s="501" t="s">
        <v>1534</v>
      </c>
      <c r="C766" s="501" t="s">
        <v>1535</v>
      </c>
      <c r="D766" s="501">
        <v>0</v>
      </c>
      <c r="E766" s="501">
        <v>0</v>
      </c>
      <c r="F766" s="501">
        <v>0</v>
      </c>
      <c r="G766" s="501">
        <v>292.5</v>
      </c>
    </row>
    <row r="767" spans="2:7" x14ac:dyDescent="0.25">
      <c r="B767" s="501" t="s">
        <v>1536</v>
      </c>
      <c r="C767" s="501" t="s">
        <v>1537</v>
      </c>
      <c r="D767" s="503">
        <v>-73798.86</v>
      </c>
      <c r="E767" s="503">
        <v>-946551.96</v>
      </c>
      <c r="F767" s="503">
        <v>-53060.800000000003</v>
      </c>
      <c r="G767" s="503">
        <v>-859986.93</v>
      </c>
    </row>
    <row r="768" spans="2:7" x14ac:dyDescent="0.25">
      <c r="B768" s="501"/>
      <c r="C768" s="501"/>
      <c r="D768" s="501"/>
      <c r="E768" s="501"/>
      <c r="F768" s="501"/>
      <c r="G768" s="501"/>
    </row>
    <row r="769" spans="2:7" x14ac:dyDescent="0.25">
      <c r="B769" s="501"/>
      <c r="C769" s="501" t="s">
        <v>1538</v>
      </c>
      <c r="D769" s="503">
        <v>47344374.149999999</v>
      </c>
      <c r="E769" s="503">
        <v>559291670.44000006</v>
      </c>
      <c r="F769" s="503">
        <v>47395736.700000003</v>
      </c>
      <c r="G769" s="503">
        <v>522966730.02999997</v>
      </c>
    </row>
    <row r="770" spans="2:7" x14ac:dyDescent="0.25">
      <c r="B770" s="501" t="s">
        <v>1539</v>
      </c>
      <c r="C770" s="501" t="s">
        <v>3</v>
      </c>
      <c r="D770" s="501">
        <v>-160.24</v>
      </c>
      <c r="E770" s="503">
        <v>17166.490000000002</v>
      </c>
      <c r="F770" s="503">
        <v>16017.34</v>
      </c>
      <c r="G770" s="503">
        <v>20012.62</v>
      </c>
    </row>
    <row r="771" spans="2:7" x14ac:dyDescent="0.25">
      <c r="B771" s="501" t="s">
        <v>1540</v>
      </c>
      <c r="C771" s="501" t="s">
        <v>1541</v>
      </c>
      <c r="D771" s="503">
        <v>3881893.17</v>
      </c>
      <c r="E771" s="503">
        <v>47170786.009999998</v>
      </c>
      <c r="F771" s="503">
        <v>3730631.81</v>
      </c>
      <c r="G771" s="503">
        <v>42391016.340000004</v>
      </c>
    </row>
    <row r="772" spans="2:7" x14ac:dyDescent="0.25">
      <c r="B772" s="501" t="s">
        <v>1542</v>
      </c>
      <c r="C772" s="501" t="s">
        <v>308</v>
      </c>
      <c r="D772" s="503">
        <v>60006.66</v>
      </c>
      <c r="E772" s="503">
        <v>630494.97</v>
      </c>
      <c r="F772" s="503">
        <v>25002.02</v>
      </c>
      <c r="G772" s="503">
        <v>354283.06</v>
      </c>
    </row>
    <row r="773" spans="2:7" x14ac:dyDescent="0.25">
      <c r="B773" s="501" t="s">
        <v>1543</v>
      </c>
      <c r="C773" s="501" t="s">
        <v>1544</v>
      </c>
      <c r="D773" s="503">
        <v>56390.27</v>
      </c>
      <c r="E773" s="503">
        <v>530662.51</v>
      </c>
      <c r="F773" s="501">
        <v>0</v>
      </c>
      <c r="G773" s="501">
        <v>0</v>
      </c>
    </row>
    <row r="774" spans="2:7" x14ac:dyDescent="0.25">
      <c r="B774" s="501" t="s">
        <v>1545</v>
      </c>
      <c r="C774" s="501" t="s">
        <v>309</v>
      </c>
      <c r="D774" s="503">
        <v>1150199.43</v>
      </c>
      <c r="E774" s="503">
        <v>4080454.12</v>
      </c>
      <c r="F774" s="503">
        <v>160640.09</v>
      </c>
      <c r="G774" s="503">
        <v>2624408.92</v>
      </c>
    </row>
    <row r="775" spans="2:7" x14ac:dyDescent="0.25">
      <c r="B775" s="501" t="s">
        <v>1546</v>
      </c>
      <c r="C775" s="501" t="s">
        <v>1547</v>
      </c>
      <c r="D775" s="503">
        <v>436431.18</v>
      </c>
      <c r="E775" s="503">
        <v>6744891.2599999998</v>
      </c>
      <c r="F775" s="503">
        <v>441153.2</v>
      </c>
      <c r="G775" s="503">
        <v>4671755.57</v>
      </c>
    </row>
    <row r="776" spans="2:7" x14ac:dyDescent="0.25">
      <c r="B776" s="501" t="s">
        <v>1548</v>
      </c>
      <c r="C776" s="501" t="s">
        <v>1549</v>
      </c>
      <c r="D776" s="503">
        <v>6324485.4100000001</v>
      </c>
      <c r="E776" s="503">
        <v>65620361.609999999</v>
      </c>
      <c r="F776" s="503">
        <v>5781998.8700000001</v>
      </c>
      <c r="G776" s="503">
        <v>64511981.840000004</v>
      </c>
    </row>
    <row r="777" spans="2:7" x14ac:dyDescent="0.25">
      <c r="B777" s="501" t="s">
        <v>1550</v>
      </c>
      <c r="C777" s="501" t="s">
        <v>1551</v>
      </c>
      <c r="D777" s="503">
        <v>1249742.71</v>
      </c>
      <c r="E777" s="503">
        <v>11515152.939999999</v>
      </c>
      <c r="F777" s="501">
        <v>0</v>
      </c>
      <c r="G777" s="501">
        <v>0</v>
      </c>
    </row>
    <row r="778" spans="2:7" x14ac:dyDescent="0.25">
      <c r="B778" s="501" t="s">
        <v>1552</v>
      </c>
      <c r="C778" s="501" t="s">
        <v>1553</v>
      </c>
      <c r="D778" s="503">
        <v>454262.72</v>
      </c>
      <c r="E778" s="503">
        <v>5141536.9800000004</v>
      </c>
      <c r="F778" s="503">
        <v>447468.32</v>
      </c>
      <c r="G778" s="503">
        <v>4718538.37</v>
      </c>
    </row>
    <row r="779" spans="2:7" x14ac:dyDescent="0.25">
      <c r="B779" s="501" t="s">
        <v>1554</v>
      </c>
      <c r="C779" s="501" t="s">
        <v>1555</v>
      </c>
      <c r="D779" s="503">
        <v>519254.85</v>
      </c>
      <c r="E779" s="503">
        <v>6396098.75</v>
      </c>
      <c r="F779" s="503">
        <v>737168.59</v>
      </c>
      <c r="G779" s="503">
        <v>5945181.9699999997</v>
      </c>
    </row>
    <row r="780" spans="2:7" x14ac:dyDescent="0.25">
      <c r="B780" s="501" t="s">
        <v>1556</v>
      </c>
      <c r="C780" s="501" t="s">
        <v>1557</v>
      </c>
      <c r="D780" s="503">
        <v>42941.11</v>
      </c>
      <c r="E780" s="503">
        <v>695215</v>
      </c>
      <c r="F780" s="503">
        <v>53523.55</v>
      </c>
      <c r="G780" s="503">
        <v>643208.26</v>
      </c>
    </row>
    <row r="781" spans="2:7" x14ac:dyDescent="0.25">
      <c r="B781" s="501"/>
      <c r="C781" s="501"/>
      <c r="D781" s="501"/>
      <c r="E781" s="501"/>
      <c r="F781" s="501"/>
      <c r="G781" s="501"/>
    </row>
    <row r="782" spans="2:7" x14ac:dyDescent="0.25">
      <c r="B782" s="501"/>
      <c r="C782" s="501"/>
      <c r="D782" s="501"/>
      <c r="E782" s="501"/>
      <c r="F782" s="501"/>
      <c r="G782" s="501"/>
    </row>
    <row r="783" spans="2:7" x14ac:dyDescent="0.25">
      <c r="B783" s="501" t="s">
        <v>1240</v>
      </c>
      <c r="C783" s="501" t="s">
        <v>1241</v>
      </c>
      <c r="D783" s="501" t="s">
        <v>1242</v>
      </c>
      <c r="E783" s="501" t="s">
        <v>1243</v>
      </c>
      <c r="F783" s="501"/>
      <c r="G783" s="501" t="s">
        <v>1925</v>
      </c>
    </row>
    <row r="784" spans="2:7" x14ac:dyDescent="0.25">
      <c r="B784" s="501" t="s">
        <v>1245</v>
      </c>
      <c r="C784" s="501" t="s">
        <v>1246</v>
      </c>
      <c r="D784" s="501" t="s">
        <v>1247</v>
      </c>
      <c r="E784" s="501"/>
      <c r="F784" s="501"/>
      <c r="G784" s="501"/>
    </row>
    <row r="785" spans="2:7" x14ac:dyDescent="0.25">
      <c r="B785" s="501"/>
      <c r="C785" s="501" t="s">
        <v>1248</v>
      </c>
      <c r="D785" s="501" t="s">
        <v>1249</v>
      </c>
      <c r="E785" s="501" t="s">
        <v>1250</v>
      </c>
      <c r="F785" s="501" t="s">
        <v>1251</v>
      </c>
      <c r="G785" s="501">
        <v>9</v>
      </c>
    </row>
    <row r="786" spans="2:7" x14ac:dyDescent="0.25">
      <c r="B786" s="501"/>
      <c r="C786" s="501"/>
      <c r="D786" s="501"/>
      <c r="E786" s="501"/>
      <c r="F786" s="501"/>
      <c r="G786" s="501"/>
    </row>
    <row r="787" spans="2:7" x14ac:dyDescent="0.25">
      <c r="B787" s="504">
        <v>43466</v>
      </c>
      <c r="C787" s="501">
        <v>101</v>
      </c>
      <c r="D787" s="501" t="s">
        <v>1921</v>
      </c>
      <c r="E787" s="501" t="s">
        <v>1922</v>
      </c>
      <c r="F787" s="501"/>
      <c r="G787" s="501" t="s">
        <v>1254</v>
      </c>
    </row>
    <row r="788" spans="2:7" x14ac:dyDescent="0.25">
      <c r="B788" s="501"/>
      <c r="C788" s="501"/>
      <c r="D788" s="501"/>
      <c r="E788" s="501"/>
      <c r="F788" s="501"/>
      <c r="G788" s="501"/>
    </row>
    <row r="789" spans="2:7" x14ac:dyDescent="0.25">
      <c r="B789" s="501" t="s">
        <v>1255</v>
      </c>
      <c r="C789" s="501" t="s">
        <v>1256</v>
      </c>
      <c r="D789" s="501" t="s">
        <v>1257</v>
      </c>
      <c r="E789" s="501" t="s">
        <v>1258</v>
      </c>
      <c r="F789" s="501" t="s">
        <v>1259</v>
      </c>
      <c r="G789" s="501" t="s">
        <v>1260</v>
      </c>
    </row>
    <row r="790" spans="2:7" x14ac:dyDescent="0.25">
      <c r="B790" s="501"/>
      <c r="C790" s="501"/>
      <c r="D790" s="501"/>
      <c r="E790" s="501"/>
      <c r="F790" s="501"/>
      <c r="G790" s="501"/>
    </row>
    <row r="791" spans="2:7" x14ac:dyDescent="0.25">
      <c r="B791" s="501"/>
      <c r="C791" s="501"/>
      <c r="D791" s="501"/>
      <c r="E791" s="501"/>
      <c r="F791" s="501"/>
      <c r="G791" s="501"/>
    </row>
    <row r="792" spans="2:7" x14ac:dyDescent="0.25">
      <c r="B792" s="501" t="s">
        <v>1558</v>
      </c>
      <c r="C792" s="501" t="s">
        <v>1559</v>
      </c>
      <c r="D792" s="503">
        <v>-1398951.79</v>
      </c>
      <c r="E792" s="503">
        <v>-13191921.17</v>
      </c>
      <c r="F792" s="503">
        <v>-786456.68</v>
      </c>
      <c r="G792" s="503">
        <v>-9182529.5899999999</v>
      </c>
    </row>
    <row r="793" spans="2:7" x14ac:dyDescent="0.25">
      <c r="B793" s="501" t="s">
        <v>1561</v>
      </c>
      <c r="C793" s="501" t="s">
        <v>1562</v>
      </c>
      <c r="D793" s="501">
        <v>0</v>
      </c>
      <c r="E793" s="503">
        <v>78625.03</v>
      </c>
      <c r="F793" s="503">
        <v>34480.730000000003</v>
      </c>
      <c r="G793" s="503">
        <v>559409.22</v>
      </c>
    </row>
    <row r="794" spans="2:7" x14ac:dyDescent="0.25">
      <c r="B794" s="501" t="s">
        <v>1563</v>
      </c>
      <c r="C794" s="501" t="s">
        <v>1564</v>
      </c>
      <c r="D794" s="503">
        <v>785404.74</v>
      </c>
      <c r="E794" s="503">
        <v>4826970.5999999996</v>
      </c>
      <c r="F794" s="501">
        <v>0</v>
      </c>
      <c r="G794" s="501">
        <v>0</v>
      </c>
    </row>
    <row r="795" spans="2:7" x14ac:dyDescent="0.25">
      <c r="B795" s="501" t="s">
        <v>1565</v>
      </c>
      <c r="C795" s="501" t="s">
        <v>1566</v>
      </c>
      <c r="D795" s="503">
        <v>-42277</v>
      </c>
      <c r="E795" s="503">
        <v>-474559.7</v>
      </c>
      <c r="F795" s="503">
        <v>-27637.17</v>
      </c>
      <c r="G795" s="503">
        <v>-298444.14</v>
      </c>
    </row>
    <row r="796" spans="2:7" x14ac:dyDescent="0.25">
      <c r="B796" s="501" t="s">
        <v>1567</v>
      </c>
      <c r="C796" s="501" t="s">
        <v>1568</v>
      </c>
      <c r="D796" s="503">
        <v>2794662.77</v>
      </c>
      <c r="E796" s="503">
        <v>33074738.399999999</v>
      </c>
      <c r="F796" s="503">
        <v>2536007.85</v>
      </c>
      <c r="G796" s="503">
        <v>29941871.260000002</v>
      </c>
    </row>
    <row r="797" spans="2:7" x14ac:dyDescent="0.25">
      <c r="B797" s="501" t="s">
        <v>1569</v>
      </c>
      <c r="C797" s="501" t="s">
        <v>1570</v>
      </c>
      <c r="D797" s="503">
        <v>368844.37</v>
      </c>
      <c r="E797" s="503">
        <v>3683542.59</v>
      </c>
      <c r="F797" s="503">
        <v>179389.14</v>
      </c>
      <c r="G797" s="503">
        <v>3006614.43</v>
      </c>
    </row>
    <row r="798" spans="2:7" x14ac:dyDescent="0.25">
      <c r="B798" s="501" t="s">
        <v>1571</v>
      </c>
      <c r="C798" s="501" t="s">
        <v>1572</v>
      </c>
      <c r="D798" s="503">
        <v>-426317.96</v>
      </c>
      <c r="E798" s="503">
        <v>9179.44</v>
      </c>
      <c r="F798" s="503">
        <v>-1044392.61</v>
      </c>
      <c r="G798" s="503">
        <v>5777788.4800000004</v>
      </c>
    </row>
    <row r="799" spans="2:7" x14ac:dyDescent="0.25">
      <c r="B799" s="501" t="s">
        <v>1573</v>
      </c>
      <c r="C799" s="501" t="s">
        <v>1574</v>
      </c>
      <c r="D799" s="503">
        <v>144878.22</v>
      </c>
      <c r="E799" s="503">
        <v>1186985.92</v>
      </c>
      <c r="F799" s="503">
        <v>24872.25</v>
      </c>
      <c r="G799" s="503">
        <v>241322.77</v>
      </c>
    </row>
    <row r="800" spans="2:7" x14ac:dyDescent="0.25">
      <c r="B800" s="501" t="s">
        <v>1575</v>
      </c>
      <c r="C800" s="501" t="s">
        <v>1576</v>
      </c>
      <c r="D800" s="503">
        <v>46814.3</v>
      </c>
      <c r="E800" s="503">
        <v>552242</v>
      </c>
      <c r="F800" s="503">
        <v>31900.32</v>
      </c>
      <c r="G800" s="503">
        <v>489761.81</v>
      </c>
    </row>
    <row r="801" spans="2:7" x14ac:dyDescent="0.25">
      <c r="B801" s="501" t="s">
        <v>1577</v>
      </c>
      <c r="C801" s="501" t="s">
        <v>1578</v>
      </c>
      <c r="D801" s="503">
        <v>-2888037.69</v>
      </c>
      <c r="E801" s="503">
        <v>-29484459</v>
      </c>
      <c r="F801" s="503">
        <v>-2433164.9900000002</v>
      </c>
      <c r="G801" s="503">
        <v>-22801270.809999999</v>
      </c>
    </row>
    <row r="802" spans="2:7" x14ac:dyDescent="0.25">
      <c r="B802" s="501"/>
      <c r="C802" s="501"/>
      <c r="D802" s="501"/>
      <c r="E802" s="501"/>
      <c r="F802" s="501"/>
      <c r="G802" s="501"/>
    </row>
    <row r="803" spans="2:7" x14ac:dyDescent="0.25">
      <c r="B803" s="501"/>
      <c r="C803" s="501" t="s">
        <v>1579</v>
      </c>
      <c r="D803" s="503">
        <v>13560467.23</v>
      </c>
      <c r="E803" s="503">
        <v>148804164.75</v>
      </c>
      <c r="F803" s="503">
        <v>9908602.6300000008</v>
      </c>
      <c r="G803" s="503">
        <v>133614910.38</v>
      </c>
    </row>
    <row r="804" spans="2:7" x14ac:dyDescent="0.25">
      <c r="B804" s="501" t="s">
        <v>1580</v>
      </c>
      <c r="C804" s="501" t="s">
        <v>1581</v>
      </c>
      <c r="D804" s="503">
        <v>2190140.6</v>
      </c>
      <c r="E804" s="503">
        <v>30313634.84</v>
      </c>
      <c r="F804" s="503">
        <v>2147555.9500000002</v>
      </c>
      <c r="G804" s="503">
        <v>17656895.300000001</v>
      </c>
    </row>
    <row r="805" spans="2:7" x14ac:dyDescent="0.25">
      <c r="B805" s="501"/>
      <c r="C805" s="501"/>
      <c r="D805" s="501"/>
      <c r="E805" s="501"/>
      <c r="F805" s="501"/>
      <c r="G805" s="501"/>
    </row>
    <row r="806" spans="2:7" x14ac:dyDescent="0.25">
      <c r="B806" s="501"/>
      <c r="C806" s="501" t="s">
        <v>1582</v>
      </c>
      <c r="D806" s="503">
        <v>2190140.6</v>
      </c>
      <c r="E806" s="503">
        <v>30313634.84</v>
      </c>
      <c r="F806" s="503">
        <v>2147555.9500000002</v>
      </c>
      <c r="G806" s="503">
        <v>17656895.300000001</v>
      </c>
    </row>
    <row r="807" spans="2:7" x14ac:dyDescent="0.25">
      <c r="B807" s="501" t="s">
        <v>1583</v>
      </c>
      <c r="C807" s="501" t="s">
        <v>1584</v>
      </c>
      <c r="D807" s="503">
        <v>150388</v>
      </c>
      <c r="E807" s="503">
        <v>1804656</v>
      </c>
      <c r="F807" s="503">
        <v>141875</v>
      </c>
      <c r="G807" s="503">
        <v>1702500</v>
      </c>
    </row>
    <row r="808" spans="2:7" x14ac:dyDescent="0.25">
      <c r="B808" s="501" t="s">
        <v>1585</v>
      </c>
      <c r="C808" s="501" t="s">
        <v>1586</v>
      </c>
      <c r="D808" s="503">
        <v>37746.68</v>
      </c>
      <c r="E808" s="503">
        <v>403044.82</v>
      </c>
      <c r="F808" s="503">
        <v>38322.44</v>
      </c>
      <c r="G808" s="503">
        <v>325913.87</v>
      </c>
    </row>
    <row r="809" spans="2:7" x14ac:dyDescent="0.25">
      <c r="B809" s="501" t="s">
        <v>1587</v>
      </c>
      <c r="C809" s="501" t="s">
        <v>1588</v>
      </c>
      <c r="D809" s="503">
        <v>69251.06</v>
      </c>
      <c r="E809" s="503">
        <v>889134.71</v>
      </c>
      <c r="F809" s="503">
        <v>74740.56</v>
      </c>
      <c r="G809" s="503">
        <v>1082276.49</v>
      </c>
    </row>
    <row r="810" spans="2:7" x14ac:dyDescent="0.25">
      <c r="B810" s="501" t="s">
        <v>1589</v>
      </c>
      <c r="C810" s="501" t="s">
        <v>1590</v>
      </c>
      <c r="D810" s="503">
        <v>4246493.29</v>
      </c>
      <c r="E810" s="503">
        <v>85340024.799999997</v>
      </c>
      <c r="F810" s="503">
        <v>6677681.25</v>
      </c>
      <c r="G810" s="503">
        <v>72680957.709999993</v>
      </c>
    </row>
    <row r="811" spans="2:7" x14ac:dyDescent="0.25">
      <c r="B811" s="501" t="s">
        <v>1591</v>
      </c>
      <c r="C811" s="501" t="s">
        <v>1592</v>
      </c>
      <c r="D811" s="503">
        <v>569593.02</v>
      </c>
      <c r="E811" s="503">
        <v>3083240.46</v>
      </c>
      <c r="F811" s="503">
        <v>236807.93</v>
      </c>
      <c r="G811" s="503">
        <v>2135491.67</v>
      </c>
    </row>
    <row r="812" spans="2:7" x14ac:dyDescent="0.25">
      <c r="B812" s="501" t="s">
        <v>1593</v>
      </c>
      <c r="C812" s="501" t="s">
        <v>1594</v>
      </c>
      <c r="D812" s="503">
        <v>274960.09999999998</v>
      </c>
      <c r="E812" s="503">
        <v>384147.24</v>
      </c>
      <c r="F812" s="503">
        <v>7988.5</v>
      </c>
      <c r="G812" s="503">
        <v>168056.99</v>
      </c>
    </row>
    <row r="813" spans="2:7" x14ac:dyDescent="0.25">
      <c r="B813" s="501" t="s">
        <v>1597</v>
      </c>
      <c r="C813" s="501" t="s">
        <v>1598</v>
      </c>
      <c r="D813" s="503">
        <v>3050591.28</v>
      </c>
      <c r="E813" s="503">
        <v>50156738.369999997</v>
      </c>
      <c r="F813" s="503">
        <v>3864923.23</v>
      </c>
      <c r="G813" s="503">
        <v>49898078.350000001</v>
      </c>
    </row>
    <row r="814" spans="2:7" x14ac:dyDescent="0.25">
      <c r="B814" s="501" t="s">
        <v>1599</v>
      </c>
      <c r="C814" s="501" t="s">
        <v>1600</v>
      </c>
      <c r="D814" s="501">
        <v>0</v>
      </c>
      <c r="E814" s="503">
        <v>394895.99</v>
      </c>
      <c r="F814" s="503">
        <v>141083.06</v>
      </c>
      <c r="G814" s="503">
        <v>638928.81000000006</v>
      </c>
    </row>
    <row r="815" spans="2:7" x14ac:dyDescent="0.25">
      <c r="B815" s="501" t="s">
        <v>1601</v>
      </c>
      <c r="C815" s="501" t="s">
        <v>1602</v>
      </c>
      <c r="D815" s="501">
        <v>0</v>
      </c>
      <c r="E815" s="501">
        <v>14.92</v>
      </c>
      <c r="F815" s="501">
        <v>0</v>
      </c>
      <c r="G815" s="501">
        <v>0</v>
      </c>
    </row>
    <row r="816" spans="2:7" x14ac:dyDescent="0.25">
      <c r="B816" s="501" t="s">
        <v>1603</v>
      </c>
      <c r="C816" s="501" t="s">
        <v>1604</v>
      </c>
      <c r="D816" s="501">
        <v>565.19000000000005</v>
      </c>
      <c r="E816" s="503">
        <v>139277.01999999999</v>
      </c>
      <c r="F816" s="501">
        <v>691.57</v>
      </c>
      <c r="G816" s="503">
        <v>36652.949999999997</v>
      </c>
    </row>
    <row r="817" spans="2:7" x14ac:dyDescent="0.25">
      <c r="B817" s="501" t="s">
        <v>1605</v>
      </c>
      <c r="C817" s="501" t="s">
        <v>1606</v>
      </c>
      <c r="D817" s="501">
        <v>0.02</v>
      </c>
      <c r="E817" s="503">
        <v>-3213.29</v>
      </c>
      <c r="F817" s="501">
        <v>66.2</v>
      </c>
      <c r="G817" s="501">
        <v>374.08</v>
      </c>
    </row>
    <row r="818" spans="2:7" x14ac:dyDescent="0.25">
      <c r="B818" s="501" t="s">
        <v>1607</v>
      </c>
      <c r="C818" s="501" t="s">
        <v>1608</v>
      </c>
      <c r="D818" s="503">
        <v>-4128.46</v>
      </c>
      <c r="E818" s="503">
        <v>-89726.61</v>
      </c>
      <c r="F818" s="503">
        <v>-6722.98</v>
      </c>
      <c r="G818" s="503">
        <v>-36315.14</v>
      </c>
    </row>
    <row r="819" spans="2:7" x14ac:dyDescent="0.25">
      <c r="B819" s="501" t="s">
        <v>1609</v>
      </c>
      <c r="C819" s="501" t="s">
        <v>1610</v>
      </c>
      <c r="D819" s="503">
        <v>4881.1099999999997</v>
      </c>
      <c r="E819" s="503">
        <v>17538.54</v>
      </c>
      <c r="F819" s="503">
        <v>2443.3000000000002</v>
      </c>
      <c r="G819" s="503">
        <v>12759.63</v>
      </c>
    </row>
    <row r="820" spans="2:7" x14ac:dyDescent="0.25">
      <c r="B820" s="501" t="s">
        <v>1611</v>
      </c>
      <c r="C820" s="501" t="s">
        <v>1612</v>
      </c>
      <c r="D820" s="501">
        <v>0</v>
      </c>
      <c r="E820" s="503">
        <v>1328.55</v>
      </c>
      <c r="F820" s="501">
        <v>0</v>
      </c>
      <c r="G820" s="503">
        <v>-4298.57</v>
      </c>
    </row>
    <row r="821" spans="2:7" x14ac:dyDescent="0.25">
      <c r="B821" s="501" t="s">
        <v>1613</v>
      </c>
      <c r="C821" s="501" t="s">
        <v>1614</v>
      </c>
      <c r="D821" s="501">
        <v>0</v>
      </c>
      <c r="E821" s="501">
        <v>-21.83</v>
      </c>
      <c r="F821" s="501">
        <v>0</v>
      </c>
      <c r="G821" s="501">
        <v>100</v>
      </c>
    </row>
    <row r="822" spans="2:7" x14ac:dyDescent="0.25">
      <c r="B822" s="501" t="s">
        <v>1615</v>
      </c>
      <c r="C822" s="501" t="s">
        <v>1616</v>
      </c>
      <c r="D822" s="503">
        <v>-1375.37</v>
      </c>
      <c r="E822" s="503">
        <v>-17326.37</v>
      </c>
      <c r="F822" s="501">
        <v>0</v>
      </c>
      <c r="G822" s="503">
        <v>-22098.240000000002</v>
      </c>
    </row>
    <row r="823" spans="2:7" x14ac:dyDescent="0.25">
      <c r="B823" s="501" t="s">
        <v>1617</v>
      </c>
      <c r="C823" s="501" t="s">
        <v>1618</v>
      </c>
      <c r="D823" s="501">
        <v>50.5</v>
      </c>
      <c r="E823" s="501">
        <v>-321.33999999999997</v>
      </c>
      <c r="F823" s="501">
        <v>-8.66</v>
      </c>
      <c r="G823" s="503">
        <v>-1907.37</v>
      </c>
    </row>
    <row r="824" spans="2:7" x14ac:dyDescent="0.25">
      <c r="B824" s="501" t="s">
        <v>1619</v>
      </c>
      <c r="C824" s="501" t="s">
        <v>1620</v>
      </c>
      <c r="D824" s="501">
        <v>0</v>
      </c>
      <c r="E824" s="501">
        <v>1.96</v>
      </c>
      <c r="F824" s="501">
        <v>0</v>
      </c>
      <c r="G824" s="501">
        <v>11.55</v>
      </c>
    </row>
    <row r="825" spans="2:7" x14ac:dyDescent="0.25">
      <c r="B825" s="501" t="s">
        <v>1621</v>
      </c>
      <c r="C825" s="501" t="s">
        <v>1622</v>
      </c>
      <c r="D825" s="503">
        <v>-4805.8100000000004</v>
      </c>
      <c r="E825" s="503">
        <v>-3644942.02</v>
      </c>
      <c r="F825" s="503">
        <v>-248905.71</v>
      </c>
      <c r="G825" s="503">
        <v>-3207929.84</v>
      </c>
    </row>
    <row r="826" spans="2:7" x14ac:dyDescent="0.25">
      <c r="B826" s="501" t="s">
        <v>1623</v>
      </c>
      <c r="C826" s="501" t="s">
        <v>1624</v>
      </c>
      <c r="D826" s="503">
        <v>1919156.41</v>
      </c>
      <c r="E826" s="503">
        <v>11548787.27</v>
      </c>
      <c r="F826" s="503">
        <v>-1146365.47</v>
      </c>
      <c r="G826" s="503">
        <v>10025257.869999999</v>
      </c>
    </row>
    <row r="827" spans="2:7" x14ac:dyDescent="0.25">
      <c r="B827" s="501" t="s">
        <v>1625</v>
      </c>
      <c r="C827" s="501" t="s">
        <v>1626</v>
      </c>
      <c r="D827" s="503">
        <v>147492</v>
      </c>
      <c r="E827" s="503">
        <v>2734801.22</v>
      </c>
      <c r="F827" s="503">
        <v>48104.959999999999</v>
      </c>
      <c r="G827" s="503">
        <v>5853790.4699999997</v>
      </c>
    </row>
    <row r="828" spans="2:7" x14ac:dyDescent="0.25">
      <c r="B828" s="501" t="s">
        <v>1627</v>
      </c>
      <c r="C828" s="501" t="s">
        <v>1628</v>
      </c>
      <c r="D828" s="501">
        <v>0</v>
      </c>
      <c r="E828" s="503">
        <v>77163.42</v>
      </c>
      <c r="F828" s="503">
        <v>33986.959999999999</v>
      </c>
      <c r="G828" s="503">
        <v>992581.93</v>
      </c>
    </row>
    <row r="829" spans="2:7" x14ac:dyDescent="0.25">
      <c r="B829" s="501" t="s">
        <v>1629</v>
      </c>
      <c r="C829" s="501" t="s">
        <v>1630</v>
      </c>
      <c r="D829" s="503">
        <v>-175890.36</v>
      </c>
      <c r="E829" s="503">
        <v>-449911.72</v>
      </c>
      <c r="F829" s="503">
        <v>-54072.67</v>
      </c>
      <c r="G829" s="503">
        <v>-249362.07</v>
      </c>
    </row>
    <row r="830" spans="2:7" x14ac:dyDescent="0.25">
      <c r="B830" s="501"/>
      <c r="C830" s="501"/>
      <c r="D830" s="501"/>
      <c r="E830" s="501"/>
      <c r="F830" s="501"/>
      <c r="G830" s="501"/>
    </row>
    <row r="831" spans="2:7" x14ac:dyDescent="0.25">
      <c r="B831" s="501"/>
      <c r="C831" s="501" t="s">
        <v>1631</v>
      </c>
      <c r="D831" s="503">
        <v>10284968.66</v>
      </c>
      <c r="E831" s="503">
        <v>152769332.11000001</v>
      </c>
      <c r="F831" s="503">
        <v>9812639.4700000007</v>
      </c>
      <c r="G831" s="503">
        <v>142031821.13999999</v>
      </c>
    </row>
    <row r="832" spans="2:7" x14ac:dyDescent="0.25">
      <c r="B832" s="501" t="s">
        <v>1632</v>
      </c>
      <c r="C832" s="501" t="s">
        <v>1633</v>
      </c>
      <c r="D832" s="503">
        <v>461740.97</v>
      </c>
      <c r="E832" s="503">
        <v>4703630.58</v>
      </c>
      <c r="F832" s="503">
        <v>417617.57</v>
      </c>
      <c r="G832" s="503">
        <v>4388189.8099999996</v>
      </c>
    </row>
    <row r="833" spans="2:7" x14ac:dyDescent="0.25">
      <c r="B833" s="501" t="s">
        <v>1634</v>
      </c>
      <c r="C833" s="501" t="s">
        <v>1635</v>
      </c>
      <c r="D833" s="503">
        <v>-5480.67</v>
      </c>
      <c r="E833" s="503">
        <v>-130537.59</v>
      </c>
      <c r="F833" s="503">
        <v>-9901.51</v>
      </c>
      <c r="G833" s="503">
        <v>-98536.9</v>
      </c>
    </row>
    <row r="834" spans="2:7" x14ac:dyDescent="0.25">
      <c r="B834" s="501" t="s">
        <v>1636</v>
      </c>
      <c r="C834" s="501" t="s">
        <v>1637</v>
      </c>
      <c r="D834" s="503">
        <v>26079.42</v>
      </c>
      <c r="E834" s="503">
        <v>284690.71000000002</v>
      </c>
      <c r="F834" s="503">
        <v>33181.949999999997</v>
      </c>
      <c r="G834" s="503">
        <v>310995</v>
      </c>
    </row>
    <row r="835" spans="2:7" x14ac:dyDescent="0.25">
      <c r="B835" s="501" t="s">
        <v>1638</v>
      </c>
      <c r="C835" s="501" t="s">
        <v>1639</v>
      </c>
      <c r="D835" s="503">
        <v>137348.46</v>
      </c>
      <c r="E835" s="503">
        <v>846588.08</v>
      </c>
      <c r="F835" s="503">
        <v>168887.16</v>
      </c>
      <c r="G835" s="503">
        <v>444234.68</v>
      </c>
    </row>
    <row r="836" spans="2:7" x14ac:dyDescent="0.25">
      <c r="B836" s="501" t="s">
        <v>1640</v>
      </c>
      <c r="C836" s="501" t="s">
        <v>1641</v>
      </c>
      <c r="D836" s="503">
        <v>100846.38</v>
      </c>
      <c r="E836" s="503">
        <v>356220.44</v>
      </c>
      <c r="F836" s="503">
        <v>450973.9</v>
      </c>
      <c r="G836" s="503">
        <v>781962.71</v>
      </c>
    </row>
    <row r="837" spans="2:7" x14ac:dyDescent="0.25">
      <c r="B837" s="501" t="s">
        <v>1642</v>
      </c>
      <c r="C837" s="501" t="s">
        <v>1643</v>
      </c>
      <c r="D837" s="503">
        <v>201178.52</v>
      </c>
      <c r="E837" s="503">
        <v>1854345.4</v>
      </c>
      <c r="F837" s="503">
        <v>275899.18</v>
      </c>
      <c r="G837" s="503">
        <v>2575966.98</v>
      </c>
    </row>
    <row r="838" spans="2:7" x14ac:dyDescent="0.25">
      <c r="B838" s="501" t="s">
        <v>1644</v>
      </c>
      <c r="C838" s="501" t="s">
        <v>1645</v>
      </c>
      <c r="D838" s="503">
        <v>350133.43</v>
      </c>
      <c r="E838" s="503">
        <v>4846449.76</v>
      </c>
      <c r="F838" s="503">
        <v>678546.89</v>
      </c>
      <c r="G838" s="503">
        <v>4939001.84</v>
      </c>
    </row>
    <row r="839" spans="2:7" x14ac:dyDescent="0.25">
      <c r="B839" s="501" t="s">
        <v>1646</v>
      </c>
      <c r="C839" s="501" t="s">
        <v>1647</v>
      </c>
      <c r="D839" s="503">
        <v>92209.67</v>
      </c>
      <c r="E839" s="503">
        <v>429789.12</v>
      </c>
      <c r="F839" s="503">
        <v>74172.740000000005</v>
      </c>
      <c r="G839" s="503">
        <v>459044.02</v>
      </c>
    </row>
    <row r="840" spans="2:7" x14ac:dyDescent="0.25">
      <c r="B840" s="501" t="s">
        <v>1648</v>
      </c>
      <c r="C840" s="501" t="s">
        <v>1649</v>
      </c>
      <c r="D840" s="503">
        <v>157253.32</v>
      </c>
      <c r="E840" s="503">
        <v>956108.01</v>
      </c>
      <c r="F840" s="503">
        <v>230218.5</v>
      </c>
      <c r="G840" s="503">
        <v>1143944.97</v>
      </c>
    </row>
    <row r="841" spans="2:7" x14ac:dyDescent="0.25">
      <c r="B841" s="501" t="s">
        <v>1650</v>
      </c>
      <c r="C841" s="501" t="s">
        <v>1651</v>
      </c>
      <c r="D841" s="503">
        <v>23757.200000000001</v>
      </c>
      <c r="E841" s="503">
        <v>420247.34</v>
      </c>
      <c r="F841" s="503">
        <v>29726.65</v>
      </c>
      <c r="G841" s="503">
        <v>239256.78</v>
      </c>
    </row>
    <row r="842" spans="2:7" x14ac:dyDescent="0.25">
      <c r="B842" s="501"/>
      <c r="C842" s="501"/>
      <c r="D842" s="501"/>
      <c r="E842" s="501"/>
      <c r="F842" s="501"/>
      <c r="G842" s="501"/>
    </row>
    <row r="843" spans="2:7" x14ac:dyDescent="0.25">
      <c r="B843" s="501"/>
      <c r="C843" s="501"/>
      <c r="D843" s="501"/>
      <c r="E843" s="501"/>
      <c r="F843" s="501"/>
      <c r="G843" s="501"/>
    </row>
    <row r="844" spans="2:7" x14ac:dyDescent="0.25">
      <c r="B844" s="501"/>
      <c r="C844" s="501"/>
      <c r="D844" s="501"/>
      <c r="E844" s="501"/>
      <c r="F844" s="501"/>
      <c r="G844" s="501"/>
    </row>
    <row r="845" spans="2:7" x14ac:dyDescent="0.25">
      <c r="B845" s="501" t="s">
        <v>1240</v>
      </c>
      <c r="C845" s="501" t="s">
        <v>1241</v>
      </c>
      <c r="D845" s="501" t="s">
        <v>1242</v>
      </c>
      <c r="E845" s="501" t="s">
        <v>1243</v>
      </c>
      <c r="F845" s="501"/>
      <c r="G845" s="501" t="s">
        <v>1926</v>
      </c>
    </row>
    <row r="846" spans="2:7" x14ac:dyDescent="0.25">
      <c r="B846" s="501" t="s">
        <v>1245</v>
      </c>
      <c r="C846" s="501" t="s">
        <v>1246</v>
      </c>
      <c r="D846" s="501" t="s">
        <v>1247</v>
      </c>
      <c r="E846" s="501"/>
      <c r="F846" s="501"/>
      <c r="G846" s="501"/>
    </row>
    <row r="847" spans="2:7" x14ac:dyDescent="0.25">
      <c r="B847" s="501"/>
      <c r="C847" s="501" t="s">
        <v>1248</v>
      </c>
      <c r="D847" s="501" t="s">
        <v>1249</v>
      </c>
      <c r="E847" s="501" t="s">
        <v>1250</v>
      </c>
      <c r="F847" s="501" t="s">
        <v>1251</v>
      </c>
      <c r="G847" s="501">
        <v>9</v>
      </c>
    </row>
    <row r="848" spans="2:7" x14ac:dyDescent="0.25">
      <c r="B848" s="501"/>
      <c r="C848" s="501"/>
      <c r="D848" s="501"/>
      <c r="E848" s="501"/>
      <c r="F848" s="501"/>
      <c r="G848" s="501"/>
    </row>
    <row r="849" spans="2:7" x14ac:dyDescent="0.25">
      <c r="B849" s="504">
        <v>43466</v>
      </c>
      <c r="C849" s="501">
        <v>101</v>
      </c>
      <c r="D849" s="501" t="s">
        <v>1921</v>
      </c>
      <c r="E849" s="501" t="s">
        <v>1922</v>
      </c>
      <c r="F849" s="501"/>
      <c r="G849" s="501" t="s">
        <v>1254</v>
      </c>
    </row>
    <row r="850" spans="2:7" x14ac:dyDescent="0.25">
      <c r="B850" s="501"/>
      <c r="C850" s="501"/>
      <c r="D850" s="501"/>
      <c r="E850" s="501"/>
      <c r="F850" s="501"/>
      <c r="G850" s="501"/>
    </row>
    <row r="851" spans="2:7" x14ac:dyDescent="0.25">
      <c r="B851" s="501" t="s">
        <v>1255</v>
      </c>
      <c r="C851" s="501" t="s">
        <v>1256</v>
      </c>
      <c r="D851" s="501" t="s">
        <v>1257</v>
      </c>
      <c r="E851" s="501" t="s">
        <v>1258</v>
      </c>
      <c r="F851" s="501" t="s">
        <v>1259</v>
      </c>
      <c r="G851" s="501" t="s">
        <v>1260</v>
      </c>
    </row>
    <row r="852" spans="2:7" x14ac:dyDescent="0.25">
      <c r="B852" s="501"/>
      <c r="C852" s="501"/>
      <c r="D852" s="501"/>
      <c r="E852" s="501"/>
      <c r="F852" s="501"/>
      <c r="G852" s="501"/>
    </row>
    <row r="853" spans="2:7" x14ac:dyDescent="0.25">
      <c r="B853" s="501"/>
      <c r="C853" s="501"/>
      <c r="D853" s="501"/>
      <c r="E853" s="501"/>
      <c r="F853" s="501"/>
      <c r="G853" s="501"/>
    </row>
    <row r="854" spans="2:7" x14ac:dyDescent="0.25">
      <c r="B854" s="501"/>
      <c r="C854" s="501" t="s">
        <v>1653</v>
      </c>
      <c r="D854" s="503">
        <v>1545066.7</v>
      </c>
      <c r="E854" s="503">
        <v>14567531.85</v>
      </c>
      <c r="F854" s="503">
        <v>2349323.0299999998</v>
      </c>
      <c r="G854" s="503">
        <v>15184059.890000001</v>
      </c>
    </row>
    <row r="855" spans="2:7" x14ac:dyDescent="0.25">
      <c r="B855" s="501" t="s">
        <v>1654</v>
      </c>
      <c r="C855" s="501" t="s">
        <v>1655</v>
      </c>
      <c r="D855" s="503">
        <v>429264.55</v>
      </c>
      <c r="E855" s="503">
        <v>4053383.73</v>
      </c>
      <c r="F855" s="503">
        <v>624719.41</v>
      </c>
      <c r="G855" s="503">
        <v>4120027.76</v>
      </c>
    </row>
    <row r="856" spans="2:7" x14ac:dyDescent="0.25">
      <c r="B856" s="501" t="s">
        <v>1656</v>
      </c>
      <c r="C856" s="501" t="s">
        <v>1657</v>
      </c>
      <c r="D856" s="503">
        <v>54960.57</v>
      </c>
      <c r="E856" s="503">
        <v>1426071.98</v>
      </c>
      <c r="F856" s="503">
        <v>151454.75</v>
      </c>
      <c r="G856" s="503">
        <v>1244865.57</v>
      </c>
    </row>
    <row r="857" spans="2:7" x14ac:dyDescent="0.25">
      <c r="B857" s="501" t="s">
        <v>1658</v>
      </c>
      <c r="C857" s="501" t="s">
        <v>1659</v>
      </c>
      <c r="D857" s="503">
        <v>132611.67000000001</v>
      </c>
      <c r="E857" s="503">
        <v>1475134.19</v>
      </c>
      <c r="F857" s="503">
        <v>207989.06</v>
      </c>
      <c r="G857" s="503">
        <v>1419975.64</v>
      </c>
    </row>
    <row r="858" spans="2:7" x14ac:dyDescent="0.25">
      <c r="B858" s="501" t="s">
        <v>1660</v>
      </c>
      <c r="C858" s="501" t="s">
        <v>1661</v>
      </c>
      <c r="D858" s="503">
        <v>170973.15</v>
      </c>
      <c r="E858" s="503">
        <v>1502928.69</v>
      </c>
      <c r="F858" s="503">
        <v>205095.02</v>
      </c>
      <c r="G858" s="503">
        <v>1344663.79</v>
      </c>
    </row>
    <row r="859" spans="2:7" x14ac:dyDescent="0.25">
      <c r="B859" s="501" t="s">
        <v>1662</v>
      </c>
      <c r="C859" s="501" t="s">
        <v>1663</v>
      </c>
      <c r="D859" s="503">
        <v>240802.16</v>
      </c>
      <c r="E859" s="503">
        <v>4167576.65</v>
      </c>
      <c r="F859" s="503">
        <v>315260.13</v>
      </c>
      <c r="G859" s="503">
        <v>3945834.63</v>
      </c>
    </row>
    <row r="860" spans="2:7" x14ac:dyDescent="0.25">
      <c r="B860" s="501" t="s">
        <v>1664</v>
      </c>
      <c r="C860" s="501" t="s">
        <v>1665</v>
      </c>
      <c r="D860" s="501">
        <v>-860.37</v>
      </c>
      <c r="E860" s="503">
        <v>-10324.44</v>
      </c>
      <c r="F860" s="501">
        <v>-873.55</v>
      </c>
      <c r="G860" s="503">
        <v>-10482.6</v>
      </c>
    </row>
    <row r="861" spans="2:7" x14ac:dyDescent="0.25">
      <c r="B861" s="501"/>
      <c r="C861" s="501"/>
      <c r="D861" s="501"/>
      <c r="E861" s="501"/>
      <c r="F861" s="501"/>
      <c r="G861" s="501"/>
    </row>
    <row r="862" spans="2:7" x14ac:dyDescent="0.25">
      <c r="B862" s="501"/>
      <c r="C862" s="501" t="s">
        <v>1666</v>
      </c>
      <c r="D862" s="503">
        <v>1027751.73</v>
      </c>
      <c r="E862" s="503">
        <v>12614770.800000001</v>
      </c>
      <c r="F862" s="503">
        <v>1503644.82</v>
      </c>
      <c r="G862" s="503">
        <v>12064884.789999999</v>
      </c>
    </row>
    <row r="863" spans="2:7" x14ac:dyDescent="0.25">
      <c r="B863" s="501">
        <v>760</v>
      </c>
      <c r="C863" s="501" t="s">
        <v>1667</v>
      </c>
      <c r="D863" s="501"/>
      <c r="E863" s="501"/>
      <c r="F863" s="501"/>
      <c r="G863" s="501"/>
    </row>
    <row r="864" spans="2:7" x14ac:dyDescent="0.25">
      <c r="B864" s="501" t="s">
        <v>1668</v>
      </c>
      <c r="C864" s="501" t="s">
        <v>1669</v>
      </c>
      <c r="D864" s="503">
        <v>1503921.57</v>
      </c>
      <c r="E864" s="503">
        <v>11635043.07</v>
      </c>
      <c r="F864" s="503">
        <v>2172330.94</v>
      </c>
      <c r="G864" s="503">
        <v>10569808.02</v>
      </c>
    </row>
    <row r="865" spans="2:7" x14ac:dyDescent="0.25">
      <c r="B865" s="501" t="s">
        <v>1670</v>
      </c>
      <c r="C865" s="501" t="s">
        <v>1671</v>
      </c>
      <c r="D865" s="503">
        <v>118979.03</v>
      </c>
      <c r="E865" s="503">
        <v>1323010</v>
      </c>
      <c r="F865" s="503">
        <v>93442.2</v>
      </c>
      <c r="G865" s="503">
        <v>979222.37</v>
      </c>
    </row>
    <row r="866" spans="2:7" x14ac:dyDescent="0.25">
      <c r="B866" s="501" t="s">
        <v>1672</v>
      </c>
      <c r="C866" s="501" t="s">
        <v>1673</v>
      </c>
      <c r="D866" s="503">
        <v>258502.12</v>
      </c>
      <c r="E866" s="503">
        <v>2191427.4900000002</v>
      </c>
      <c r="F866" s="503">
        <v>127333.71</v>
      </c>
      <c r="G866" s="503">
        <v>1162366.03</v>
      </c>
    </row>
    <row r="867" spans="2:7" x14ac:dyDescent="0.25">
      <c r="B867" s="501" t="s">
        <v>1674</v>
      </c>
      <c r="C867" s="501" t="s">
        <v>1675</v>
      </c>
      <c r="D867" s="503">
        <v>165851.92000000001</v>
      </c>
      <c r="E867" s="503">
        <v>1528127.04</v>
      </c>
      <c r="F867" s="503">
        <v>161947.66</v>
      </c>
      <c r="G867" s="503">
        <v>1788227.4</v>
      </c>
    </row>
    <row r="868" spans="2:7" x14ac:dyDescent="0.25">
      <c r="B868" s="501" t="s">
        <v>1676</v>
      </c>
      <c r="C868" s="501" t="s">
        <v>1677</v>
      </c>
      <c r="D868" s="503">
        <v>130269.75999999999</v>
      </c>
      <c r="E868" s="503">
        <v>1676386.59</v>
      </c>
      <c r="F868" s="503">
        <v>115615.98</v>
      </c>
      <c r="G868" s="503">
        <v>1211243.99</v>
      </c>
    </row>
    <row r="869" spans="2:7" x14ac:dyDescent="0.25">
      <c r="B869" s="501" t="s">
        <v>1678</v>
      </c>
      <c r="C869" s="501" t="s">
        <v>1679</v>
      </c>
      <c r="D869" s="503">
        <v>15675.96</v>
      </c>
      <c r="E869" s="503">
        <v>473434.1</v>
      </c>
      <c r="F869" s="503">
        <v>34812.21</v>
      </c>
      <c r="G869" s="503">
        <v>445022.91</v>
      </c>
    </row>
    <row r="870" spans="2:7" x14ac:dyDescent="0.25">
      <c r="B870" s="501"/>
      <c r="C870" s="501"/>
      <c r="D870" s="501"/>
      <c r="E870" s="501"/>
      <c r="F870" s="501"/>
      <c r="G870" s="501"/>
    </row>
    <row r="871" spans="2:7" x14ac:dyDescent="0.25">
      <c r="B871" s="501"/>
      <c r="C871" s="501" t="s">
        <v>1682</v>
      </c>
      <c r="D871" s="503">
        <v>2193200.36</v>
      </c>
      <c r="E871" s="503">
        <v>18827428.289999999</v>
      </c>
      <c r="F871" s="503">
        <v>2705482.7</v>
      </c>
      <c r="G871" s="503">
        <v>16155890.720000001</v>
      </c>
    </row>
    <row r="872" spans="2:7" x14ac:dyDescent="0.25">
      <c r="B872" s="501" t="s">
        <v>1683</v>
      </c>
      <c r="C872" s="501" t="s">
        <v>1684</v>
      </c>
      <c r="D872" s="503">
        <v>1576906.93</v>
      </c>
      <c r="E872" s="503">
        <v>24797380.07</v>
      </c>
      <c r="F872" s="503">
        <v>1782970.79</v>
      </c>
      <c r="G872" s="503">
        <v>21430803.969999999</v>
      </c>
    </row>
    <row r="873" spans="2:7" x14ac:dyDescent="0.25">
      <c r="B873" s="501" t="s">
        <v>1685</v>
      </c>
      <c r="C873" s="501" t="s">
        <v>1686</v>
      </c>
      <c r="D873" s="503">
        <v>3834133.21</v>
      </c>
      <c r="E873" s="503">
        <v>33471724.34</v>
      </c>
      <c r="F873" s="503">
        <v>3576223.96</v>
      </c>
      <c r="G873" s="503">
        <v>30393872.829999998</v>
      </c>
    </row>
    <row r="874" spans="2:7" x14ac:dyDescent="0.25">
      <c r="B874" s="501" t="s">
        <v>1687</v>
      </c>
      <c r="C874" s="501" t="s">
        <v>1688</v>
      </c>
      <c r="D874" s="503">
        <v>819139.07</v>
      </c>
      <c r="E874" s="503">
        <v>11163083.050000001</v>
      </c>
      <c r="F874" s="503">
        <v>1955256.85</v>
      </c>
      <c r="G874" s="503">
        <v>16118829.550000001</v>
      </c>
    </row>
    <row r="875" spans="2:7" x14ac:dyDescent="0.25">
      <c r="B875" s="501" t="s">
        <v>1689</v>
      </c>
      <c r="C875" s="501" t="s">
        <v>1690</v>
      </c>
      <c r="D875" s="503">
        <v>96562.43</v>
      </c>
      <c r="E875" s="503">
        <v>1420142.37</v>
      </c>
      <c r="F875" s="503">
        <v>-140444.35999999999</v>
      </c>
      <c r="G875" s="503">
        <v>1232883.27</v>
      </c>
    </row>
    <row r="876" spans="2:7" x14ac:dyDescent="0.25">
      <c r="B876" s="501" t="s">
        <v>1691</v>
      </c>
      <c r="C876" s="501" t="s">
        <v>1692</v>
      </c>
      <c r="D876" s="503">
        <v>22449.26</v>
      </c>
      <c r="E876" s="503">
        <v>413449.26</v>
      </c>
      <c r="F876" s="503">
        <v>45582.47</v>
      </c>
      <c r="G876" s="503">
        <v>420313.44</v>
      </c>
    </row>
    <row r="877" spans="2:7" x14ac:dyDescent="0.25">
      <c r="B877" s="501" t="s">
        <v>1693</v>
      </c>
      <c r="C877" s="501" t="s">
        <v>1694</v>
      </c>
      <c r="D877" s="503">
        <v>1991922.57</v>
      </c>
      <c r="E877" s="503">
        <v>23858939.920000002</v>
      </c>
      <c r="F877" s="503">
        <v>2159345.09</v>
      </c>
      <c r="G877" s="503">
        <v>22389922.879999999</v>
      </c>
    </row>
    <row r="878" spans="2:7" x14ac:dyDescent="0.25">
      <c r="B878" s="501" t="s">
        <v>1697</v>
      </c>
      <c r="C878" s="501" t="s">
        <v>1698</v>
      </c>
      <c r="D878" s="503">
        <v>1174017.19</v>
      </c>
      <c r="E878" s="503">
        <v>7376319.1699999999</v>
      </c>
      <c r="F878" s="503">
        <v>801389.28</v>
      </c>
      <c r="G878" s="503">
        <v>7993323.0999999996</v>
      </c>
    </row>
    <row r="879" spans="2:7" x14ac:dyDescent="0.25">
      <c r="B879" s="501" t="s">
        <v>1699</v>
      </c>
      <c r="C879" s="501" t="s">
        <v>606</v>
      </c>
      <c r="D879" s="503">
        <v>1340.23</v>
      </c>
      <c r="E879" s="503">
        <v>106960.95</v>
      </c>
      <c r="F879" s="503">
        <v>17002.509999999998</v>
      </c>
      <c r="G879" s="503">
        <v>122539.78</v>
      </c>
    </row>
    <row r="880" spans="2:7" x14ac:dyDescent="0.25">
      <c r="B880" s="501" t="s">
        <v>1700</v>
      </c>
      <c r="C880" s="501" t="s">
        <v>1701</v>
      </c>
      <c r="D880" s="503">
        <v>5200409.88</v>
      </c>
      <c r="E880" s="503">
        <v>53649031.280000001</v>
      </c>
      <c r="F880" s="503">
        <v>5306125.0199999996</v>
      </c>
      <c r="G880" s="503">
        <v>53101169.579999998</v>
      </c>
    </row>
    <row r="881" spans="2:7" x14ac:dyDescent="0.25">
      <c r="B881" s="501" t="s">
        <v>1702</v>
      </c>
      <c r="C881" s="501" t="s">
        <v>1703</v>
      </c>
      <c r="D881" s="501">
        <v>-115.69</v>
      </c>
      <c r="E881" s="501">
        <v>-268.72000000000003</v>
      </c>
      <c r="F881" s="501">
        <v>302.07</v>
      </c>
      <c r="G881" s="503">
        <v>1805.51</v>
      </c>
    </row>
    <row r="882" spans="2:7" x14ac:dyDescent="0.25">
      <c r="B882" s="501" t="s">
        <v>1704</v>
      </c>
      <c r="C882" s="501" t="s">
        <v>1705</v>
      </c>
      <c r="D882" s="503">
        <v>-24668</v>
      </c>
      <c r="E882" s="503">
        <v>-291451</v>
      </c>
      <c r="F882" s="503">
        <v>-65109</v>
      </c>
      <c r="G882" s="503">
        <v>-250263.91</v>
      </c>
    </row>
    <row r="883" spans="2:7" x14ac:dyDescent="0.25">
      <c r="B883" s="501" t="s">
        <v>1706</v>
      </c>
      <c r="C883" s="501" t="s">
        <v>1707</v>
      </c>
      <c r="D883" s="503">
        <v>3887.45</v>
      </c>
      <c r="E883" s="503">
        <v>67880</v>
      </c>
      <c r="F883" s="503">
        <v>4756.75</v>
      </c>
      <c r="G883" s="503">
        <v>60673.01</v>
      </c>
    </row>
    <row r="884" spans="2:7" x14ac:dyDescent="0.25">
      <c r="B884" s="501" t="s">
        <v>1710</v>
      </c>
      <c r="C884" s="501" t="s">
        <v>1711</v>
      </c>
      <c r="D884" s="503">
        <v>23459.54</v>
      </c>
      <c r="E884" s="503">
        <v>23459.54</v>
      </c>
      <c r="F884" s="501">
        <v>0</v>
      </c>
      <c r="G884" s="501">
        <v>0</v>
      </c>
    </row>
    <row r="885" spans="2:7" x14ac:dyDescent="0.25">
      <c r="B885" s="501"/>
      <c r="C885" s="501"/>
      <c r="D885" s="501"/>
      <c r="E885" s="501"/>
      <c r="F885" s="501"/>
      <c r="G885" s="501"/>
    </row>
    <row r="886" spans="2:7" x14ac:dyDescent="0.25">
      <c r="B886" s="501"/>
      <c r="C886" s="501" t="s">
        <v>1712</v>
      </c>
      <c r="D886" s="503">
        <v>14719444.07</v>
      </c>
      <c r="E886" s="503">
        <v>156056650.22999999</v>
      </c>
      <c r="F886" s="503">
        <v>15443401.43</v>
      </c>
      <c r="G886" s="503">
        <v>153015873.00999999</v>
      </c>
    </row>
    <row r="887" spans="2:7" x14ac:dyDescent="0.25">
      <c r="B887" s="501" t="s">
        <v>1713</v>
      </c>
      <c r="C887" s="501" t="s">
        <v>1714</v>
      </c>
      <c r="D887" s="503">
        <v>65958.070000000007</v>
      </c>
      <c r="E887" s="503">
        <v>793219.72</v>
      </c>
      <c r="F887" s="503">
        <v>65943.77</v>
      </c>
      <c r="G887" s="503">
        <v>799177.64</v>
      </c>
    </row>
    <row r="888" spans="2:7" x14ac:dyDescent="0.25">
      <c r="B888" s="501" t="s">
        <v>1715</v>
      </c>
      <c r="C888" s="501" t="s">
        <v>1716</v>
      </c>
      <c r="D888" s="503">
        <v>989204.42</v>
      </c>
      <c r="E888" s="503">
        <v>11797870.4</v>
      </c>
      <c r="F888" s="503">
        <v>1008176.75</v>
      </c>
      <c r="G888" s="503">
        <v>12441615.300000001</v>
      </c>
    </row>
    <row r="889" spans="2:7" x14ac:dyDescent="0.25">
      <c r="B889" s="501" t="s">
        <v>1717</v>
      </c>
      <c r="C889" s="501" t="s">
        <v>1718</v>
      </c>
      <c r="D889" s="503">
        <v>311939.21000000002</v>
      </c>
      <c r="E889" s="503">
        <v>2581685.66</v>
      </c>
      <c r="F889" s="503">
        <v>493724.03</v>
      </c>
      <c r="G889" s="503">
        <v>2340300.91</v>
      </c>
    </row>
    <row r="890" spans="2:7" x14ac:dyDescent="0.25">
      <c r="B890" s="501" t="s">
        <v>1719</v>
      </c>
      <c r="C890" s="501" t="s">
        <v>1720</v>
      </c>
      <c r="D890" s="503">
        <v>1454365.61</v>
      </c>
      <c r="E890" s="503">
        <v>16626082.49</v>
      </c>
      <c r="F890" s="503">
        <v>1409123.95</v>
      </c>
      <c r="G890" s="503">
        <v>14910789.84</v>
      </c>
    </row>
    <row r="891" spans="2:7" x14ac:dyDescent="0.25">
      <c r="B891" s="501" t="s">
        <v>1721</v>
      </c>
      <c r="C891" s="501" t="s">
        <v>1722</v>
      </c>
      <c r="D891" s="503">
        <v>4185416.42</v>
      </c>
      <c r="E891" s="503">
        <v>48217530.689999998</v>
      </c>
      <c r="F891" s="503">
        <v>4072569.23</v>
      </c>
      <c r="G891" s="503">
        <v>45511975.729999997</v>
      </c>
    </row>
    <row r="892" spans="2:7" x14ac:dyDescent="0.25">
      <c r="B892" s="501" t="s">
        <v>1723</v>
      </c>
      <c r="C892" s="501" t="s">
        <v>1724</v>
      </c>
      <c r="D892" s="503">
        <v>390994.94</v>
      </c>
      <c r="E892" s="503">
        <v>3987736.59</v>
      </c>
      <c r="F892" s="503">
        <v>292668.46999999997</v>
      </c>
      <c r="G892" s="503">
        <v>2042254.56</v>
      </c>
    </row>
    <row r="893" spans="2:7" x14ac:dyDescent="0.25">
      <c r="B893" s="501" t="s">
        <v>1725</v>
      </c>
      <c r="C893" s="501" t="s">
        <v>1726</v>
      </c>
      <c r="D893" s="503">
        <v>-237102.09</v>
      </c>
      <c r="E893" s="503">
        <v>-2845225.08</v>
      </c>
      <c r="F893" s="503">
        <v>-242371.3</v>
      </c>
      <c r="G893" s="503">
        <v>-2908455.6</v>
      </c>
    </row>
    <row r="894" spans="2:7" x14ac:dyDescent="0.25">
      <c r="B894" s="501"/>
      <c r="C894" s="501"/>
      <c r="D894" s="501"/>
      <c r="E894" s="501"/>
      <c r="F894" s="501"/>
      <c r="G894" s="501"/>
    </row>
    <row r="895" spans="2:7" x14ac:dyDescent="0.25">
      <c r="B895" s="501"/>
      <c r="C895" s="501" t="s">
        <v>1727</v>
      </c>
      <c r="D895" s="503">
        <v>7160776.5800000001</v>
      </c>
      <c r="E895" s="503">
        <v>81158900.469999999</v>
      </c>
      <c r="F895" s="503">
        <v>7099834.9000000004</v>
      </c>
      <c r="G895" s="503">
        <v>75137658.379999995</v>
      </c>
    </row>
    <row r="896" spans="2:7" x14ac:dyDescent="0.25">
      <c r="B896" s="501" t="s">
        <v>1728</v>
      </c>
      <c r="C896" s="501" t="s">
        <v>1729</v>
      </c>
      <c r="D896" s="503">
        <v>419943.93</v>
      </c>
      <c r="E896" s="503">
        <v>5304920.22</v>
      </c>
      <c r="F896" s="503">
        <v>1234624.2</v>
      </c>
      <c r="G896" s="503">
        <v>12993840.550000001</v>
      </c>
    </row>
    <row r="897" spans="2:7" x14ac:dyDescent="0.25">
      <c r="B897" s="501" t="s">
        <v>1730</v>
      </c>
      <c r="C897" s="501" t="s">
        <v>1731</v>
      </c>
      <c r="D897" s="503">
        <v>17535.919999999998</v>
      </c>
      <c r="E897" s="503">
        <v>237044.19</v>
      </c>
      <c r="F897" s="501">
        <v>0</v>
      </c>
      <c r="G897" s="501">
        <v>0</v>
      </c>
    </row>
    <row r="898" spans="2:7" x14ac:dyDescent="0.25">
      <c r="B898" s="501" t="s">
        <v>1732</v>
      </c>
      <c r="C898" s="501" t="s">
        <v>1733</v>
      </c>
      <c r="D898" s="503">
        <v>66013.58</v>
      </c>
      <c r="E898" s="503">
        <v>833290.98</v>
      </c>
      <c r="F898" s="501">
        <v>0</v>
      </c>
      <c r="G898" s="501">
        <v>0</v>
      </c>
    </row>
    <row r="899" spans="2:7" x14ac:dyDescent="0.25">
      <c r="B899" s="501" t="s">
        <v>1734</v>
      </c>
      <c r="C899" s="501" t="s">
        <v>1735</v>
      </c>
      <c r="D899" s="503">
        <v>10774.04</v>
      </c>
      <c r="E899" s="503">
        <v>114458.18</v>
      </c>
      <c r="F899" s="501">
        <v>0</v>
      </c>
      <c r="G899" s="501">
        <v>0</v>
      </c>
    </row>
    <row r="900" spans="2:7" x14ac:dyDescent="0.25">
      <c r="B900" s="501" t="s">
        <v>1736</v>
      </c>
      <c r="C900" s="501" t="s">
        <v>1737</v>
      </c>
      <c r="D900" s="503">
        <v>229178.75</v>
      </c>
      <c r="E900" s="503">
        <v>2964745.26</v>
      </c>
      <c r="F900" s="501">
        <v>0</v>
      </c>
      <c r="G900" s="501">
        <v>0</v>
      </c>
    </row>
    <row r="901" spans="2:7" x14ac:dyDescent="0.25">
      <c r="B901" s="501" t="s">
        <v>1738</v>
      </c>
      <c r="C901" s="501" t="s">
        <v>1739</v>
      </c>
      <c r="D901" s="503">
        <v>67274.399999999994</v>
      </c>
      <c r="E901" s="503">
        <v>776893.65</v>
      </c>
      <c r="F901" s="501">
        <v>0</v>
      </c>
      <c r="G901" s="501">
        <v>0</v>
      </c>
    </row>
    <row r="902" spans="2:7" x14ac:dyDescent="0.25">
      <c r="B902" s="501" t="s">
        <v>1741</v>
      </c>
      <c r="C902" s="501" t="s">
        <v>1742</v>
      </c>
      <c r="D902" s="503">
        <v>26547.67</v>
      </c>
      <c r="E902" s="503">
        <v>173540.89</v>
      </c>
      <c r="F902" s="501">
        <v>0</v>
      </c>
      <c r="G902" s="503">
        <v>70703.740000000005</v>
      </c>
    </row>
    <row r="903" spans="2:7" x14ac:dyDescent="0.25">
      <c r="B903" s="501" t="s">
        <v>1743</v>
      </c>
      <c r="C903" s="501" t="s">
        <v>1744</v>
      </c>
      <c r="D903" s="503">
        <v>1249377.7</v>
      </c>
      <c r="E903" s="503">
        <v>8092009.96</v>
      </c>
      <c r="F903" s="501">
        <v>0</v>
      </c>
      <c r="G903" s="501">
        <v>0</v>
      </c>
    </row>
    <row r="904" spans="2:7" x14ac:dyDescent="0.25">
      <c r="B904" s="501" t="s">
        <v>1745</v>
      </c>
      <c r="C904" s="501" t="s">
        <v>1746</v>
      </c>
      <c r="D904" s="503">
        <v>12382.79</v>
      </c>
      <c r="E904" s="503">
        <v>143894.81</v>
      </c>
      <c r="F904" s="501">
        <v>0</v>
      </c>
      <c r="G904" s="501">
        <v>0</v>
      </c>
    </row>
    <row r="905" spans="2:7" x14ac:dyDescent="0.25">
      <c r="B905" s="501"/>
      <c r="C905" s="501"/>
      <c r="D905" s="501"/>
      <c r="E905" s="501"/>
      <c r="F905" s="501"/>
      <c r="G905" s="501"/>
    </row>
    <row r="906" spans="2:7" x14ac:dyDescent="0.25">
      <c r="B906" s="501"/>
      <c r="C906" s="501"/>
      <c r="D906" s="501"/>
      <c r="E906" s="501"/>
      <c r="F906" s="501"/>
      <c r="G906" s="501"/>
    </row>
    <row r="907" spans="2:7" x14ac:dyDescent="0.25">
      <c r="B907" s="501" t="s">
        <v>1240</v>
      </c>
      <c r="C907" s="501" t="s">
        <v>1241</v>
      </c>
      <c r="D907" s="501" t="s">
        <v>1242</v>
      </c>
      <c r="E907" s="501" t="s">
        <v>1243</v>
      </c>
      <c r="F907" s="501"/>
      <c r="G907" s="501" t="s">
        <v>1927</v>
      </c>
    </row>
    <row r="908" spans="2:7" x14ac:dyDescent="0.25">
      <c r="B908" s="501" t="s">
        <v>1245</v>
      </c>
      <c r="C908" s="501" t="s">
        <v>1246</v>
      </c>
      <c r="D908" s="501" t="s">
        <v>1247</v>
      </c>
      <c r="E908" s="501"/>
      <c r="F908" s="501"/>
      <c r="G908" s="501"/>
    </row>
    <row r="909" spans="2:7" x14ac:dyDescent="0.25">
      <c r="B909" s="501"/>
      <c r="C909" s="501" t="s">
        <v>1248</v>
      </c>
      <c r="D909" s="501" t="s">
        <v>1249</v>
      </c>
      <c r="E909" s="501" t="s">
        <v>1250</v>
      </c>
      <c r="F909" s="501" t="s">
        <v>1251</v>
      </c>
      <c r="G909" s="501">
        <v>9</v>
      </c>
    </row>
    <row r="910" spans="2:7" x14ac:dyDescent="0.25">
      <c r="B910" s="501"/>
      <c r="C910" s="501"/>
      <c r="D910" s="501"/>
      <c r="E910" s="501"/>
      <c r="F910" s="501"/>
      <c r="G910" s="501"/>
    </row>
    <row r="911" spans="2:7" x14ac:dyDescent="0.25">
      <c r="B911" s="504">
        <v>43466</v>
      </c>
      <c r="C911" s="501">
        <v>101</v>
      </c>
      <c r="D911" s="501" t="s">
        <v>1921</v>
      </c>
      <c r="E911" s="501" t="s">
        <v>1922</v>
      </c>
      <c r="F911" s="501"/>
      <c r="G911" s="501" t="s">
        <v>1254</v>
      </c>
    </row>
    <row r="912" spans="2:7" x14ac:dyDescent="0.25">
      <c r="B912" s="501"/>
      <c r="C912" s="501"/>
      <c r="D912" s="501"/>
      <c r="E912" s="501"/>
      <c r="F912" s="501"/>
      <c r="G912" s="501"/>
    </row>
    <row r="913" spans="2:7" x14ac:dyDescent="0.25">
      <c r="B913" s="501" t="s">
        <v>1255</v>
      </c>
      <c r="C913" s="501" t="s">
        <v>1256</v>
      </c>
      <c r="D913" s="501" t="s">
        <v>1257</v>
      </c>
      <c r="E913" s="501" t="s">
        <v>1258</v>
      </c>
      <c r="F913" s="501" t="s">
        <v>1259</v>
      </c>
      <c r="G913" s="501" t="s">
        <v>1260</v>
      </c>
    </row>
    <row r="914" spans="2:7" x14ac:dyDescent="0.25">
      <c r="B914" s="501"/>
      <c r="C914" s="501"/>
      <c r="D914" s="501"/>
      <c r="E914" s="501"/>
      <c r="F914" s="501"/>
      <c r="G914" s="501"/>
    </row>
    <row r="915" spans="2:7" x14ac:dyDescent="0.25">
      <c r="B915" s="501"/>
      <c r="C915" s="501"/>
      <c r="D915" s="501"/>
      <c r="E915" s="501"/>
      <c r="F915" s="501"/>
      <c r="G915" s="501"/>
    </row>
    <row r="916" spans="2:7" x14ac:dyDescent="0.25">
      <c r="B916" s="501" t="s">
        <v>1747</v>
      </c>
      <c r="C916" s="501" t="s">
        <v>1748</v>
      </c>
      <c r="D916" s="503">
        <v>51143.040000000001</v>
      </c>
      <c r="E916" s="503">
        <v>1948407.52</v>
      </c>
      <c r="F916" s="503">
        <v>180204.52</v>
      </c>
      <c r="G916" s="503">
        <v>1691743.81</v>
      </c>
    </row>
    <row r="917" spans="2:7" x14ac:dyDescent="0.25">
      <c r="B917" s="501"/>
      <c r="C917" s="501"/>
      <c r="D917" s="501"/>
      <c r="E917" s="501"/>
      <c r="F917" s="501"/>
      <c r="G917" s="501"/>
    </row>
    <row r="918" spans="2:7" x14ac:dyDescent="0.25">
      <c r="B918" s="501"/>
      <c r="C918" s="501" t="s">
        <v>1751</v>
      </c>
      <c r="D918" s="503">
        <v>2150171.8199999998</v>
      </c>
      <c r="E918" s="503">
        <v>20589205.66</v>
      </c>
      <c r="F918" s="503">
        <v>1414828.72</v>
      </c>
      <c r="G918" s="503">
        <v>14756288.1</v>
      </c>
    </row>
    <row r="919" spans="2:7" x14ac:dyDescent="0.25">
      <c r="B919" s="501"/>
      <c r="C919" s="501"/>
      <c r="D919" s="501"/>
      <c r="E919" s="501"/>
      <c r="F919" s="501"/>
      <c r="G919" s="501"/>
    </row>
    <row r="920" spans="2:7" x14ac:dyDescent="0.25">
      <c r="B920" s="501"/>
      <c r="C920" s="501" t="s">
        <v>1752</v>
      </c>
      <c r="D920" s="503">
        <v>9310948.4000000004</v>
      </c>
      <c r="E920" s="503">
        <v>101748106.13</v>
      </c>
      <c r="F920" s="503">
        <v>8514663.6199999992</v>
      </c>
      <c r="G920" s="503">
        <v>89893946.480000004</v>
      </c>
    </row>
    <row r="921" spans="2:7" x14ac:dyDescent="0.25">
      <c r="B921" s="501" t="s">
        <v>1753</v>
      </c>
      <c r="C921" s="501" t="s">
        <v>1754</v>
      </c>
      <c r="D921" s="503">
        <v>1721147.01</v>
      </c>
      <c r="E921" s="503">
        <v>23503046.539999999</v>
      </c>
      <c r="F921" s="503">
        <v>1583188.95</v>
      </c>
      <c r="G921" s="503">
        <v>18167529.010000002</v>
      </c>
    </row>
    <row r="922" spans="2:7" x14ac:dyDescent="0.25">
      <c r="B922" s="501" t="s">
        <v>1755</v>
      </c>
      <c r="C922" s="501" t="s">
        <v>1756</v>
      </c>
      <c r="D922" s="503">
        <v>1729669</v>
      </c>
      <c r="E922" s="503">
        <v>19702988.039999999</v>
      </c>
      <c r="F922" s="503">
        <v>1534631</v>
      </c>
      <c r="G922" s="503">
        <v>20355445.75</v>
      </c>
    </row>
    <row r="923" spans="2:7" x14ac:dyDescent="0.25">
      <c r="B923" s="501" t="s">
        <v>1757</v>
      </c>
      <c r="C923" s="501" t="s">
        <v>1758</v>
      </c>
      <c r="D923" s="503">
        <v>65367.4</v>
      </c>
      <c r="E923" s="503">
        <v>1442437.98</v>
      </c>
      <c r="F923" s="503">
        <v>69775.03</v>
      </c>
      <c r="G923" s="503">
        <v>841812.57</v>
      </c>
    </row>
    <row r="924" spans="2:7" x14ac:dyDescent="0.25">
      <c r="B924" s="501" t="s">
        <v>1759</v>
      </c>
      <c r="C924" s="501" t="s">
        <v>447</v>
      </c>
      <c r="D924" s="503">
        <v>363796.41</v>
      </c>
      <c r="E924" s="503">
        <v>3707655.34</v>
      </c>
      <c r="F924" s="503">
        <v>275009.69</v>
      </c>
      <c r="G924" s="503">
        <v>3208602.48</v>
      </c>
    </row>
    <row r="925" spans="2:7" x14ac:dyDescent="0.25">
      <c r="B925" s="501" t="s">
        <v>1760</v>
      </c>
      <c r="C925" s="501" t="s">
        <v>1761</v>
      </c>
      <c r="D925" s="503">
        <v>65049.48</v>
      </c>
      <c r="E925" s="503">
        <v>684350.01</v>
      </c>
      <c r="F925" s="503">
        <v>54355.73</v>
      </c>
      <c r="G925" s="503">
        <v>684500.62</v>
      </c>
    </row>
    <row r="926" spans="2:7" x14ac:dyDescent="0.25">
      <c r="B926" s="501" t="s">
        <v>1762</v>
      </c>
      <c r="C926" s="501" t="s">
        <v>1763</v>
      </c>
      <c r="D926" s="503">
        <v>-1674568.97</v>
      </c>
      <c r="E926" s="503">
        <v>2191793.36</v>
      </c>
      <c r="F926" s="503">
        <v>-121037.03</v>
      </c>
      <c r="G926" s="503">
        <v>973920.6</v>
      </c>
    </row>
    <row r="927" spans="2:7" x14ac:dyDescent="0.25">
      <c r="B927" s="501" t="s">
        <v>1764</v>
      </c>
      <c r="C927" s="501" t="s">
        <v>1765</v>
      </c>
      <c r="D927" s="503">
        <v>136179.56</v>
      </c>
      <c r="E927" s="503">
        <v>1426797.54</v>
      </c>
      <c r="F927" s="503">
        <v>232283.6</v>
      </c>
      <c r="G927" s="503">
        <v>1607812.02</v>
      </c>
    </row>
    <row r="928" spans="2:7" x14ac:dyDescent="0.25">
      <c r="B928" s="501" t="s">
        <v>1766</v>
      </c>
      <c r="C928" s="501" t="s">
        <v>1767</v>
      </c>
      <c r="D928" s="503">
        <v>97927.18</v>
      </c>
      <c r="E928" s="503">
        <v>99423.32</v>
      </c>
      <c r="F928" s="501">
        <v>369.14</v>
      </c>
      <c r="G928" s="503">
        <v>9651.65</v>
      </c>
    </row>
    <row r="929" spans="2:7" x14ac:dyDescent="0.25">
      <c r="B929" s="501" t="s">
        <v>1768</v>
      </c>
      <c r="C929" s="501" t="s">
        <v>1769</v>
      </c>
      <c r="D929" s="503">
        <v>2750</v>
      </c>
      <c r="E929" s="503">
        <v>6300</v>
      </c>
      <c r="F929" s="503">
        <v>2500</v>
      </c>
      <c r="G929" s="503">
        <v>61779.55</v>
      </c>
    </row>
    <row r="930" spans="2:7" x14ac:dyDescent="0.25">
      <c r="B930" s="501" t="s">
        <v>1770</v>
      </c>
      <c r="C930" s="501" t="s">
        <v>1771</v>
      </c>
      <c r="D930" s="503">
        <v>1795442.71</v>
      </c>
      <c r="E930" s="503">
        <v>7420882.5</v>
      </c>
      <c r="F930" s="503">
        <v>-608638.94999999995</v>
      </c>
      <c r="G930" s="503">
        <v>4033244.18</v>
      </c>
    </row>
    <row r="931" spans="2:7" x14ac:dyDescent="0.25">
      <c r="B931" s="501" t="s">
        <v>1774</v>
      </c>
      <c r="C931" s="501" t="s">
        <v>1775</v>
      </c>
      <c r="D931" s="503">
        <v>15310.21</v>
      </c>
      <c r="E931" s="503">
        <v>158991.15</v>
      </c>
      <c r="F931" s="503">
        <v>-1818.79</v>
      </c>
      <c r="G931" s="503">
        <v>184393.60000000001</v>
      </c>
    </row>
    <row r="932" spans="2:7" x14ac:dyDescent="0.25">
      <c r="B932" s="501" t="s">
        <v>1776</v>
      </c>
      <c r="C932" s="501" t="s">
        <v>1777</v>
      </c>
      <c r="D932" s="501">
        <v>0</v>
      </c>
      <c r="E932" s="503">
        <v>15274.15</v>
      </c>
      <c r="F932" s="501">
        <v>0</v>
      </c>
      <c r="G932" s="501">
        <v>0</v>
      </c>
    </row>
    <row r="933" spans="2:7" x14ac:dyDescent="0.25">
      <c r="B933" s="501" t="s">
        <v>1778</v>
      </c>
      <c r="C933" s="501" t="s">
        <v>1779</v>
      </c>
      <c r="D933" s="503">
        <v>1980.07</v>
      </c>
      <c r="E933" s="503">
        <v>12787.33</v>
      </c>
      <c r="F933" s="501">
        <v>0</v>
      </c>
      <c r="G933" s="501">
        <v>0</v>
      </c>
    </row>
    <row r="934" spans="2:7" x14ac:dyDescent="0.25">
      <c r="B934" s="501" t="s">
        <v>1780</v>
      </c>
      <c r="C934" s="501" t="s">
        <v>1781</v>
      </c>
      <c r="D934" s="503">
        <v>12126.33</v>
      </c>
      <c r="E934" s="503">
        <v>53756.58</v>
      </c>
      <c r="F934" s="501">
        <v>0</v>
      </c>
      <c r="G934" s="501">
        <v>0</v>
      </c>
    </row>
    <row r="935" spans="2:7" x14ac:dyDescent="0.25">
      <c r="B935" s="501" t="s">
        <v>1782</v>
      </c>
      <c r="C935" s="501" t="s">
        <v>1783</v>
      </c>
      <c r="D935" s="503">
        <v>51643.48</v>
      </c>
      <c r="E935" s="503">
        <v>239944.93</v>
      </c>
      <c r="F935" s="501">
        <v>0</v>
      </c>
      <c r="G935" s="501">
        <v>0</v>
      </c>
    </row>
    <row r="936" spans="2:7" x14ac:dyDescent="0.25">
      <c r="B936" s="501" t="s">
        <v>1784</v>
      </c>
      <c r="C936" s="501" t="s">
        <v>1785</v>
      </c>
      <c r="D936" s="503">
        <v>21050.9</v>
      </c>
      <c r="E936" s="503">
        <v>374882.99</v>
      </c>
      <c r="F936" s="503">
        <v>44614.25</v>
      </c>
      <c r="G936" s="503">
        <v>647969.42000000004</v>
      </c>
    </row>
    <row r="937" spans="2:7" x14ac:dyDescent="0.25">
      <c r="B937" s="501" t="s">
        <v>1786</v>
      </c>
      <c r="C937" s="501" t="s">
        <v>1787</v>
      </c>
      <c r="D937" s="503">
        <v>210758.26</v>
      </c>
      <c r="E937" s="503">
        <v>3039912.08</v>
      </c>
      <c r="F937" s="503">
        <v>146350.97</v>
      </c>
      <c r="G937" s="503">
        <v>2832341.32</v>
      </c>
    </row>
    <row r="938" spans="2:7" x14ac:dyDescent="0.25">
      <c r="B938" s="501" t="s">
        <v>1788</v>
      </c>
      <c r="C938" s="501" t="s">
        <v>1789</v>
      </c>
      <c r="D938" s="503">
        <v>132278.37</v>
      </c>
      <c r="E938" s="503">
        <v>845308.58</v>
      </c>
      <c r="F938" s="503">
        <v>42792.61</v>
      </c>
      <c r="G938" s="503">
        <v>657312.82999999996</v>
      </c>
    </row>
    <row r="939" spans="2:7" x14ac:dyDescent="0.25">
      <c r="B939" s="501" t="s">
        <v>1790</v>
      </c>
      <c r="C939" s="501" t="s">
        <v>1791</v>
      </c>
      <c r="D939" s="503">
        <v>186924.26</v>
      </c>
      <c r="E939" s="503">
        <v>1249293.51</v>
      </c>
      <c r="F939" s="503">
        <v>196839.04000000001</v>
      </c>
      <c r="G939" s="503">
        <v>1169763.98</v>
      </c>
    </row>
    <row r="940" spans="2:7" x14ac:dyDescent="0.25">
      <c r="B940" s="501" t="s">
        <v>1792</v>
      </c>
      <c r="C940" s="501" t="s">
        <v>1793</v>
      </c>
      <c r="D940" s="503">
        <v>118721.28</v>
      </c>
      <c r="E940" s="503">
        <v>646046.14</v>
      </c>
      <c r="F940" s="503">
        <v>112740.37</v>
      </c>
      <c r="G940" s="503">
        <v>646935.93000000005</v>
      </c>
    </row>
    <row r="941" spans="2:7" x14ac:dyDescent="0.25">
      <c r="B941" s="501" t="s">
        <v>1794</v>
      </c>
      <c r="C941" s="501" t="s">
        <v>1795</v>
      </c>
      <c r="D941" s="503">
        <v>44869.82</v>
      </c>
      <c r="E941" s="503">
        <v>348274.16</v>
      </c>
      <c r="F941" s="503">
        <v>43006.7</v>
      </c>
      <c r="G941" s="503">
        <v>305389.5</v>
      </c>
    </row>
    <row r="942" spans="2:7" x14ac:dyDescent="0.25">
      <c r="B942" s="501" t="s">
        <v>1796</v>
      </c>
      <c r="C942" s="501" t="s">
        <v>1797</v>
      </c>
      <c r="D942" s="503">
        <v>1803.96</v>
      </c>
      <c r="E942" s="503">
        <v>33092.29</v>
      </c>
      <c r="F942" s="503">
        <v>9809.15</v>
      </c>
      <c r="G942" s="503">
        <v>24844.53</v>
      </c>
    </row>
    <row r="943" spans="2:7" x14ac:dyDescent="0.25">
      <c r="B943" s="501" t="s">
        <v>1798</v>
      </c>
      <c r="C943" s="501" t="s">
        <v>1799</v>
      </c>
      <c r="D943" s="503">
        <v>4728.84</v>
      </c>
      <c r="E943" s="503">
        <v>22368.83</v>
      </c>
      <c r="F943" s="503">
        <v>2199.39</v>
      </c>
      <c r="G943" s="503">
        <v>16313.69</v>
      </c>
    </row>
    <row r="944" spans="2:7" x14ac:dyDescent="0.25">
      <c r="B944" s="501" t="s">
        <v>1800</v>
      </c>
      <c r="C944" s="501" t="s">
        <v>1801</v>
      </c>
      <c r="D944" s="503">
        <v>3255.77</v>
      </c>
      <c r="E944" s="503">
        <v>9470.4500000000007</v>
      </c>
      <c r="F944" s="501">
        <v>624.51</v>
      </c>
      <c r="G944" s="503">
        <v>15762.69</v>
      </c>
    </row>
    <row r="945" spans="2:7" x14ac:dyDescent="0.25">
      <c r="B945" s="501" t="s">
        <v>1802</v>
      </c>
      <c r="C945" s="501" t="s">
        <v>1803</v>
      </c>
      <c r="D945" s="501">
        <v>257.24</v>
      </c>
      <c r="E945" s="503">
        <v>2477.4499999999998</v>
      </c>
      <c r="F945" s="501">
        <v>91.69</v>
      </c>
      <c r="G945" s="503">
        <v>3386.13</v>
      </c>
    </row>
    <row r="946" spans="2:7" x14ac:dyDescent="0.25">
      <c r="B946" s="501" t="s">
        <v>1804</v>
      </c>
      <c r="C946" s="501" t="s">
        <v>1805</v>
      </c>
      <c r="D946" s="503">
        <v>5437.49</v>
      </c>
      <c r="E946" s="503">
        <v>99322.89</v>
      </c>
      <c r="F946" s="503">
        <v>6950</v>
      </c>
      <c r="G946" s="503">
        <v>299855.18</v>
      </c>
    </row>
    <row r="947" spans="2:7" x14ac:dyDescent="0.25">
      <c r="B947" s="501" t="s">
        <v>1806</v>
      </c>
      <c r="C947" s="501" t="s">
        <v>1807</v>
      </c>
      <c r="D947" s="503">
        <v>29130</v>
      </c>
      <c r="E947" s="503">
        <v>389269.35</v>
      </c>
      <c r="F947" s="503">
        <v>23115</v>
      </c>
      <c r="G947" s="503">
        <v>625648.44999999995</v>
      </c>
    </row>
    <row r="948" spans="2:7" x14ac:dyDescent="0.25">
      <c r="B948" s="501" t="s">
        <v>1808</v>
      </c>
      <c r="C948" s="501" t="s">
        <v>1809</v>
      </c>
      <c r="D948" s="503">
        <v>17493.93</v>
      </c>
      <c r="E948" s="503">
        <v>205253.93</v>
      </c>
      <c r="F948" s="503">
        <v>39729</v>
      </c>
      <c r="G948" s="503">
        <v>286533.59999999998</v>
      </c>
    </row>
    <row r="949" spans="2:7" x14ac:dyDescent="0.25">
      <c r="B949" s="501" t="s">
        <v>1810</v>
      </c>
      <c r="C949" s="501" t="s">
        <v>1811</v>
      </c>
      <c r="D949" s="503">
        <v>-954316.96</v>
      </c>
      <c r="E949" s="503">
        <v>-11604420.470000001</v>
      </c>
      <c r="F949" s="503">
        <v>-1003650.7</v>
      </c>
      <c r="G949" s="503">
        <v>-12089253.26</v>
      </c>
    </row>
    <row r="950" spans="2:7" x14ac:dyDescent="0.25">
      <c r="B950" s="501" t="s">
        <v>1812</v>
      </c>
      <c r="C950" s="501" t="s">
        <v>1813</v>
      </c>
      <c r="D950" s="503">
        <v>-23774.87</v>
      </c>
      <c r="E950" s="503">
        <v>-1148108.21</v>
      </c>
      <c r="F950" s="503">
        <v>-66115.59</v>
      </c>
      <c r="G950" s="503">
        <v>-860589.88</v>
      </c>
    </row>
    <row r="951" spans="2:7" x14ac:dyDescent="0.25">
      <c r="B951" s="501"/>
      <c r="C951" s="501"/>
      <c r="D951" s="501"/>
      <c r="E951" s="501"/>
      <c r="F951" s="501"/>
      <c r="G951" s="501"/>
    </row>
    <row r="952" spans="2:7" x14ac:dyDescent="0.25">
      <c r="B952" s="501"/>
      <c r="C952" s="501" t="s">
        <v>1814</v>
      </c>
      <c r="D952" s="503">
        <v>4182438.16</v>
      </c>
      <c r="E952" s="503">
        <v>55178872.740000002</v>
      </c>
      <c r="F952" s="503">
        <v>2619714.7599999998</v>
      </c>
      <c r="G952" s="503">
        <v>44710906.140000001</v>
      </c>
    </row>
    <row r="953" spans="2:7" x14ac:dyDescent="0.25">
      <c r="B953" s="501" t="s">
        <v>1815</v>
      </c>
      <c r="C953" s="501" t="s">
        <v>449</v>
      </c>
      <c r="D953" s="503">
        <v>-1899151.16</v>
      </c>
      <c r="E953" s="503">
        <v>-15165886.880000001</v>
      </c>
      <c r="F953" s="503">
        <v>-998672.13</v>
      </c>
      <c r="G953" s="503">
        <v>-6416670.4199999999</v>
      </c>
    </row>
    <row r="954" spans="2:7" x14ac:dyDescent="0.25">
      <c r="B954" s="501" t="s">
        <v>1816</v>
      </c>
      <c r="C954" s="501" t="s">
        <v>1817</v>
      </c>
      <c r="D954" s="503">
        <v>248239.07</v>
      </c>
      <c r="E954" s="503">
        <v>998038.88</v>
      </c>
      <c r="F954" s="503">
        <v>102778.95</v>
      </c>
      <c r="G954" s="503">
        <v>1323588.24</v>
      </c>
    </row>
    <row r="955" spans="2:7" x14ac:dyDescent="0.25">
      <c r="B955" s="501" t="s">
        <v>1818</v>
      </c>
      <c r="C955" s="501" t="s">
        <v>1819</v>
      </c>
      <c r="D955" s="503">
        <v>276187.21999999997</v>
      </c>
      <c r="E955" s="503">
        <v>1163153.5900000001</v>
      </c>
      <c r="F955" s="503">
        <v>95016.47</v>
      </c>
      <c r="G955" s="503">
        <v>1441067.09</v>
      </c>
    </row>
    <row r="956" spans="2:7" x14ac:dyDescent="0.25">
      <c r="B956" s="501" t="s">
        <v>1820</v>
      </c>
      <c r="C956" s="501" t="s">
        <v>1821</v>
      </c>
      <c r="D956" s="503">
        <v>4883.8</v>
      </c>
      <c r="E956" s="503">
        <v>58605.4</v>
      </c>
      <c r="F956" s="503">
        <v>9584.99</v>
      </c>
      <c r="G956" s="503">
        <v>115020.4</v>
      </c>
    </row>
    <row r="957" spans="2:7" x14ac:dyDescent="0.25">
      <c r="B957" s="501" t="s">
        <v>1822</v>
      </c>
      <c r="C957" s="501" t="s">
        <v>1823</v>
      </c>
      <c r="D957" s="503">
        <v>315734.38</v>
      </c>
      <c r="E957" s="503">
        <v>3788812.56</v>
      </c>
      <c r="F957" s="503">
        <v>315734.38</v>
      </c>
      <c r="G957" s="503">
        <v>3788812.56</v>
      </c>
    </row>
    <row r="958" spans="2:7" x14ac:dyDescent="0.25">
      <c r="B958" s="501" t="s">
        <v>1824</v>
      </c>
      <c r="C958" s="501" t="s">
        <v>1825</v>
      </c>
      <c r="D958" s="503">
        <v>69823.88</v>
      </c>
      <c r="E958" s="503">
        <v>837887.12</v>
      </c>
      <c r="F958" s="503">
        <v>85265.76</v>
      </c>
      <c r="G958" s="503">
        <v>1023189.14</v>
      </c>
    </row>
    <row r="959" spans="2:7" x14ac:dyDescent="0.25">
      <c r="B959" s="501" t="s">
        <v>1826</v>
      </c>
      <c r="C959" s="501" t="s">
        <v>1827</v>
      </c>
      <c r="D959" s="503">
        <v>194626.47</v>
      </c>
      <c r="E959" s="503">
        <v>2335517.64</v>
      </c>
      <c r="F959" s="503">
        <v>194626.47</v>
      </c>
      <c r="G959" s="503">
        <v>2335517.64</v>
      </c>
    </row>
    <row r="960" spans="2:7" x14ac:dyDescent="0.25">
      <c r="B960" s="501" t="s">
        <v>1828</v>
      </c>
      <c r="C960" s="501" t="s">
        <v>1829</v>
      </c>
      <c r="D960" s="503">
        <v>108243.78</v>
      </c>
      <c r="E960" s="503">
        <v>1298925.3600000001</v>
      </c>
      <c r="F960" s="503">
        <v>108396.02</v>
      </c>
      <c r="G960" s="503">
        <v>1300752.24</v>
      </c>
    </row>
    <row r="961" spans="2:7" x14ac:dyDescent="0.25">
      <c r="B961" s="501" t="s">
        <v>1830</v>
      </c>
      <c r="C961" s="501" t="s">
        <v>1831</v>
      </c>
      <c r="D961" s="503">
        <v>102822.45</v>
      </c>
      <c r="E961" s="503">
        <v>1513226.77</v>
      </c>
      <c r="F961" s="503">
        <v>124045.29</v>
      </c>
      <c r="G961" s="503">
        <v>1252265.0900000001</v>
      </c>
    </row>
    <row r="962" spans="2:7" x14ac:dyDescent="0.25">
      <c r="B962" s="501" t="s">
        <v>1833</v>
      </c>
      <c r="C962" s="501" t="s">
        <v>1834</v>
      </c>
      <c r="D962" s="503">
        <v>96311.360000000001</v>
      </c>
      <c r="E962" s="503">
        <v>1450570.33</v>
      </c>
      <c r="F962" s="503">
        <v>109099.38</v>
      </c>
      <c r="G962" s="503">
        <v>1229738.8400000001</v>
      </c>
    </row>
    <row r="963" spans="2:7" x14ac:dyDescent="0.25">
      <c r="B963" s="501" t="s">
        <v>1835</v>
      </c>
      <c r="C963" s="501" t="s">
        <v>1836</v>
      </c>
      <c r="D963" s="503">
        <v>353906.28</v>
      </c>
      <c r="E963" s="503">
        <v>4247631.3600000003</v>
      </c>
      <c r="F963" s="503">
        <v>353253.28</v>
      </c>
      <c r="G963" s="503">
        <v>4196422.3600000003</v>
      </c>
    </row>
    <row r="964" spans="2:7" x14ac:dyDescent="0.25">
      <c r="B964" s="501" t="s">
        <v>1837</v>
      </c>
      <c r="C964" s="501" t="s">
        <v>1838</v>
      </c>
      <c r="D964" s="503">
        <v>703442.53</v>
      </c>
      <c r="E964" s="503">
        <v>8441310.3599999994</v>
      </c>
      <c r="F964" s="503">
        <v>703593.97</v>
      </c>
      <c r="G964" s="503">
        <v>8443127.6400000006</v>
      </c>
    </row>
    <row r="965" spans="2:7" x14ac:dyDescent="0.25">
      <c r="B965" s="501" t="s">
        <v>1839</v>
      </c>
      <c r="C965" s="501" t="s">
        <v>1840</v>
      </c>
      <c r="D965" s="503">
        <v>350677.01</v>
      </c>
      <c r="E965" s="503">
        <v>4287189.74</v>
      </c>
      <c r="F965" s="503">
        <v>-23721.14</v>
      </c>
      <c r="G965" s="503">
        <v>4496677.53</v>
      </c>
    </row>
    <row r="966" spans="2:7" x14ac:dyDescent="0.25">
      <c r="B966" s="501"/>
      <c r="C966" s="501"/>
      <c r="D966" s="501"/>
      <c r="E966" s="501"/>
      <c r="F966" s="501"/>
      <c r="G966" s="501"/>
    </row>
    <row r="967" spans="2:7" x14ac:dyDescent="0.25">
      <c r="B967" s="501"/>
      <c r="C967" s="501"/>
      <c r="D967" s="501"/>
      <c r="E967" s="501"/>
      <c r="F967" s="501"/>
      <c r="G967" s="501"/>
    </row>
    <row r="968" spans="2:7" x14ac:dyDescent="0.25">
      <c r="B968" s="501"/>
      <c r="C968" s="501"/>
      <c r="D968" s="501"/>
      <c r="E968" s="501"/>
      <c r="F968" s="501"/>
      <c r="G968" s="501"/>
    </row>
    <row r="969" spans="2:7" x14ac:dyDescent="0.25">
      <c r="B969" s="501" t="s">
        <v>1240</v>
      </c>
      <c r="C969" s="501" t="s">
        <v>1241</v>
      </c>
      <c r="D969" s="501" t="s">
        <v>1242</v>
      </c>
      <c r="E969" s="501" t="s">
        <v>1243</v>
      </c>
      <c r="F969" s="501"/>
      <c r="G969" s="501" t="s">
        <v>1928</v>
      </c>
    </row>
    <row r="970" spans="2:7" x14ac:dyDescent="0.25">
      <c r="B970" s="501" t="s">
        <v>1245</v>
      </c>
      <c r="C970" s="501" t="s">
        <v>1246</v>
      </c>
      <c r="D970" s="501" t="s">
        <v>1247</v>
      </c>
      <c r="E970" s="501"/>
      <c r="F970" s="501"/>
      <c r="G970" s="501"/>
    </row>
    <row r="971" spans="2:7" x14ac:dyDescent="0.25">
      <c r="B971" s="501"/>
      <c r="C971" s="501" t="s">
        <v>1248</v>
      </c>
      <c r="D971" s="501" t="s">
        <v>1249</v>
      </c>
      <c r="E971" s="501" t="s">
        <v>1250</v>
      </c>
      <c r="F971" s="501" t="s">
        <v>1251</v>
      </c>
      <c r="G971" s="501">
        <v>9</v>
      </c>
    </row>
    <row r="972" spans="2:7" x14ac:dyDescent="0.25">
      <c r="B972" s="501"/>
      <c r="C972" s="501"/>
      <c r="D972" s="501"/>
      <c r="E972" s="501"/>
      <c r="F972" s="501"/>
      <c r="G972" s="501"/>
    </row>
    <row r="973" spans="2:7" x14ac:dyDescent="0.25">
      <c r="B973" s="504">
        <v>43466</v>
      </c>
      <c r="C973" s="501">
        <v>101</v>
      </c>
      <c r="D973" s="501" t="s">
        <v>1921</v>
      </c>
      <c r="E973" s="501" t="s">
        <v>1922</v>
      </c>
      <c r="F973" s="501"/>
      <c r="G973" s="501" t="s">
        <v>1254</v>
      </c>
    </row>
    <row r="974" spans="2:7" x14ac:dyDescent="0.25">
      <c r="B974" s="501"/>
      <c r="C974" s="501"/>
      <c r="D974" s="501"/>
      <c r="E974" s="501"/>
      <c r="F974" s="501"/>
      <c r="G974" s="501"/>
    </row>
    <row r="975" spans="2:7" x14ac:dyDescent="0.25">
      <c r="B975" s="501" t="s">
        <v>1255</v>
      </c>
      <c r="C975" s="501" t="s">
        <v>1256</v>
      </c>
      <c r="D975" s="501" t="s">
        <v>1257</v>
      </c>
      <c r="E975" s="501" t="s">
        <v>1258</v>
      </c>
      <c r="F975" s="501" t="s">
        <v>1259</v>
      </c>
      <c r="G975" s="501" t="s">
        <v>1260</v>
      </c>
    </row>
    <row r="976" spans="2:7" x14ac:dyDescent="0.25">
      <c r="B976" s="501"/>
      <c r="C976" s="501"/>
      <c r="D976" s="501"/>
      <c r="E976" s="501"/>
      <c r="F976" s="501"/>
      <c r="G976" s="501"/>
    </row>
    <row r="977" spans="2:7" x14ac:dyDescent="0.25">
      <c r="B977" s="501"/>
      <c r="C977" s="501"/>
      <c r="D977" s="501"/>
      <c r="E977" s="501"/>
      <c r="F977" s="501"/>
      <c r="G977" s="501"/>
    </row>
    <row r="978" spans="2:7" x14ac:dyDescent="0.25">
      <c r="B978" s="501"/>
      <c r="C978" s="501" t="s">
        <v>1841</v>
      </c>
      <c r="D978" s="503">
        <v>925747.07</v>
      </c>
      <c r="E978" s="503">
        <v>15254982.23</v>
      </c>
      <c r="F978" s="503">
        <v>1179001.69</v>
      </c>
      <c r="G978" s="503">
        <v>24529508.350000001</v>
      </c>
    </row>
    <row r="979" spans="2:7" x14ac:dyDescent="0.25">
      <c r="B979" s="501"/>
      <c r="C979" s="501" t="s">
        <v>1842</v>
      </c>
      <c r="D979" s="503">
        <v>107284547.13</v>
      </c>
      <c r="E979" s="503">
        <v>1265427144.4100001</v>
      </c>
      <c r="F979" s="503">
        <v>103579766.8</v>
      </c>
      <c r="G979" s="503">
        <v>1171825426.23</v>
      </c>
    </row>
    <row r="980" spans="2:7" x14ac:dyDescent="0.25">
      <c r="B980" s="501"/>
      <c r="C980" s="501"/>
      <c r="D980" s="501"/>
      <c r="E980" s="501"/>
      <c r="F980" s="501"/>
      <c r="G980" s="501"/>
    </row>
    <row r="981" spans="2:7" x14ac:dyDescent="0.25">
      <c r="B981" s="501"/>
      <c r="C981" s="501"/>
      <c r="D981" s="501"/>
      <c r="E981" s="501"/>
      <c r="F981" s="501"/>
      <c r="G981" s="501"/>
    </row>
    <row r="982" spans="2:7" x14ac:dyDescent="0.25">
      <c r="B982" s="501"/>
      <c r="C982" s="501" t="s">
        <v>1843</v>
      </c>
      <c r="D982" s="503">
        <v>33396026.07</v>
      </c>
      <c r="E982" s="503">
        <v>241960506.78</v>
      </c>
      <c r="F982" s="503">
        <v>57445662.030000001</v>
      </c>
      <c r="G982" s="503">
        <v>302601586.66000003</v>
      </c>
    </row>
    <row r="983" spans="2:7" x14ac:dyDescent="0.25">
      <c r="B983" s="501"/>
      <c r="C983" s="501"/>
      <c r="D983" s="501"/>
      <c r="E983" s="501"/>
      <c r="F983" s="501"/>
      <c r="G983" s="501"/>
    </row>
    <row r="984" spans="2:7" x14ac:dyDescent="0.25">
      <c r="B984" s="501" t="s">
        <v>1844</v>
      </c>
      <c r="C984" s="501" t="s">
        <v>1845</v>
      </c>
      <c r="D984" s="501"/>
      <c r="E984" s="501"/>
      <c r="F984" s="501"/>
      <c r="G984" s="501"/>
    </row>
    <row r="985" spans="2:7" x14ac:dyDescent="0.25">
      <c r="B985" s="501" t="s">
        <v>1846</v>
      </c>
      <c r="C985" s="501" t="s">
        <v>1847</v>
      </c>
      <c r="D985" s="503">
        <v>3104383.79</v>
      </c>
      <c r="E985" s="503">
        <v>34309128.280000001</v>
      </c>
      <c r="F985" s="503">
        <v>6645429.4900000002</v>
      </c>
      <c r="G985" s="503">
        <v>29412233.18</v>
      </c>
    </row>
    <row r="986" spans="2:7" x14ac:dyDescent="0.25">
      <c r="B986" s="501" t="s">
        <v>1848</v>
      </c>
      <c r="C986" s="501" t="s">
        <v>1849</v>
      </c>
      <c r="D986" s="503">
        <v>378346.32</v>
      </c>
      <c r="E986" s="503">
        <v>3207805.71</v>
      </c>
      <c r="F986" s="503">
        <v>403324</v>
      </c>
      <c r="G986" s="503">
        <v>2632283</v>
      </c>
    </row>
    <row r="987" spans="2:7" x14ac:dyDescent="0.25">
      <c r="B987" s="501" t="s">
        <v>1850</v>
      </c>
      <c r="C987" s="501" t="s">
        <v>1851</v>
      </c>
      <c r="D987" s="503">
        <v>173556.47</v>
      </c>
      <c r="E987" s="503">
        <v>1952129.44</v>
      </c>
      <c r="F987" s="503">
        <v>343255</v>
      </c>
      <c r="G987" s="503">
        <v>2163407</v>
      </c>
    </row>
    <row r="988" spans="2:7" x14ac:dyDescent="0.25">
      <c r="B988" s="501" t="s">
        <v>1852</v>
      </c>
      <c r="C988" s="501" t="s">
        <v>1853</v>
      </c>
      <c r="D988" s="501">
        <v>0</v>
      </c>
      <c r="E988" s="501">
        <v>0</v>
      </c>
      <c r="F988" s="501">
        <v>0</v>
      </c>
      <c r="G988" s="503">
        <v>-94511.43</v>
      </c>
    </row>
    <row r="989" spans="2:7" x14ac:dyDescent="0.25">
      <c r="B989" s="501" t="s">
        <v>1854</v>
      </c>
      <c r="C989" s="501" t="s">
        <v>1855</v>
      </c>
      <c r="D989" s="501">
        <v>0</v>
      </c>
      <c r="E989" s="503">
        <v>215424</v>
      </c>
      <c r="F989" s="501">
        <v>0</v>
      </c>
      <c r="G989" s="503">
        <v>208384</v>
      </c>
    </row>
    <row r="990" spans="2:7" x14ac:dyDescent="0.25">
      <c r="B990" s="501" t="s">
        <v>1856</v>
      </c>
      <c r="C990" s="501" t="s">
        <v>1857</v>
      </c>
      <c r="D990" s="503">
        <v>-12545</v>
      </c>
      <c r="E990" s="503">
        <v>2502231.66</v>
      </c>
      <c r="F990" s="503">
        <v>249053.85</v>
      </c>
      <c r="G990" s="503">
        <v>409419.11</v>
      </c>
    </row>
    <row r="991" spans="2:7" x14ac:dyDescent="0.25">
      <c r="B991" s="501" t="s">
        <v>1858</v>
      </c>
      <c r="C991" s="501" t="s">
        <v>1859</v>
      </c>
      <c r="D991" s="503">
        <v>-342688.65</v>
      </c>
      <c r="E991" s="503">
        <v>6115209.2300000004</v>
      </c>
      <c r="F991" s="503">
        <v>496753</v>
      </c>
      <c r="G991" s="503">
        <v>10991290.25</v>
      </c>
    </row>
    <row r="992" spans="2:7" x14ac:dyDescent="0.25">
      <c r="B992" s="501" t="s">
        <v>1860</v>
      </c>
      <c r="C992" s="501" t="s">
        <v>1861</v>
      </c>
      <c r="D992" s="503">
        <v>-157199.45000000001</v>
      </c>
      <c r="E992" s="503">
        <v>4594733.26</v>
      </c>
      <c r="F992" s="503">
        <v>455879</v>
      </c>
      <c r="G992" s="503">
        <v>9722260</v>
      </c>
    </row>
    <row r="993" spans="2:7" x14ac:dyDescent="0.25">
      <c r="B993" s="501" t="s">
        <v>1862</v>
      </c>
      <c r="C993" s="501" t="s">
        <v>1863</v>
      </c>
      <c r="D993" s="503">
        <v>541482.64</v>
      </c>
      <c r="E993" s="503">
        <v>-1721057.21</v>
      </c>
      <c r="F993" s="503">
        <v>-1074902</v>
      </c>
      <c r="G993" s="503">
        <v>2995159</v>
      </c>
    </row>
    <row r="994" spans="2:7" x14ac:dyDescent="0.25">
      <c r="B994" s="501" t="s">
        <v>1864</v>
      </c>
      <c r="C994" s="501" t="s">
        <v>1865</v>
      </c>
      <c r="D994" s="503">
        <v>248390.99</v>
      </c>
      <c r="E994" s="503">
        <v>-5246166.25</v>
      </c>
      <c r="F994" s="503">
        <v>-869021</v>
      </c>
      <c r="G994" s="503">
        <v>2454562</v>
      </c>
    </row>
    <row r="995" spans="2:7" x14ac:dyDescent="0.25">
      <c r="B995" s="501" t="s">
        <v>1866</v>
      </c>
      <c r="C995" s="501" t="s">
        <v>1867</v>
      </c>
      <c r="D995" s="503">
        <v>41104.120000000003</v>
      </c>
      <c r="E995" s="503">
        <v>386403.05</v>
      </c>
      <c r="F995" s="503">
        <v>7789.17</v>
      </c>
      <c r="G995" s="503">
        <v>-180115.25</v>
      </c>
    </row>
    <row r="996" spans="2:7" x14ac:dyDescent="0.25">
      <c r="B996" s="501" t="s">
        <v>1868</v>
      </c>
      <c r="C996" s="501" t="s">
        <v>1867</v>
      </c>
      <c r="D996" s="503">
        <v>-404733.67</v>
      </c>
      <c r="E996" s="503">
        <v>6782511.6500000004</v>
      </c>
      <c r="F996" s="503">
        <v>-3660393.26</v>
      </c>
      <c r="G996" s="503">
        <v>-15436382.289999999</v>
      </c>
    </row>
    <row r="997" spans="2:7" x14ac:dyDescent="0.25">
      <c r="B997" s="501" t="s">
        <v>1869</v>
      </c>
      <c r="C997" s="501" t="s">
        <v>1870</v>
      </c>
      <c r="D997" s="503">
        <v>674581.59</v>
      </c>
      <c r="E997" s="503">
        <v>-2879469.99</v>
      </c>
      <c r="F997" s="503">
        <v>585994.31999999995</v>
      </c>
      <c r="G997" s="503">
        <v>3267539.01</v>
      </c>
    </row>
    <row r="998" spans="2:7" x14ac:dyDescent="0.25">
      <c r="B998" s="501" t="s">
        <v>1871</v>
      </c>
      <c r="C998" s="501" t="s">
        <v>1872</v>
      </c>
      <c r="D998" s="503">
        <v>790153.32</v>
      </c>
      <c r="E998" s="503">
        <v>-3060545</v>
      </c>
      <c r="F998" s="503">
        <v>702526.42</v>
      </c>
      <c r="G998" s="503">
        <v>3421977</v>
      </c>
    </row>
    <row r="999" spans="2:7" x14ac:dyDescent="0.25">
      <c r="B999" s="501" t="s">
        <v>1873</v>
      </c>
      <c r="C999" s="501" t="s">
        <v>1874</v>
      </c>
      <c r="D999" s="501">
        <v>0</v>
      </c>
      <c r="E999" s="503">
        <v>-17368.28</v>
      </c>
      <c r="F999" s="501">
        <v>-114</v>
      </c>
      <c r="G999" s="503">
        <v>-54878</v>
      </c>
    </row>
    <row r="1000" spans="2:7" x14ac:dyDescent="0.25">
      <c r="B1000" s="501" t="s">
        <v>1875</v>
      </c>
      <c r="C1000" s="501" t="s">
        <v>1876</v>
      </c>
      <c r="D1000" s="501">
        <v>0</v>
      </c>
      <c r="E1000" s="503">
        <v>-12144.95</v>
      </c>
      <c r="F1000" s="501">
        <v>-95</v>
      </c>
      <c r="G1000" s="503">
        <v>-44815</v>
      </c>
    </row>
    <row r="1001" spans="2:7" x14ac:dyDescent="0.25">
      <c r="B1001" s="501" t="s">
        <v>1877</v>
      </c>
      <c r="C1001" s="501" t="s">
        <v>1878</v>
      </c>
      <c r="D1001" s="503">
        <v>-117433.21</v>
      </c>
      <c r="E1001" s="503">
        <v>-1584448.25</v>
      </c>
      <c r="F1001" s="503">
        <v>-113182.69</v>
      </c>
      <c r="G1001" s="503">
        <v>-1499451.52</v>
      </c>
    </row>
    <row r="1002" spans="2:7" x14ac:dyDescent="0.25">
      <c r="B1002" s="501" t="s">
        <v>1879</v>
      </c>
      <c r="C1002" s="501" t="s">
        <v>1880</v>
      </c>
      <c r="D1002" s="503">
        <v>-84432.22</v>
      </c>
      <c r="E1002" s="503">
        <v>-712966.35</v>
      </c>
      <c r="F1002" s="503">
        <v>-232403</v>
      </c>
      <c r="G1002" s="503">
        <v>-767608</v>
      </c>
    </row>
    <row r="1003" spans="2:7" x14ac:dyDescent="0.25">
      <c r="B1003" s="501" t="s">
        <v>1881</v>
      </c>
      <c r="C1003" s="501" t="s">
        <v>1882</v>
      </c>
      <c r="D1003" s="503">
        <v>-38731.07</v>
      </c>
      <c r="E1003" s="503">
        <v>-433525.11</v>
      </c>
      <c r="F1003" s="503">
        <v>-193421</v>
      </c>
      <c r="G1003" s="503">
        <v>-630466</v>
      </c>
    </row>
    <row r="1004" spans="2:7" x14ac:dyDescent="0.25">
      <c r="B1004" s="501" t="s">
        <v>1883</v>
      </c>
      <c r="C1004" s="501" t="s">
        <v>1884</v>
      </c>
      <c r="D1004" s="503">
        <v>-116812.53</v>
      </c>
      <c r="E1004" s="503">
        <v>-86679.51</v>
      </c>
      <c r="F1004" s="503">
        <v>56637</v>
      </c>
      <c r="G1004" s="503">
        <v>163955</v>
      </c>
    </row>
    <row r="1005" spans="2:7" x14ac:dyDescent="0.25">
      <c r="B1005" s="501" t="s">
        <v>1885</v>
      </c>
      <c r="C1005" s="501" t="s">
        <v>1886</v>
      </c>
      <c r="D1005" s="503">
        <v>441342.15</v>
      </c>
      <c r="E1005" s="503">
        <v>-93865.24</v>
      </c>
      <c r="F1005" s="503">
        <v>25628</v>
      </c>
      <c r="G1005" s="503">
        <v>141818</v>
      </c>
    </row>
    <row r="1006" spans="2:7" x14ac:dyDescent="0.25">
      <c r="B1006" s="501"/>
      <c r="C1006" s="501"/>
      <c r="D1006" s="501"/>
      <c r="E1006" s="501"/>
      <c r="F1006" s="501"/>
      <c r="G1006" s="501"/>
    </row>
    <row r="1007" spans="2:7" x14ac:dyDescent="0.25">
      <c r="B1007" s="501"/>
      <c r="C1007" s="501" t="s">
        <v>1887</v>
      </c>
      <c r="D1007" s="503">
        <v>5118765.59</v>
      </c>
      <c r="E1007" s="503">
        <v>44217340.140000001</v>
      </c>
      <c r="F1007" s="503">
        <v>3828737.3</v>
      </c>
      <c r="G1007" s="503">
        <v>49276059.060000002</v>
      </c>
    </row>
    <row r="1008" spans="2:7" x14ac:dyDescent="0.25">
      <c r="B1008" s="501" t="s">
        <v>1888</v>
      </c>
      <c r="C1008" s="501" t="s">
        <v>1889</v>
      </c>
      <c r="D1008" s="503">
        <v>28777.17</v>
      </c>
      <c r="E1008" s="503">
        <v>346017.21</v>
      </c>
      <c r="F1008" s="503">
        <v>14775</v>
      </c>
      <c r="G1008" s="503">
        <v>167109.71</v>
      </c>
    </row>
    <row r="1009" spans="2:7" x14ac:dyDescent="0.25">
      <c r="B1009" s="501"/>
      <c r="C1009" s="501"/>
      <c r="D1009" s="501"/>
      <c r="E1009" s="501"/>
      <c r="F1009" s="501"/>
      <c r="G1009" s="501"/>
    </row>
    <row r="1010" spans="2:7" x14ac:dyDescent="0.25">
      <c r="B1010" s="501"/>
      <c r="C1010" s="501" t="s">
        <v>1892</v>
      </c>
      <c r="D1010" s="503">
        <v>28777.17</v>
      </c>
      <c r="E1010" s="503">
        <v>346017.21</v>
      </c>
      <c r="F1010" s="503">
        <v>14775</v>
      </c>
      <c r="G1010" s="503">
        <v>167109.71</v>
      </c>
    </row>
    <row r="1011" spans="2:7" x14ac:dyDescent="0.25">
      <c r="B1011" s="501"/>
      <c r="C1011" s="501"/>
      <c r="D1011" s="501"/>
      <c r="E1011" s="501"/>
      <c r="F1011" s="501"/>
      <c r="G1011" s="501"/>
    </row>
    <row r="1012" spans="2:7" x14ac:dyDescent="0.25">
      <c r="B1012" s="501"/>
      <c r="C1012" s="501" t="s">
        <v>1893</v>
      </c>
      <c r="D1012" s="503">
        <v>5147542.76</v>
      </c>
      <c r="E1012" s="503">
        <v>44563357.350000001</v>
      </c>
      <c r="F1012" s="503">
        <v>3843512.3</v>
      </c>
      <c r="G1012" s="503">
        <v>49443168.770000003</v>
      </c>
    </row>
    <row r="1013" spans="2:7" x14ac:dyDescent="0.25">
      <c r="B1013" s="501"/>
      <c r="C1013" s="501"/>
      <c r="D1013" s="501"/>
      <c r="E1013" s="501"/>
      <c r="F1013" s="501"/>
      <c r="G1013" s="501"/>
    </row>
    <row r="1014" spans="2:7" x14ac:dyDescent="0.25">
      <c r="B1014" s="501" t="s">
        <v>1894</v>
      </c>
      <c r="C1014" s="501" t="s">
        <v>1895</v>
      </c>
      <c r="D1014" s="501">
        <v>0</v>
      </c>
      <c r="E1014" s="501">
        <v>382.6</v>
      </c>
      <c r="F1014" s="501">
        <v>0</v>
      </c>
      <c r="G1014" s="501">
        <v>0</v>
      </c>
    </row>
    <row r="1015" spans="2:7" x14ac:dyDescent="0.25">
      <c r="B1015" s="501" t="s">
        <v>1896</v>
      </c>
      <c r="C1015" s="501" t="s">
        <v>1655</v>
      </c>
      <c r="D1015" s="503">
        <v>1159.28</v>
      </c>
      <c r="E1015" s="503">
        <v>14623.17</v>
      </c>
      <c r="F1015" s="501">
        <v>731.78</v>
      </c>
      <c r="G1015" s="503">
        <v>14387.28</v>
      </c>
    </row>
    <row r="1016" spans="2:7" x14ac:dyDescent="0.25">
      <c r="B1016" s="501" t="s">
        <v>1897</v>
      </c>
      <c r="C1016" s="501" t="s">
        <v>1657</v>
      </c>
      <c r="D1016" s="501">
        <v>153.26</v>
      </c>
      <c r="E1016" s="503">
        <v>3000.76</v>
      </c>
      <c r="F1016" s="501">
        <v>113.19</v>
      </c>
      <c r="G1016" s="503">
        <v>5447.99</v>
      </c>
    </row>
    <row r="1017" spans="2:7" x14ac:dyDescent="0.25">
      <c r="B1017" s="501" t="s">
        <v>1898</v>
      </c>
      <c r="C1017" s="501" t="s">
        <v>1659</v>
      </c>
      <c r="D1017" s="503">
        <v>2737.28</v>
      </c>
      <c r="E1017" s="503">
        <v>15339.04</v>
      </c>
      <c r="F1017" s="501">
        <v>0</v>
      </c>
      <c r="G1017" s="503">
        <v>2065.56</v>
      </c>
    </row>
    <row r="1018" spans="2:7" x14ac:dyDescent="0.25">
      <c r="B1018" s="501" t="s">
        <v>1899</v>
      </c>
      <c r="C1018" s="501" t="s">
        <v>1900</v>
      </c>
      <c r="D1018" s="503">
        <v>41905.410000000003</v>
      </c>
      <c r="E1018" s="503">
        <v>146237.5</v>
      </c>
      <c r="F1018" s="503">
        <v>49436.76</v>
      </c>
      <c r="G1018" s="503">
        <v>243262.18</v>
      </c>
    </row>
    <row r="1019" spans="2:7" x14ac:dyDescent="0.25">
      <c r="B1019" s="501" t="s">
        <v>1901</v>
      </c>
      <c r="C1019" s="501" t="s">
        <v>1902</v>
      </c>
      <c r="D1019" s="501">
        <v>0</v>
      </c>
      <c r="E1019" s="503">
        <v>12100</v>
      </c>
      <c r="F1019" s="501">
        <v>0</v>
      </c>
      <c r="G1019" s="501">
        <v>161.5</v>
      </c>
    </row>
    <row r="1020" spans="2:7" x14ac:dyDescent="0.25">
      <c r="B1020" s="501" t="s">
        <v>1903</v>
      </c>
      <c r="C1020" s="501" t="s">
        <v>1701</v>
      </c>
      <c r="D1020" s="503">
        <v>44898.9</v>
      </c>
      <c r="E1020" s="503">
        <v>516763.72</v>
      </c>
      <c r="F1020" s="503">
        <v>38913.5</v>
      </c>
      <c r="G1020" s="503">
        <v>2511606.71</v>
      </c>
    </row>
    <row r="1021" spans="2:7" x14ac:dyDescent="0.25">
      <c r="B1021" s="501" t="s">
        <v>1904</v>
      </c>
      <c r="C1021" s="501" t="s">
        <v>1716</v>
      </c>
      <c r="D1021" s="503">
        <v>18892.080000000002</v>
      </c>
      <c r="E1021" s="503">
        <v>210592.5</v>
      </c>
      <c r="F1021" s="503">
        <v>13521.25</v>
      </c>
      <c r="G1021" s="503">
        <v>144183.75</v>
      </c>
    </row>
    <row r="1022" spans="2:7" x14ac:dyDescent="0.25">
      <c r="B1022" s="501" t="s">
        <v>1905</v>
      </c>
      <c r="C1022" s="501" t="s">
        <v>1906</v>
      </c>
      <c r="D1022" s="503">
        <v>2234.61</v>
      </c>
      <c r="E1022" s="503">
        <v>26815.54</v>
      </c>
      <c r="F1022" s="503">
        <v>2234.62</v>
      </c>
      <c r="G1022" s="503">
        <v>9278.85</v>
      </c>
    </row>
    <row r="1023" spans="2:7" x14ac:dyDescent="0.25">
      <c r="B1023" s="501" t="s">
        <v>1908</v>
      </c>
      <c r="C1023" s="501" t="s">
        <v>1729</v>
      </c>
      <c r="D1023" s="503">
        <v>481135.9</v>
      </c>
      <c r="E1023" s="503">
        <v>844787.05</v>
      </c>
      <c r="F1023" s="503">
        <v>24645</v>
      </c>
      <c r="G1023" s="503">
        <v>24645</v>
      </c>
    </row>
    <row r="1024" spans="2:7" x14ac:dyDescent="0.25">
      <c r="B1024" s="501" t="s">
        <v>1909</v>
      </c>
      <c r="C1024" s="501" t="s">
        <v>1754</v>
      </c>
      <c r="D1024" s="501">
        <v>0</v>
      </c>
      <c r="E1024" s="503">
        <v>16992.599999999999</v>
      </c>
      <c r="F1024" s="501">
        <v>0</v>
      </c>
      <c r="G1024" s="503">
        <v>-3929.89</v>
      </c>
    </row>
    <row r="1025" spans="2:7" x14ac:dyDescent="0.25">
      <c r="B1025" s="501" t="s">
        <v>1910</v>
      </c>
      <c r="C1025" s="501" t="s">
        <v>1758</v>
      </c>
      <c r="D1025" s="503">
        <v>86385.07</v>
      </c>
      <c r="E1025" s="503">
        <v>998297.36</v>
      </c>
      <c r="F1025" s="503">
        <v>59301.61</v>
      </c>
      <c r="G1025" s="503">
        <v>715938.35</v>
      </c>
    </row>
    <row r="1026" spans="2:7" x14ac:dyDescent="0.25">
      <c r="B1026" s="501" t="s">
        <v>1911</v>
      </c>
      <c r="C1026" s="501" t="s">
        <v>447</v>
      </c>
      <c r="D1026" s="501">
        <v>312.2</v>
      </c>
      <c r="E1026" s="503">
        <v>2326.38</v>
      </c>
      <c r="F1026" s="501">
        <v>154.41999999999999</v>
      </c>
      <c r="G1026" s="501">
        <v>463.26</v>
      </c>
    </row>
    <row r="1027" spans="2:7" x14ac:dyDescent="0.25">
      <c r="B1027" s="501" t="s">
        <v>1912</v>
      </c>
      <c r="C1027" s="501" t="s">
        <v>1771</v>
      </c>
      <c r="D1027" s="501">
        <v>0</v>
      </c>
      <c r="E1027" s="503">
        <v>5979.85</v>
      </c>
      <c r="F1027" s="501">
        <v>0</v>
      </c>
      <c r="G1027" s="503">
        <v>24744.61</v>
      </c>
    </row>
    <row r="1028" spans="2:7" x14ac:dyDescent="0.25">
      <c r="B1028" s="501" t="s">
        <v>1913</v>
      </c>
      <c r="C1028" s="501" t="s">
        <v>1914</v>
      </c>
      <c r="D1028" s="501">
        <v>0</v>
      </c>
      <c r="E1028" s="503">
        <v>60000</v>
      </c>
      <c r="F1028" s="501">
        <v>0</v>
      </c>
      <c r="G1028" s="503">
        <v>600000</v>
      </c>
    </row>
    <row r="1029" spans="2:7" x14ac:dyDescent="0.25">
      <c r="B1029" s="501"/>
      <c r="C1029" s="501"/>
      <c r="D1029" s="501"/>
      <c r="E1029" s="501"/>
      <c r="F1029" s="501"/>
      <c r="G1029" s="501"/>
    </row>
    <row r="1030" spans="2:7" x14ac:dyDescent="0.25">
      <c r="B1030" s="501"/>
      <c r="C1030" s="501"/>
      <c r="D1030" s="501"/>
      <c r="E1030" s="501"/>
      <c r="F1030" s="501"/>
      <c r="G1030" s="501"/>
    </row>
    <row r="1031" spans="2:7" x14ac:dyDescent="0.25">
      <c r="B1031" s="501" t="s">
        <v>1240</v>
      </c>
      <c r="C1031" s="501" t="s">
        <v>1241</v>
      </c>
      <c r="D1031" s="501" t="s">
        <v>1242</v>
      </c>
      <c r="E1031" s="501" t="s">
        <v>1243</v>
      </c>
      <c r="F1031" s="501"/>
      <c r="G1031" s="501" t="s">
        <v>1929</v>
      </c>
    </row>
    <row r="1032" spans="2:7" x14ac:dyDescent="0.25">
      <c r="B1032" s="501" t="s">
        <v>1245</v>
      </c>
      <c r="C1032" s="501" t="s">
        <v>1246</v>
      </c>
      <c r="D1032" s="501" t="s">
        <v>1247</v>
      </c>
      <c r="E1032" s="501"/>
      <c r="F1032" s="501"/>
      <c r="G1032" s="501"/>
    </row>
    <row r="1033" spans="2:7" x14ac:dyDescent="0.25">
      <c r="B1033" s="501"/>
      <c r="C1033" s="501" t="s">
        <v>1248</v>
      </c>
      <c r="D1033" s="501" t="s">
        <v>1249</v>
      </c>
      <c r="E1033" s="501" t="s">
        <v>1250</v>
      </c>
      <c r="F1033" s="501" t="s">
        <v>1251</v>
      </c>
      <c r="G1033" s="501">
        <v>9</v>
      </c>
    </row>
    <row r="1034" spans="2:7" x14ac:dyDescent="0.25">
      <c r="B1034" s="501"/>
      <c r="C1034" s="501"/>
      <c r="D1034" s="501"/>
      <c r="E1034" s="501"/>
      <c r="F1034" s="501"/>
      <c r="G1034" s="501"/>
    </row>
    <row r="1035" spans="2:7" x14ac:dyDescent="0.25">
      <c r="B1035" s="504">
        <v>43466</v>
      </c>
      <c r="C1035" s="501">
        <v>101</v>
      </c>
      <c r="D1035" s="501" t="s">
        <v>1921</v>
      </c>
      <c r="E1035" s="501" t="s">
        <v>1922</v>
      </c>
      <c r="F1035" s="501"/>
      <c r="G1035" s="501" t="s">
        <v>1254</v>
      </c>
    </row>
    <row r="1036" spans="2:7" x14ac:dyDescent="0.25">
      <c r="B1036" s="501"/>
      <c r="C1036" s="501"/>
      <c r="D1036" s="501"/>
      <c r="E1036" s="501"/>
      <c r="F1036" s="501"/>
      <c r="G1036" s="501"/>
    </row>
    <row r="1037" spans="2:7" x14ac:dyDescent="0.25">
      <c r="B1037" s="501" t="s">
        <v>1255</v>
      </c>
      <c r="C1037" s="501" t="s">
        <v>1256</v>
      </c>
      <c r="D1037" s="501" t="s">
        <v>1257</v>
      </c>
      <c r="E1037" s="501" t="s">
        <v>1258</v>
      </c>
      <c r="F1037" s="501" t="s">
        <v>1259</v>
      </c>
      <c r="G1037" s="501" t="s">
        <v>1260</v>
      </c>
    </row>
    <row r="1038" spans="2:7" x14ac:dyDescent="0.25">
      <c r="B1038" s="501"/>
      <c r="C1038" s="501"/>
      <c r="D1038" s="501"/>
      <c r="E1038" s="501"/>
      <c r="F1038" s="501"/>
      <c r="G1038" s="501"/>
    </row>
    <row r="1039" spans="2:7" x14ac:dyDescent="0.25">
      <c r="B1039" s="501"/>
      <c r="C1039" s="501"/>
      <c r="D1039" s="501"/>
      <c r="E1039" s="501"/>
      <c r="F1039" s="501"/>
      <c r="G1039" s="501"/>
    </row>
    <row r="1040" spans="2:7" x14ac:dyDescent="0.25">
      <c r="B1040" s="501"/>
      <c r="C1040" s="501" t="s">
        <v>1915</v>
      </c>
      <c r="D1040" s="503">
        <v>679813.99</v>
      </c>
      <c r="E1040" s="503">
        <v>2874238.07</v>
      </c>
      <c r="F1040" s="503">
        <v>189052.13</v>
      </c>
      <c r="G1040" s="503">
        <v>4292255.1500000004</v>
      </c>
    </row>
    <row r="1041" spans="2:7" x14ac:dyDescent="0.25">
      <c r="B1041" s="501"/>
      <c r="C1041" s="501"/>
      <c r="D1041" s="501"/>
      <c r="E1041" s="501"/>
      <c r="F1041" s="501"/>
      <c r="G1041" s="501"/>
    </row>
    <row r="1042" spans="2:7" x14ac:dyDescent="0.25">
      <c r="B1042" s="501"/>
      <c r="C1042" s="501" t="s">
        <v>1916</v>
      </c>
      <c r="D1042" s="503">
        <v>37863754.840000004</v>
      </c>
      <c r="E1042" s="503">
        <v>283649626.06</v>
      </c>
      <c r="F1042" s="503">
        <v>61100122.200000003</v>
      </c>
      <c r="G1042" s="503">
        <v>347752500.27999997</v>
      </c>
    </row>
    <row r="1043" spans="2:7" x14ac:dyDescent="0.25">
      <c r="B1043" s="501"/>
      <c r="C1043" s="501" t="s">
        <v>1917</v>
      </c>
      <c r="D1043" s="501" t="s">
        <v>1918</v>
      </c>
      <c r="E1043" s="501" t="s">
        <v>1919</v>
      </c>
      <c r="F1043" s="501" t="s">
        <v>1919</v>
      </c>
      <c r="G1043" s="501" t="s">
        <v>1919</v>
      </c>
    </row>
    <row r="1044" spans="2:7" x14ac:dyDescent="0.25">
      <c r="B1044" s="501"/>
      <c r="C1044" s="501"/>
      <c r="D1044" s="501"/>
      <c r="E1044" s="501"/>
      <c r="F1044" s="501"/>
      <c r="G1044" s="501"/>
    </row>
    <row r="1045" spans="2:7" x14ac:dyDescent="0.25">
      <c r="B1045" s="501"/>
      <c r="C1045" s="501"/>
      <c r="D1045" s="501"/>
      <c r="E1045" s="501"/>
      <c r="F1045" s="501"/>
      <c r="G1045" s="501"/>
    </row>
    <row r="1046" spans="2:7" x14ac:dyDescent="0.25">
      <c r="B1046" s="501" t="s">
        <v>1240</v>
      </c>
      <c r="C1046" s="501" t="s">
        <v>1241</v>
      </c>
      <c r="D1046" s="501" t="s">
        <v>1242</v>
      </c>
      <c r="E1046" s="501" t="s">
        <v>1243</v>
      </c>
      <c r="F1046" s="501"/>
      <c r="G1046" s="501" t="s">
        <v>1930</v>
      </c>
    </row>
    <row r="1047" spans="2:7" x14ac:dyDescent="0.25">
      <c r="B1047" s="501" t="s">
        <v>1245</v>
      </c>
      <c r="C1047" s="501" t="s">
        <v>1246</v>
      </c>
      <c r="D1047" s="501" t="s">
        <v>1247</v>
      </c>
      <c r="E1047" s="501"/>
      <c r="F1047" s="501"/>
      <c r="G1047" s="501"/>
    </row>
    <row r="1048" spans="2:7" x14ac:dyDescent="0.25">
      <c r="B1048" s="501"/>
      <c r="C1048" s="501" t="s">
        <v>1248</v>
      </c>
      <c r="D1048" s="501" t="s">
        <v>1249</v>
      </c>
      <c r="E1048" s="501" t="s">
        <v>1250</v>
      </c>
      <c r="F1048" s="501" t="s">
        <v>1251</v>
      </c>
      <c r="G1048" s="501">
        <v>9</v>
      </c>
    </row>
    <row r="1049" spans="2:7" x14ac:dyDescent="0.25">
      <c r="B1049" s="501"/>
      <c r="C1049" s="501"/>
      <c r="D1049" s="501"/>
      <c r="E1049" s="501"/>
      <c r="F1049" s="501"/>
      <c r="G1049" s="501"/>
    </row>
    <row r="1050" spans="2:7" x14ac:dyDescent="0.25">
      <c r="B1050" s="504">
        <v>43467</v>
      </c>
      <c r="C1050" s="501">
        <v>102</v>
      </c>
      <c r="D1050" s="501" t="s">
        <v>1931</v>
      </c>
      <c r="E1050" s="501" t="s">
        <v>1932</v>
      </c>
      <c r="F1050" s="501"/>
      <c r="G1050" s="501" t="s">
        <v>1254</v>
      </c>
    </row>
    <row r="1051" spans="2:7" x14ac:dyDescent="0.25">
      <c r="B1051" s="501"/>
      <c r="C1051" s="501"/>
      <c r="D1051" s="501"/>
      <c r="E1051" s="501"/>
      <c r="F1051" s="501"/>
      <c r="G1051" s="501"/>
    </row>
    <row r="1052" spans="2:7" x14ac:dyDescent="0.25">
      <c r="B1052" s="501" t="s">
        <v>1255</v>
      </c>
      <c r="C1052" s="501" t="s">
        <v>1256</v>
      </c>
      <c r="D1052" s="501" t="s">
        <v>1257</v>
      </c>
      <c r="E1052" s="501" t="s">
        <v>1258</v>
      </c>
      <c r="F1052" s="501" t="s">
        <v>1259</v>
      </c>
      <c r="G1052" s="501" t="s">
        <v>1260</v>
      </c>
    </row>
    <row r="1053" spans="2:7" x14ac:dyDescent="0.25">
      <c r="B1053" s="501"/>
      <c r="C1053" s="501"/>
      <c r="D1053" s="501"/>
      <c r="E1053" s="501"/>
      <c r="F1053" s="501"/>
      <c r="G1053" s="501"/>
    </row>
    <row r="1054" spans="2:7" x14ac:dyDescent="0.25">
      <c r="B1054" s="501"/>
      <c r="C1054" s="501"/>
      <c r="D1054" s="501"/>
      <c r="E1054" s="501"/>
      <c r="F1054" s="501"/>
      <c r="G1054" s="501"/>
    </row>
    <row r="1055" spans="2:7" x14ac:dyDescent="0.25">
      <c r="B1055" s="501" t="s">
        <v>1383</v>
      </c>
      <c r="C1055" s="501" t="s">
        <v>1384</v>
      </c>
      <c r="D1055" s="501"/>
      <c r="E1055" s="501"/>
      <c r="F1055" s="501"/>
      <c r="G1055" s="501"/>
    </row>
    <row r="1056" spans="2:7" x14ac:dyDescent="0.25">
      <c r="B1056" s="501" t="s">
        <v>1387</v>
      </c>
      <c r="C1056" s="501" t="s">
        <v>1388</v>
      </c>
      <c r="D1056" s="503">
        <v>727499.8</v>
      </c>
      <c r="E1056" s="503">
        <v>7143130.1699999999</v>
      </c>
      <c r="F1056" s="503">
        <v>608581.04</v>
      </c>
      <c r="G1056" s="503">
        <v>7894922.1299999999</v>
      </c>
    </row>
    <row r="1057" spans="2:7" x14ac:dyDescent="0.25">
      <c r="B1057" s="501" t="s">
        <v>1390</v>
      </c>
      <c r="C1057" s="501" t="s">
        <v>1391</v>
      </c>
      <c r="D1057" s="503">
        <v>98549.1</v>
      </c>
      <c r="E1057" s="503">
        <v>1171528.51</v>
      </c>
      <c r="F1057" s="503">
        <v>71353.31</v>
      </c>
      <c r="G1057" s="503">
        <v>1661569.13</v>
      </c>
    </row>
    <row r="1058" spans="2:7" x14ac:dyDescent="0.25">
      <c r="B1058" s="501" t="s">
        <v>1428</v>
      </c>
      <c r="C1058" s="501" t="s">
        <v>1429</v>
      </c>
      <c r="D1058" s="503">
        <v>289321</v>
      </c>
      <c r="E1058" s="503">
        <v>6217012</v>
      </c>
      <c r="F1058" s="503">
        <v>209033</v>
      </c>
      <c r="G1058" s="503">
        <v>6096673</v>
      </c>
    </row>
    <row r="1059" spans="2:7" x14ac:dyDescent="0.25">
      <c r="B1059" s="501" t="s">
        <v>1432</v>
      </c>
      <c r="C1059" s="501" t="s">
        <v>1433</v>
      </c>
      <c r="D1059" s="501">
        <v>228.76</v>
      </c>
      <c r="E1059" s="503">
        <v>4245.3500000000004</v>
      </c>
      <c r="F1059" s="501">
        <v>0</v>
      </c>
      <c r="G1059" s="501">
        <v>0</v>
      </c>
    </row>
    <row r="1060" spans="2:7" x14ac:dyDescent="0.25">
      <c r="B1060" s="501" t="s">
        <v>1441</v>
      </c>
      <c r="C1060" s="501" t="s">
        <v>1442</v>
      </c>
      <c r="D1060" s="501">
        <v>0</v>
      </c>
      <c r="E1060" s="501">
        <v>0</v>
      </c>
      <c r="F1060" s="501">
        <v>0</v>
      </c>
      <c r="G1060" s="501">
        <v>2.3199999999999998</v>
      </c>
    </row>
    <row r="1061" spans="2:7" x14ac:dyDescent="0.25">
      <c r="B1061" s="501" t="s">
        <v>1445</v>
      </c>
      <c r="C1061" s="501" t="s">
        <v>1446</v>
      </c>
      <c r="D1061" s="503">
        <v>294086.53999999998</v>
      </c>
      <c r="E1061" s="503">
        <v>1450823.11</v>
      </c>
      <c r="F1061" s="501">
        <v>0</v>
      </c>
      <c r="G1061" s="503">
        <v>1129724</v>
      </c>
    </row>
    <row r="1062" spans="2:7" x14ac:dyDescent="0.25">
      <c r="B1062" s="501" t="s">
        <v>1447</v>
      </c>
      <c r="C1062" s="501" t="s">
        <v>1448</v>
      </c>
      <c r="D1062" s="501">
        <v>0</v>
      </c>
      <c r="E1062" s="501">
        <v>0</v>
      </c>
      <c r="F1062" s="503">
        <v>1000</v>
      </c>
      <c r="G1062" s="503">
        <v>1000</v>
      </c>
    </row>
    <row r="1063" spans="2:7" x14ac:dyDescent="0.25">
      <c r="B1063" s="501" t="s">
        <v>1449</v>
      </c>
      <c r="C1063" s="501" t="s">
        <v>1450</v>
      </c>
      <c r="D1063" s="501">
        <v>0</v>
      </c>
      <c r="E1063" s="503">
        <v>135672.39000000001</v>
      </c>
      <c r="F1063" s="501">
        <v>0</v>
      </c>
      <c r="G1063" s="501">
        <v>0</v>
      </c>
    </row>
    <row r="1064" spans="2:7" x14ac:dyDescent="0.25">
      <c r="B1064" s="501" t="s">
        <v>1452</v>
      </c>
      <c r="C1064" s="501" t="s">
        <v>1453</v>
      </c>
      <c r="D1064" s="501">
        <v>0</v>
      </c>
      <c r="E1064" s="503">
        <v>-120000</v>
      </c>
      <c r="F1064" s="501">
        <v>0</v>
      </c>
      <c r="G1064" s="501">
        <v>0</v>
      </c>
    </row>
    <row r="1065" spans="2:7" x14ac:dyDescent="0.25">
      <c r="B1065" s="501"/>
      <c r="C1065" s="501"/>
      <c r="D1065" s="501"/>
      <c r="E1065" s="501"/>
      <c r="F1065" s="501"/>
      <c r="G1065" s="501"/>
    </row>
    <row r="1066" spans="2:7" x14ac:dyDescent="0.25">
      <c r="B1066" s="501"/>
      <c r="C1066" s="501" t="s">
        <v>1457</v>
      </c>
      <c r="D1066" s="503">
        <v>1409685.2</v>
      </c>
      <c r="E1066" s="503">
        <v>16002411.529999999</v>
      </c>
      <c r="F1066" s="503">
        <v>889967.35</v>
      </c>
      <c r="G1066" s="503">
        <v>16783890.579999998</v>
      </c>
    </row>
    <row r="1067" spans="2:7" x14ac:dyDescent="0.25">
      <c r="B1067" s="501"/>
      <c r="C1067" s="501"/>
      <c r="D1067" s="501"/>
      <c r="E1067" s="501"/>
      <c r="F1067" s="501"/>
      <c r="G1067" s="501"/>
    </row>
    <row r="1068" spans="2:7" x14ac:dyDescent="0.25">
      <c r="B1068" s="501" t="s">
        <v>1497</v>
      </c>
      <c r="C1068" s="501" t="s">
        <v>1498</v>
      </c>
      <c r="D1068" s="501">
        <v>0</v>
      </c>
      <c r="E1068" s="501">
        <v>0</v>
      </c>
      <c r="F1068" s="503">
        <v>-16244.73</v>
      </c>
      <c r="G1068" s="503">
        <v>-33630.730000000003</v>
      </c>
    </row>
    <row r="1069" spans="2:7" x14ac:dyDescent="0.25">
      <c r="B1069" s="501"/>
      <c r="C1069" s="501"/>
      <c r="D1069" s="501"/>
      <c r="E1069" s="501"/>
      <c r="F1069" s="501"/>
      <c r="G1069" s="501"/>
    </row>
    <row r="1070" spans="2:7" x14ac:dyDescent="0.25">
      <c r="B1070" s="501"/>
      <c r="C1070" s="501" t="s">
        <v>1507</v>
      </c>
      <c r="D1070" s="501">
        <v>0</v>
      </c>
      <c r="E1070" s="501">
        <v>0</v>
      </c>
      <c r="F1070" s="503">
        <v>-16244.73</v>
      </c>
      <c r="G1070" s="503">
        <v>-33630.730000000003</v>
      </c>
    </row>
    <row r="1071" spans="2:7" x14ac:dyDescent="0.25">
      <c r="B1071" s="501"/>
      <c r="C1071" s="501" t="s">
        <v>1515</v>
      </c>
      <c r="D1071" s="503">
        <v>1409685.2</v>
      </c>
      <c r="E1071" s="503">
        <v>16002411.529999999</v>
      </c>
      <c r="F1071" s="503">
        <v>873722.62</v>
      </c>
      <c r="G1071" s="503">
        <v>16750259.85</v>
      </c>
    </row>
    <row r="1072" spans="2:7" x14ac:dyDescent="0.25">
      <c r="B1072" s="501"/>
      <c r="C1072" s="501"/>
      <c r="D1072" s="501"/>
      <c r="E1072" s="501"/>
      <c r="F1072" s="501"/>
      <c r="G1072" s="501"/>
    </row>
    <row r="1073" spans="2:7" x14ac:dyDescent="0.25">
      <c r="B1073" s="501"/>
      <c r="C1073" s="501"/>
      <c r="D1073" s="501"/>
      <c r="E1073" s="501"/>
      <c r="F1073" s="501"/>
      <c r="G1073" s="501"/>
    </row>
    <row r="1074" spans="2:7" x14ac:dyDescent="0.25">
      <c r="B1074" s="501"/>
      <c r="C1074" s="501" t="s">
        <v>1516</v>
      </c>
      <c r="D1074" s="503">
        <v>1409685.2</v>
      </c>
      <c r="E1074" s="503">
        <v>16002411.529999999</v>
      </c>
      <c r="F1074" s="503">
        <v>873722.62</v>
      </c>
      <c r="G1074" s="503">
        <v>16750259.85</v>
      </c>
    </row>
    <row r="1075" spans="2:7" x14ac:dyDescent="0.25">
      <c r="B1075" s="501"/>
      <c r="C1075" s="501"/>
      <c r="D1075" s="501"/>
      <c r="E1075" s="501"/>
      <c r="F1075" s="501"/>
      <c r="G1075" s="501"/>
    </row>
    <row r="1076" spans="2:7" x14ac:dyDescent="0.25">
      <c r="B1076" s="501" t="s">
        <v>1517</v>
      </c>
      <c r="C1076" s="501" t="s">
        <v>1518</v>
      </c>
      <c r="D1076" s="501"/>
      <c r="E1076" s="501"/>
      <c r="F1076" s="501"/>
      <c r="G1076" s="501"/>
    </row>
    <row r="1077" spans="2:7" x14ac:dyDescent="0.25">
      <c r="B1077" s="501" t="s">
        <v>1519</v>
      </c>
      <c r="C1077" s="501" t="s">
        <v>473</v>
      </c>
      <c r="D1077" s="503">
        <v>2934.5</v>
      </c>
      <c r="E1077" s="503">
        <v>56214</v>
      </c>
      <c r="F1077" s="503">
        <v>2654.5</v>
      </c>
      <c r="G1077" s="503">
        <v>31854</v>
      </c>
    </row>
    <row r="1078" spans="2:7" x14ac:dyDescent="0.25">
      <c r="B1078" s="501" t="s">
        <v>1522</v>
      </c>
      <c r="C1078" s="501" t="s">
        <v>1523</v>
      </c>
      <c r="D1078" s="503">
        <v>22464.28</v>
      </c>
      <c r="E1078" s="503">
        <v>216163.33</v>
      </c>
      <c r="F1078" s="503">
        <v>26561.06</v>
      </c>
      <c r="G1078" s="503">
        <v>203771.95</v>
      </c>
    </row>
    <row r="1079" spans="2:7" x14ac:dyDescent="0.25">
      <c r="B1079" s="501" t="s">
        <v>1524</v>
      </c>
      <c r="C1079" s="501" t="s">
        <v>1525</v>
      </c>
      <c r="D1079" s="503">
        <v>61830.3</v>
      </c>
      <c r="E1079" s="503">
        <v>1035909.54</v>
      </c>
      <c r="F1079" s="503">
        <v>84696.36</v>
      </c>
      <c r="G1079" s="503">
        <v>1026168.93</v>
      </c>
    </row>
    <row r="1080" spans="2:7" x14ac:dyDescent="0.25">
      <c r="B1080" s="501" t="s">
        <v>1526</v>
      </c>
      <c r="C1080" s="501" t="s">
        <v>1527</v>
      </c>
      <c r="D1080" s="503">
        <v>11908.52</v>
      </c>
      <c r="E1080" s="503">
        <v>40900.080000000002</v>
      </c>
      <c r="F1080" s="501">
        <v>-108.02</v>
      </c>
      <c r="G1080" s="503">
        <v>8531.93</v>
      </c>
    </row>
    <row r="1081" spans="2:7" x14ac:dyDescent="0.25">
      <c r="B1081" s="501" t="s">
        <v>1528</v>
      </c>
      <c r="C1081" s="501" t="s">
        <v>1529</v>
      </c>
      <c r="D1081" s="503">
        <v>81541.179999999993</v>
      </c>
      <c r="E1081" s="503">
        <v>869263.29</v>
      </c>
      <c r="F1081" s="503">
        <v>62274.48</v>
      </c>
      <c r="G1081" s="503">
        <v>967557.57</v>
      </c>
    </row>
    <row r="1082" spans="2:7" x14ac:dyDescent="0.25">
      <c r="B1082" s="501" t="s">
        <v>1532</v>
      </c>
      <c r="C1082" s="501" t="s">
        <v>1533</v>
      </c>
      <c r="D1082" s="503">
        <v>8684.86</v>
      </c>
      <c r="E1082" s="503">
        <v>100305.09</v>
      </c>
      <c r="F1082" s="503">
        <v>6575.18</v>
      </c>
      <c r="G1082" s="503">
        <v>72634.95</v>
      </c>
    </row>
    <row r="1083" spans="2:7" x14ac:dyDescent="0.25">
      <c r="B1083" s="501"/>
      <c r="C1083" s="501"/>
      <c r="D1083" s="501"/>
      <c r="E1083" s="501"/>
      <c r="F1083" s="501"/>
      <c r="G1083" s="501"/>
    </row>
    <row r="1084" spans="2:7" x14ac:dyDescent="0.25">
      <c r="B1084" s="501"/>
      <c r="C1084" s="501" t="s">
        <v>1538</v>
      </c>
      <c r="D1084" s="503">
        <v>189363.64</v>
      </c>
      <c r="E1084" s="503">
        <v>2318755.33</v>
      </c>
      <c r="F1084" s="503">
        <v>182653.56</v>
      </c>
      <c r="G1084" s="503">
        <v>2310519.33</v>
      </c>
    </row>
    <row r="1085" spans="2:7" x14ac:dyDescent="0.25">
      <c r="B1085" s="501" t="s">
        <v>1539</v>
      </c>
      <c r="C1085" s="501" t="s">
        <v>3</v>
      </c>
      <c r="D1085" s="503">
        <v>60228.959999999999</v>
      </c>
      <c r="E1085" s="503">
        <v>671100.84</v>
      </c>
      <c r="F1085" s="503">
        <v>52647.519999999997</v>
      </c>
      <c r="G1085" s="503">
        <v>672890.19</v>
      </c>
    </row>
    <row r="1086" spans="2:7" x14ac:dyDescent="0.25">
      <c r="B1086" s="501"/>
      <c r="C1086" s="501"/>
      <c r="D1086" s="501"/>
      <c r="E1086" s="501"/>
      <c r="F1086" s="501"/>
      <c r="G1086" s="501"/>
    </row>
    <row r="1087" spans="2:7" x14ac:dyDescent="0.25">
      <c r="B1087" s="501"/>
      <c r="C1087" s="501" t="s">
        <v>1579</v>
      </c>
      <c r="D1087" s="503">
        <v>60228.959999999999</v>
      </c>
      <c r="E1087" s="503">
        <v>671100.84</v>
      </c>
      <c r="F1087" s="503">
        <v>52647.519999999997</v>
      </c>
      <c r="G1087" s="503">
        <v>672890.19</v>
      </c>
    </row>
    <row r="1088" spans="2:7" x14ac:dyDescent="0.25">
      <c r="B1088" s="501"/>
      <c r="C1088" s="501"/>
      <c r="D1088" s="501"/>
      <c r="E1088" s="501"/>
      <c r="F1088" s="501"/>
      <c r="G1088" s="501"/>
    </row>
    <row r="1089" spans="2:7" x14ac:dyDescent="0.25">
      <c r="B1089" s="501" t="s">
        <v>1597</v>
      </c>
      <c r="C1089" s="501" t="s">
        <v>1598</v>
      </c>
      <c r="D1089" s="501">
        <v>688.12</v>
      </c>
      <c r="E1089" s="503">
        <v>1830.98</v>
      </c>
      <c r="F1089" s="501">
        <v>0</v>
      </c>
      <c r="G1089" s="503">
        <v>1944.56</v>
      </c>
    </row>
    <row r="1090" spans="2:7" x14ac:dyDescent="0.25">
      <c r="B1090" s="501"/>
      <c r="C1090" s="501"/>
      <c r="D1090" s="501"/>
      <c r="E1090" s="501"/>
      <c r="F1090" s="501"/>
      <c r="G1090" s="501"/>
    </row>
    <row r="1091" spans="2:7" x14ac:dyDescent="0.25">
      <c r="B1091" s="501"/>
      <c r="C1091" s="501" t="s">
        <v>1631</v>
      </c>
      <c r="D1091" s="501">
        <v>688.12</v>
      </c>
      <c r="E1091" s="503">
        <v>1830.98</v>
      </c>
      <c r="F1091" s="501">
        <v>0</v>
      </c>
      <c r="G1091" s="503">
        <v>1944.56</v>
      </c>
    </row>
    <row r="1092" spans="2:7" x14ac:dyDescent="0.25">
      <c r="B1092" s="501" t="s">
        <v>1632</v>
      </c>
      <c r="C1092" s="501" t="s">
        <v>1633</v>
      </c>
      <c r="D1092" s="503">
        <v>24633.85</v>
      </c>
      <c r="E1092" s="503">
        <v>166761.42000000001</v>
      </c>
      <c r="F1092" s="503">
        <v>12087.97</v>
      </c>
      <c r="G1092" s="503">
        <v>120771.07</v>
      </c>
    </row>
    <row r="1093" spans="2:7" x14ac:dyDescent="0.25">
      <c r="B1093" s="501" t="s">
        <v>1634</v>
      </c>
      <c r="C1093" s="501" t="s">
        <v>1635</v>
      </c>
      <c r="D1093" s="503">
        <v>3757.2</v>
      </c>
      <c r="E1093" s="503">
        <v>84791.31</v>
      </c>
      <c r="F1093" s="503">
        <v>6083.24</v>
      </c>
      <c r="G1093" s="503">
        <v>60631.64</v>
      </c>
    </row>
    <row r="1094" spans="2:7" x14ac:dyDescent="0.25">
      <c r="B1094" s="501" t="s">
        <v>1638</v>
      </c>
      <c r="C1094" s="501" t="s">
        <v>1639</v>
      </c>
      <c r="D1094" s="501">
        <v>191.44</v>
      </c>
      <c r="E1094" s="503">
        <v>3283.2</v>
      </c>
      <c r="F1094" s="501">
        <v>0</v>
      </c>
      <c r="G1094" s="503">
        <v>4211.46</v>
      </c>
    </row>
    <row r="1095" spans="2:7" x14ac:dyDescent="0.25">
      <c r="B1095" s="501" t="s">
        <v>1640</v>
      </c>
      <c r="C1095" s="501" t="s">
        <v>1641</v>
      </c>
      <c r="D1095" s="501">
        <v>677.12</v>
      </c>
      <c r="E1095" s="503">
        <v>1042.8499999999999</v>
      </c>
      <c r="F1095" s="501">
        <v>0</v>
      </c>
      <c r="G1095" s="501">
        <v>128.82</v>
      </c>
    </row>
    <row r="1096" spans="2:7" x14ac:dyDescent="0.25">
      <c r="B1096" s="501" t="s">
        <v>1642</v>
      </c>
      <c r="C1096" s="501" t="s">
        <v>1643</v>
      </c>
      <c r="D1096" s="503">
        <v>-2519.0700000000002</v>
      </c>
      <c r="E1096" s="503">
        <v>21061.57</v>
      </c>
      <c r="F1096" s="503">
        <v>2815.06</v>
      </c>
      <c r="G1096" s="503">
        <v>25752.1</v>
      </c>
    </row>
    <row r="1097" spans="2:7" x14ac:dyDescent="0.25">
      <c r="B1097" s="501" t="s">
        <v>1644</v>
      </c>
      <c r="C1097" s="501" t="s">
        <v>1645</v>
      </c>
      <c r="D1097" s="503">
        <v>9580.7199999999993</v>
      </c>
      <c r="E1097" s="503">
        <v>65238.1</v>
      </c>
      <c r="F1097" s="503">
        <v>-6757.89</v>
      </c>
      <c r="G1097" s="503">
        <v>328399.84000000003</v>
      </c>
    </row>
    <row r="1098" spans="2:7" x14ac:dyDescent="0.25">
      <c r="B1098" s="501" t="s">
        <v>1646</v>
      </c>
      <c r="C1098" s="501" t="s">
        <v>1647</v>
      </c>
      <c r="D1098" s="501">
        <v>0</v>
      </c>
      <c r="E1098" s="501">
        <v>38.96</v>
      </c>
      <c r="F1098" s="501">
        <v>0</v>
      </c>
      <c r="G1098" s="503">
        <v>1935.62</v>
      </c>
    </row>
    <row r="1099" spans="2:7" x14ac:dyDescent="0.25">
      <c r="B1099" s="501" t="s">
        <v>1648</v>
      </c>
      <c r="C1099" s="501" t="s">
        <v>1649</v>
      </c>
      <c r="D1099" s="503">
        <v>8400.51</v>
      </c>
      <c r="E1099" s="503">
        <v>41478.47</v>
      </c>
      <c r="F1099" s="503">
        <v>1697</v>
      </c>
      <c r="G1099" s="503">
        <v>42911.040000000001</v>
      </c>
    </row>
    <row r="1100" spans="2:7" x14ac:dyDescent="0.25">
      <c r="B1100" s="501" t="s">
        <v>1650</v>
      </c>
      <c r="C1100" s="501" t="s">
        <v>1651</v>
      </c>
      <c r="D1100" s="501">
        <v>0</v>
      </c>
      <c r="E1100" s="501">
        <v>0</v>
      </c>
      <c r="F1100" s="501">
        <v>0</v>
      </c>
      <c r="G1100" s="501">
        <v>9.4</v>
      </c>
    </row>
    <row r="1101" spans="2:7" x14ac:dyDescent="0.25">
      <c r="B1101" s="501"/>
      <c r="C1101" s="501"/>
      <c r="D1101" s="501"/>
      <c r="E1101" s="501"/>
      <c r="F1101" s="501"/>
      <c r="G1101" s="501"/>
    </row>
    <row r="1102" spans="2:7" x14ac:dyDescent="0.25">
      <c r="B1102" s="501"/>
      <c r="C1102" s="501" t="s">
        <v>1653</v>
      </c>
      <c r="D1102" s="503">
        <v>44721.77</v>
      </c>
      <c r="E1102" s="503">
        <v>383695.88</v>
      </c>
      <c r="F1102" s="503">
        <v>15925.38</v>
      </c>
      <c r="G1102" s="503">
        <v>584750.99</v>
      </c>
    </row>
    <row r="1103" spans="2:7" x14ac:dyDescent="0.25">
      <c r="B1103" s="501" t="s">
        <v>1662</v>
      </c>
      <c r="C1103" s="501" t="s">
        <v>1663</v>
      </c>
      <c r="D1103" s="501">
        <v>0</v>
      </c>
      <c r="E1103" s="501">
        <v>0</v>
      </c>
      <c r="F1103" s="501">
        <v>-110.89</v>
      </c>
      <c r="G1103" s="501">
        <v>27.03</v>
      </c>
    </row>
    <row r="1104" spans="2:7" x14ac:dyDescent="0.25">
      <c r="B1104" s="501"/>
      <c r="C1104" s="501"/>
      <c r="D1104" s="501"/>
      <c r="E1104" s="501"/>
      <c r="F1104" s="501"/>
      <c r="G1104" s="501"/>
    </row>
    <row r="1105" spans="2:7" x14ac:dyDescent="0.25">
      <c r="B1105" s="501"/>
      <c r="C1105" s="501" t="s">
        <v>1666</v>
      </c>
      <c r="D1105" s="501">
        <v>0</v>
      </c>
      <c r="E1105" s="501">
        <v>0</v>
      </c>
      <c r="F1105" s="501">
        <v>-110.89</v>
      </c>
      <c r="G1105" s="501">
        <v>27.03</v>
      </c>
    </row>
    <row r="1106" spans="2:7" x14ac:dyDescent="0.25">
      <c r="B1106" s="501"/>
      <c r="C1106" s="501"/>
      <c r="D1106" s="501"/>
      <c r="E1106" s="501"/>
      <c r="F1106" s="501"/>
      <c r="G1106" s="501"/>
    </row>
    <row r="1107" spans="2:7" x14ac:dyDescent="0.25">
      <c r="B1107" s="501"/>
      <c r="C1107" s="501"/>
      <c r="D1107" s="501"/>
      <c r="E1107" s="501"/>
      <c r="F1107" s="501"/>
      <c r="G1107" s="501"/>
    </row>
    <row r="1108" spans="2:7" x14ac:dyDescent="0.25">
      <c r="B1108" s="501" t="s">
        <v>1240</v>
      </c>
      <c r="C1108" s="501" t="s">
        <v>1241</v>
      </c>
      <c r="D1108" s="501" t="s">
        <v>1242</v>
      </c>
      <c r="E1108" s="501" t="s">
        <v>1243</v>
      </c>
      <c r="F1108" s="501"/>
      <c r="G1108" s="501" t="s">
        <v>1933</v>
      </c>
    </row>
    <row r="1109" spans="2:7" x14ac:dyDescent="0.25">
      <c r="B1109" s="501" t="s">
        <v>1245</v>
      </c>
      <c r="C1109" s="501" t="s">
        <v>1246</v>
      </c>
      <c r="D1109" s="501" t="s">
        <v>1247</v>
      </c>
      <c r="E1109" s="501"/>
      <c r="F1109" s="501"/>
      <c r="G1109" s="501"/>
    </row>
    <row r="1110" spans="2:7" x14ac:dyDescent="0.25">
      <c r="B1110" s="501"/>
      <c r="C1110" s="501" t="s">
        <v>1248</v>
      </c>
      <c r="D1110" s="501" t="s">
        <v>1249</v>
      </c>
      <c r="E1110" s="501" t="s">
        <v>1250</v>
      </c>
      <c r="F1110" s="501" t="s">
        <v>1251</v>
      </c>
      <c r="G1110" s="501">
        <v>9</v>
      </c>
    </row>
    <row r="1111" spans="2:7" x14ac:dyDescent="0.25">
      <c r="B1111" s="501"/>
      <c r="C1111" s="501"/>
      <c r="D1111" s="501"/>
      <c r="E1111" s="501"/>
      <c r="F1111" s="501"/>
      <c r="G1111" s="501"/>
    </row>
    <row r="1112" spans="2:7" x14ac:dyDescent="0.25">
      <c r="B1112" s="504">
        <v>43467</v>
      </c>
      <c r="C1112" s="501">
        <v>102</v>
      </c>
      <c r="D1112" s="501" t="s">
        <v>1931</v>
      </c>
      <c r="E1112" s="501" t="s">
        <v>1932</v>
      </c>
      <c r="F1112" s="501"/>
      <c r="G1112" s="501" t="s">
        <v>1254</v>
      </c>
    </row>
    <row r="1113" spans="2:7" x14ac:dyDescent="0.25">
      <c r="B1113" s="501"/>
      <c r="C1113" s="501"/>
      <c r="D1113" s="501"/>
      <c r="E1113" s="501"/>
      <c r="F1113" s="501"/>
      <c r="G1113" s="501"/>
    </row>
    <row r="1114" spans="2:7" x14ac:dyDescent="0.25">
      <c r="B1114" s="501" t="s">
        <v>1255</v>
      </c>
      <c r="C1114" s="501" t="s">
        <v>1256</v>
      </c>
      <c r="D1114" s="501" t="s">
        <v>1257</v>
      </c>
      <c r="E1114" s="501" t="s">
        <v>1258</v>
      </c>
      <c r="F1114" s="501" t="s">
        <v>1259</v>
      </c>
      <c r="G1114" s="501" t="s">
        <v>1260</v>
      </c>
    </row>
    <row r="1115" spans="2:7" x14ac:dyDescent="0.25">
      <c r="B1115" s="501"/>
      <c r="C1115" s="501"/>
      <c r="D1115" s="501"/>
      <c r="E1115" s="501"/>
      <c r="F1115" s="501"/>
      <c r="G1115" s="501"/>
    </row>
    <row r="1116" spans="2:7" x14ac:dyDescent="0.25">
      <c r="B1116" s="501">
        <v>760</v>
      </c>
      <c r="C1116" s="501" t="s">
        <v>1667</v>
      </c>
      <c r="D1116" s="501"/>
      <c r="E1116" s="501"/>
      <c r="F1116" s="501"/>
      <c r="G1116" s="501"/>
    </row>
    <row r="1117" spans="2:7" x14ac:dyDescent="0.25">
      <c r="B1117" s="501" t="s">
        <v>1668</v>
      </c>
      <c r="C1117" s="501" t="s">
        <v>1669</v>
      </c>
      <c r="D1117" s="501">
        <v>0</v>
      </c>
      <c r="E1117" s="501">
        <v>604.45000000000005</v>
      </c>
      <c r="F1117" s="501">
        <v>138.13</v>
      </c>
      <c r="G1117" s="501">
        <v>204.86</v>
      </c>
    </row>
    <row r="1118" spans="2:7" x14ac:dyDescent="0.25">
      <c r="B1118" s="501"/>
      <c r="C1118" s="501"/>
      <c r="D1118" s="501"/>
      <c r="E1118" s="501"/>
      <c r="F1118" s="501"/>
      <c r="G1118" s="501"/>
    </row>
    <row r="1119" spans="2:7" x14ac:dyDescent="0.25">
      <c r="B1119" s="501"/>
      <c r="C1119" s="501" t="s">
        <v>1682</v>
      </c>
      <c r="D1119" s="501">
        <v>0</v>
      </c>
      <c r="E1119" s="501">
        <v>604.45000000000005</v>
      </c>
      <c r="F1119" s="501">
        <v>138.13</v>
      </c>
      <c r="G1119" s="501">
        <v>204.86</v>
      </c>
    </row>
    <row r="1120" spans="2:7" x14ac:dyDescent="0.25">
      <c r="B1120" s="501" t="s">
        <v>1683</v>
      </c>
      <c r="C1120" s="501" t="s">
        <v>1684</v>
      </c>
      <c r="D1120" s="501">
        <v>0</v>
      </c>
      <c r="E1120" s="501">
        <v>0</v>
      </c>
      <c r="F1120" s="501">
        <v>0</v>
      </c>
      <c r="G1120" s="503">
        <v>7101.45</v>
      </c>
    </row>
    <row r="1121" spans="2:7" x14ac:dyDescent="0.25">
      <c r="B1121" s="501" t="s">
        <v>1685</v>
      </c>
      <c r="C1121" s="501" t="s">
        <v>1686</v>
      </c>
      <c r="D1121" s="503">
        <v>7657628.8099999996</v>
      </c>
      <c r="E1121" s="503">
        <v>79979316.579999998</v>
      </c>
      <c r="F1121" s="503">
        <v>3887912.01</v>
      </c>
      <c r="G1121" s="503">
        <v>73173223.010000005</v>
      </c>
    </row>
    <row r="1122" spans="2:7" x14ac:dyDescent="0.25">
      <c r="B1122" s="501" t="s">
        <v>1687</v>
      </c>
      <c r="C1122" s="501" t="s">
        <v>1688</v>
      </c>
      <c r="D1122" s="501">
        <v>0</v>
      </c>
      <c r="E1122" s="501">
        <v>0</v>
      </c>
      <c r="F1122" s="501">
        <v>0</v>
      </c>
      <c r="G1122" s="503">
        <v>6000</v>
      </c>
    </row>
    <row r="1123" spans="2:7" x14ac:dyDescent="0.25">
      <c r="B1123" s="501" t="s">
        <v>1693</v>
      </c>
      <c r="C1123" s="501" t="s">
        <v>1694</v>
      </c>
      <c r="D1123" s="501">
        <v>0</v>
      </c>
      <c r="E1123" s="503">
        <v>-48971.7</v>
      </c>
      <c r="F1123" s="503">
        <v>74654.48</v>
      </c>
      <c r="G1123" s="503">
        <v>100258.35</v>
      </c>
    </row>
    <row r="1124" spans="2:7" x14ac:dyDescent="0.25">
      <c r="B1124" s="501" t="s">
        <v>1700</v>
      </c>
      <c r="C1124" s="501" t="s">
        <v>1701</v>
      </c>
      <c r="D1124" s="503">
        <v>35609.440000000002</v>
      </c>
      <c r="E1124" s="503">
        <v>295790.40999999997</v>
      </c>
      <c r="F1124" s="503">
        <v>30378.85</v>
      </c>
      <c r="G1124" s="503">
        <v>278887.52</v>
      </c>
    </row>
    <row r="1125" spans="2:7" x14ac:dyDescent="0.25">
      <c r="B1125" s="501" t="s">
        <v>1706</v>
      </c>
      <c r="C1125" s="501" t="s">
        <v>1707</v>
      </c>
      <c r="D1125" s="501">
        <v>689.2</v>
      </c>
      <c r="E1125" s="503">
        <v>17350</v>
      </c>
      <c r="F1125" s="503">
        <v>2171.25</v>
      </c>
      <c r="G1125" s="503">
        <v>11951.73</v>
      </c>
    </row>
    <row r="1126" spans="2:7" x14ac:dyDescent="0.25">
      <c r="B1126" s="501"/>
      <c r="C1126" s="501"/>
      <c r="D1126" s="501"/>
      <c r="E1126" s="501"/>
      <c r="F1126" s="501"/>
      <c r="G1126" s="501"/>
    </row>
    <row r="1127" spans="2:7" x14ac:dyDescent="0.25">
      <c r="B1127" s="501"/>
      <c r="C1127" s="501" t="s">
        <v>1712</v>
      </c>
      <c r="D1127" s="503">
        <v>7693927.4500000002</v>
      </c>
      <c r="E1127" s="503">
        <v>80243485.290000007</v>
      </c>
      <c r="F1127" s="503">
        <v>3995116.59</v>
      </c>
      <c r="G1127" s="503">
        <v>73577422.060000002</v>
      </c>
    </row>
    <row r="1128" spans="2:7" x14ac:dyDescent="0.25">
      <c r="B1128" s="501"/>
      <c r="C1128" s="501"/>
      <c r="D1128" s="501"/>
      <c r="E1128" s="501"/>
      <c r="F1128" s="501"/>
      <c r="G1128" s="501"/>
    </row>
    <row r="1129" spans="2:7" x14ac:dyDescent="0.25">
      <c r="B1129" s="501" t="s">
        <v>1747</v>
      </c>
      <c r="C1129" s="501" t="s">
        <v>1748</v>
      </c>
      <c r="D1129" s="501">
        <v>0</v>
      </c>
      <c r="E1129" s="501">
        <v>330.5</v>
      </c>
      <c r="F1129" s="501">
        <v>0</v>
      </c>
      <c r="G1129" s="501">
        <v>0</v>
      </c>
    </row>
    <row r="1130" spans="2:7" x14ac:dyDescent="0.25">
      <c r="B1130" s="501"/>
      <c r="C1130" s="501"/>
      <c r="D1130" s="501"/>
      <c r="E1130" s="501"/>
      <c r="F1130" s="501"/>
      <c r="G1130" s="501"/>
    </row>
    <row r="1131" spans="2:7" x14ac:dyDescent="0.25">
      <c r="B1131" s="501"/>
      <c r="C1131" s="501" t="s">
        <v>1751</v>
      </c>
      <c r="D1131" s="501">
        <v>0</v>
      </c>
      <c r="E1131" s="501">
        <v>330.5</v>
      </c>
      <c r="F1131" s="501">
        <v>0</v>
      </c>
      <c r="G1131" s="501">
        <v>0</v>
      </c>
    </row>
    <row r="1132" spans="2:7" x14ac:dyDescent="0.25">
      <c r="B1132" s="501"/>
      <c r="C1132" s="501"/>
      <c r="D1132" s="501"/>
      <c r="E1132" s="501"/>
      <c r="F1132" s="501"/>
      <c r="G1132" s="501"/>
    </row>
    <row r="1133" spans="2:7" x14ac:dyDescent="0.25">
      <c r="B1133" s="501"/>
      <c r="C1133" s="501" t="s">
        <v>1752</v>
      </c>
      <c r="D1133" s="501">
        <v>0</v>
      </c>
      <c r="E1133" s="501">
        <v>330.5</v>
      </c>
      <c r="F1133" s="501">
        <v>0</v>
      </c>
      <c r="G1133" s="501">
        <v>0</v>
      </c>
    </row>
    <row r="1134" spans="2:7" x14ac:dyDescent="0.25">
      <c r="B1134" s="501" t="s">
        <v>1753</v>
      </c>
      <c r="C1134" s="501" t="s">
        <v>1754</v>
      </c>
      <c r="D1134" s="503">
        <v>6327.61</v>
      </c>
      <c r="E1134" s="503">
        <v>224246.81</v>
      </c>
      <c r="F1134" s="503">
        <v>17171.740000000002</v>
      </c>
      <c r="G1134" s="503">
        <v>236173.95</v>
      </c>
    </row>
    <row r="1135" spans="2:7" x14ac:dyDescent="0.25">
      <c r="B1135" s="501" t="s">
        <v>1770</v>
      </c>
      <c r="C1135" s="501" t="s">
        <v>1771</v>
      </c>
      <c r="D1135" s="503">
        <v>42574.559999999998</v>
      </c>
      <c r="E1135" s="503">
        <v>352645.32</v>
      </c>
      <c r="F1135" s="503">
        <v>29734.36</v>
      </c>
      <c r="G1135" s="503">
        <v>79380.929999999993</v>
      </c>
    </row>
    <row r="1136" spans="2:7" x14ac:dyDescent="0.25">
      <c r="B1136" s="501" t="s">
        <v>1772</v>
      </c>
      <c r="C1136" s="501" t="s">
        <v>1773</v>
      </c>
      <c r="D1136" s="501">
        <v>0</v>
      </c>
      <c r="E1136" s="501">
        <v>-35.549999999999997</v>
      </c>
      <c r="F1136" s="501">
        <v>0</v>
      </c>
      <c r="G1136" s="501">
        <v>103.77</v>
      </c>
    </row>
    <row r="1137" spans="2:7" x14ac:dyDescent="0.25">
      <c r="B1137" s="501" t="s">
        <v>1778</v>
      </c>
      <c r="C1137" s="501" t="s">
        <v>1779</v>
      </c>
      <c r="D1137" s="501">
        <v>0</v>
      </c>
      <c r="E1137" s="501">
        <v>-106.09</v>
      </c>
      <c r="F1137" s="501">
        <v>0</v>
      </c>
      <c r="G1137" s="501">
        <v>0</v>
      </c>
    </row>
    <row r="1138" spans="2:7" x14ac:dyDescent="0.25">
      <c r="B1138" s="501" t="s">
        <v>1784</v>
      </c>
      <c r="C1138" s="501" t="s">
        <v>1785</v>
      </c>
      <c r="D1138" s="503">
        <v>10379.530000000001</v>
      </c>
      <c r="E1138" s="503">
        <v>212955.87</v>
      </c>
      <c r="F1138" s="503">
        <v>35959.1</v>
      </c>
      <c r="G1138" s="503">
        <v>175938.09</v>
      </c>
    </row>
    <row r="1139" spans="2:7" x14ac:dyDescent="0.25">
      <c r="B1139" s="501" t="s">
        <v>1786</v>
      </c>
      <c r="C1139" s="501" t="s">
        <v>1787</v>
      </c>
      <c r="D1139" s="503">
        <v>58736.38</v>
      </c>
      <c r="E1139" s="503">
        <v>560523.03</v>
      </c>
      <c r="F1139" s="503">
        <v>55682.67</v>
      </c>
      <c r="G1139" s="503">
        <v>600505.93000000005</v>
      </c>
    </row>
    <row r="1140" spans="2:7" x14ac:dyDescent="0.25">
      <c r="B1140" s="501" t="s">
        <v>1788</v>
      </c>
      <c r="C1140" s="501" t="s">
        <v>1789</v>
      </c>
      <c r="D1140" s="503">
        <v>65775.77</v>
      </c>
      <c r="E1140" s="503">
        <v>413665.23</v>
      </c>
      <c r="F1140" s="503">
        <v>63582.42</v>
      </c>
      <c r="G1140" s="503">
        <v>421955.23</v>
      </c>
    </row>
    <row r="1141" spans="2:7" x14ac:dyDescent="0.25">
      <c r="B1141" s="501" t="s">
        <v>1790</v>
      </c>
      <c r="C1141" s="501" t="s">
        <v>1791</v>
      </c>
      <c r="D1141" s="503">
        <v>90290.83</v>
      </c>
      <c r="E1141" s="503">
        <v>729056.75</v>
      </c>
      <c r="F1141" s="503">
        <v>53327.55</v>
      </c>
      <c r="G1141" s="503">
        <v>693817.63</v>
      </c>
    </row>
    <row r="1142" spans="2:7" x14ac:dyDescent="0.25">
      <c r="B1142" s="501" t="s">
        <v>1792</v>
      </c>
      <c r="C1142" s="501" t="s">
        <v>1793</v>
      </c>
      <c r="D1142" s="503">
        <v>31801.71</v>
      </c>
      <c r="E1142" s="503">
        <v>265423.40999999997</v>
      </c>
      <c r="F1142" s="503">
        <v>25227.49</v>
      </c>
      <c r="G1142" s="503">
        <v>275989.58</v>
      </c>
    </row>
    <row r="1143" spans="2:7" x14ac:dyDescent="0.25">
      <c r="B1143" s="501" t="s">
        <v>1794</v>
      </c>
      <c r="C1143" s="501" t="s">
        <v>1795</v>
      </c>
      <c r="D1143" s="503">
        <v>17283.5</v>
      </c>
      <c r="E1143" s="503">
        <v>146762.67000000001</v>
      </c>
      <c r="F1143" s="503">
        <v>12065.5</v>
      </c>
      <c r="G1143" s="503">
        <v>125242.33</v>
      </c>
    </row>
    <row r="1144" spans="2:7" x14ac:dyDescent="0.25">
      <c r="B1144" s="501" t="s">
        <v>1796</v>
      </c>
      <c r="C1144" s="501" t="s">
        <v>1797</v>
      </c>
      <c r="D1144" s="503">
        <v>17999.310000000001</v>
      </c>
      <c r="E1144" s="503">
        <v>82701.039999999994</v>
      </c>
      <c r="F1144" s="503">
        <v>12359.39</v>
      </c>
      <c r="G1144" s="503">
        <v>79010.679999999993</v>
      </c>
    </row>
    <row r="1145" spans="2:7" x14ac:dyDescent="0.25">
      <c r="B1145" s="501" t="s">
        <v>1798</v>
      </c>
      <c r="C1145" s="501" t="s">
        <v>1799</v>
      </c>
      <c r="D1145" s="503">
        <v>6472.73</v>
      </c>
      <c r="E1145" s="503">
        <v>44227.96</v>
      </c>
      <c r="F1145" s="503">
        <v>4305.6000000000004</v>
      </c>
      <c r="G1145" s="503">
        <v>50916.74</v>
      </c>
    </row>
    <row r="1146" spans="2:7" x14ac:dyDescent="0.25">
      <c r="B1146" s="501" t="s">
        <v>1800</v>
      </c>
      <c r="C1146" s="501" t="s">
        <v>1801</v>
      </c>
      <c r="D1146" s="503">
        <v>3213.45</v>
      </c>
      <c r="E1146" s="503">
        <v>15588.37</v>
      </c>
      <c r="F1146" s="503">
        <v>2679.9</v>
      </c>
      <c r="G1146" s="503">
        <v>23107.87</v>
      </c>
    </row>
    <row r="1147" spans="2:7" x14ac:dyDescent="0.25">
      <c r="B1147" s="501" t="s">
        <v>1802</v>
      </c>
      <c r="C1147" s="501" t="s">
        <v>1803</v>
      </c>
      <c r="D1147" s="503">
        <v>1891.04</v>
      </c>
      <c r="E1147" s="503">
        <v>6059.7</v>
      </c>
      <c r="F1147" s="501">
        <v>579.79999999999995</v>
      </c>
      <c r="G1147" s="503">
        <v>6993.76</v>
      </c>
    </row>
    <row r="1148" spans="2:7" x14ac:dyDescent="0.25">
      <c r="B1148" s="501" t="s">
        <v>1804</v>
      </c>
      <c r="C1148" s="501" t="s">
        <v>1805</v>
      </c>
      <c r="D1148" s="503">
        <v>27852.11</v>
      </c>
      <c r="E1148" s="503">
        <v>195425.37</v>
      </c>
      <c r="F1148" s="503">
        <v>44411.4</v>
      </c>
      <c r="G1148" s="503">
        <v>138503.04000000001</v>
      </c>
    </row>
    <row r="1149" spans="2:7" x14ac:dyDescent="0.25">
      <c r="B1149" s="501" t="s">
        <v>1808</v>
      </c>
      <c r="C1149" s="501" t="s">
        <v>1809</v>
      </c>
      <c r="D1149" s="501">
        <v>0</v>
      </c>
      <c r="E1149" s="501">
        <v>0</v>
      </c>
      <c r="F1149" s="501">
        <v>0</v>
      </c>
      <c r="G1149" s="501">
        <v>412.65</v>
      </c>
    </row>
    <row r="1150" spans="2:7" x14ac:dyDescent="0.25">
      <c r="B1150" s="501" t="s">
        <v>1810</v>
      </c>
      <c r="C1150" s="501" t="s">
        <v>1811</v>
      </c>
      <c r="D1150" s="503">
        <v>1101.74</v>
      </c>
      <c r="E1150" s="503">
        <v>13220.88</v>
      </c>
      <c r="F1150" s="503">
        <v>1013.42</v>
      </c>
      <c r="G1150" s="503">
        <v>12161.04</v>
      </c>
    </row>
    <row r="1151" spans="2:7" x14ac:dyDescent="0.25">
      <c r="B1151" s="501" t="s">
        <v>1812</v>
      </c>
      <c r="C1151" s="501" t="s">
        <v>1813</v>
      </c>
      <c r="D1151" s="501">
        <v>477</v>
      </c>
      <c r="E1151" s="503">
        <v>72075.77</v>
      </c>
      <c r="F1151" s="503">
        <v>22776.25</v>
      </c>
      <c r="G1151" s="503">
        <v>-16916.82</v>
      </c>
    </row>
    <row r="1152" spans="2:7" x14ac:dyDescent="0.25">
      <c r="B1152" s="501"/>
      <c r="C1152" s="501"/>
      <c r="D1152" s="501"/>
      <c r="E1152" s="501"/>
      <c r="F1152" s="501"/>
      <c r="G1152" s="501"/>
    </row>
    <row r="1153" spans="2:7" x14ac:dyDescent="0.25">
      <c r="B1153" s="501"/>
      <c r="C1153" s="501" t="s">
        <v>1814</v>
      </c>
      <c r="D1153" s="503">
        <v>382177.27</v>
      </c>
      <c r="E1153" s="503">
        <v>3334436.54</v>
      </c>
      <c r="F1153" s="503">
        <v>380876.59</v>
      </c>
      <c r="G1153" s="503">
        <v>2903296.4</v>
      </c>
    </row>
    <row r="1154" spans="2:7" x14ac:dyDescent="0.25">
      <c r="B1154" s="501"/>
      <c r="C1154" s="501"/>
      <c r="D1154" s="501"/>
      <c r="E1154" s="501"/>
      <c r="F1154" s="501"/>
      <c r="G1154" s="501"/>
    </row>
    <row r="1155" spans="2:7" x14ac:dyDescent="0.25">
      <c r="B1155" s="501"/>
      <c r="C1155" s="501" t="s">
        <v>1842</v>
      </c>
      <c r="D1155" s="503">
        <v>8371107.21</v>
      </c>
      <c r="E1155" s="503">
        <v>86954239.810000002</v>
      </c>
      <c r="F1155" s="503">
        <v>4627246.88</v>
      </c>
      <c r="G1155" s="503">
        <v>80051055.420000002</v>
      </c>
    </row>
    <row r="1156" spans="2:7" x14ac:dyDescent="0.25">
      <c r="B1156" s="501"/>
      <c r="C1156" s="501"/>
      <c r="D1156" s="501"/>
      <c r="E1156" s="501"/>
      <c r="F1156" s="501"/>
      <c r="G1156" s="501"/>
    </row>
    <row r="1157" spans="2:7" x14ac:dyDescent="0.25">
      <c r="B1157" s="501"/>
      <c r="C1157" s="501"/>
      <c r="D1157" s="501"/>
      <c r="E1157" s="501"/>
      <c r="F1157" s="501"/>
      <c r="G1157" s="501"/>
    </row>
    <row r="1158" spans="2:7" x14ac:dyDescent="0.25">
      <c r="B1158" s="501"/>
      <c r="C1158" s="501" t="s">
        <v>1843</v>
      </c>
      <c r="D1158" s="503">
        <v>-6961422.0099999998</v>
      </c>
      <c r="E1158" s="503">
        <v>-70951828.280000001</v>
      </c>
      <c r="F1158" s="503">
        <v>-3753524.26</v>
      </c>
      <c r="G1158" s="503">
        <v>-63300795.57</v>
      </c>
    </row>
    <row r="1159" spans="2:7" x14ac:dyDescent="0.25">
      <c r="B1159" s="501"/>
      <c r="C1159" s="501"/>
      <c r="D1159" s="501"/>
      <c r="E1159" s="501"/>
      <c r="F1159" s="501"/>
      <c r="G1159" s="501"/>
    </row>
    <row r="1160" spans="2:7" x14ac:dyDescent="0.25">
      <c r="B1160" s="501" t="s">
        <v>1844</v>
      </c>
      <c r="C1160" s="501" t="s">
        <v>1845</v>
      </c>
      <c r="D1160" s="501"/>
      <c r="E1160" s="501"/>
      <c r="F1160" s="501"/>
      <c r="G1160" s="501"/>
    </row>
    <row r="1161" spans="2:7" x14ac:dyDescent="0.25">
      <c r="B1161" s="501" t="s">
        <v>1846</v>
      </c>
      <c r="C1161" s="501" t="s">
        <v>1847</v>
      </c>
      <c r="D1161" s="501">
        <v>0</v>
      </c>
      <c r="E1161" s="501">
        <v>0</v>
      </c>
      <c r="F1161" s="501">
        <v>169</v>
      </c>
      <c r="G1161" s="503">
        <v>2000.8</v>
      </c>
    </row>
    <row r="1162" spans="2:7" x14ac:dyDescent="0.25">
      <c r="B1162" s="501" t="s">
        <v>1854</v>
      </c>
      <c r="C1162" s="501" t="s">
        <v>1855</v>
      </c>
      <c r="D1162" s="503">
        <v>1002.62</v>
      </c>
      <c r="E1162" s="503">
        <v>4947.71</v>
      </c>
      <c r="F1162" s="501">
        <v>0</v>
      </c>
      <c r="G1162" s="503">
        <v>3852</v>
      </c>
    </row>
    <row r="1163" spans="2:7" x14ac:dyDescent="0.25">
      <c r="B1163" s="501"/>
      <c r="C1163" s="501"/>
      <c r="D1163" s="501"/>
      <c r="E1163" s="501"/>
      <c r="F1163" s="501"/>
      <c r="G1163" s="501"/>
    </row>
    <row r="1164" spans="2:7" x14ac:dyDescent="0.25">
      <c r="B1164" s="501"/>
      <c r="C1164" s="501" t="s">
        <v>1887</v>
      </c>
      <c r="D1164" s="503">
        <v>1002.62</v>
      </c>
      <c r="E1164" s="503">
        <v>4947.71</v>
      </c>
      <c r="F1164" s="501">
        <v>169</v>
      </c>
      <c r="G1164" s="503">
        <v>5852.8</v>
      </c>
    </row>
    <row r="1165" spans="2:7" x14ac:dyDescent="0.25">
      <c r="B1165" s="501"/>
      <c r="C1165" s="501"/>
      <c r="D1165" s="501"/>
      <c r="E1165" s="501"/>
      <c r="F1165" s="501"/>
      <c r="G1165" s="501"/>
    </row>
    <row r="1166" spans="2:7" x14ac:dyDescent="0.25">
      <c r="B1166" s="501"/>
      <c r="C1166" s="501" t="s">
        <v>1893</v>
      </c>
      <c r="D1166" s="503">
        <v>1002.62</v>
      </c>
      <c r="E1166" s="503">
        <v>4947.71</v>
      </c>
      <c r="F1166" s="501">
        <v>169</v>
      </c>
      <c r="G1166" s="503">
        <v>5852.8</v>
      </c>
    </row>
    <row r="1167" spans="2:7" x14ac:dyDescent="0.25">
      <c r="B1167" s="501"/>
      <c r="C1167" s="501"/>
      <c r="D1167" s="501"/>
      <c r="E1167" s="501"/>
      <c r="F1167" s="501"/>
      <c r="G1167" s="501"/>
    </row>
    <row r="1168" spans="2:7" x14ac:dyDescent="0.25">
      <c r="B1168" s="501"/>
      <c r="C1168" s="501"/>
      <c r="D1168" s="501"/>
      <c r="E1168" s="501"/>
      <c r="F1168" s="501"/>
      <c r="G1168" s="501"/>
    </row>
    <row r="1169" spans="2:7" x14ac:dyDescent="0.25">
      <c r="B1169" s="501"/>
      <c r="C1169" s="501"/>
      <c r="D1169" s="501"/>
      <c r="E1169" s="501"/>
      <c r="F1169" s="501"/>
      <c r="G1169" s="501"/>
    </row>
    <row r="1170" spans="2:7" x14ac:dyDescent="0.25">
      <c r="B1170" s="501" t="s">
        <v>1240</v>
      </c>
      <c r="C1170" s="501" t="s">
        <v>1241</v>
      </c>
      <c r="D1170" s="501" t="s">
        <v>1242</v>
      </c>
      <c r="E1170" s="501" t="s">
        <v>1243</v>
      </c>
      <c r="F1170" s="501"/>
      <c r="G1170" s="501" t="s">
        <v>1934</v>
      </c>
    </row>
    <row r="1171" spans="2:7" x14ac:dyDescent="0.25">
      <c r="B1171" s="501" t="s">
        <v>1245</v>
      </c>
      <c r="C1171" s="501" t="s">
        <v>1246</v>
      </c>
      <c r="D1171" s="501" t="s">
        <v>1247</v>
      </c>
      <c r="E1171" s="501"/>
      <c r="F1171" s="501"/>
      <c r="G1171" s="501"/>
    </row>
    <row r="1172" spans="2:7" x14ac:dyDescent="0.25">
      <c r="B1172" s="501"/>
      <c r="C1172" s="501" t="s">
        <v>1248</v>
      </c>
      <c r="D1172" s="501" t="s">
        <v>1249</v>
      </c>
      <c r="E1172" s="501" t="s">
        <v>1250</v>
      </c>
      <c r="F1172" s="501" t="s">
        <v>1251</v>
      </c>
      <c r="G1172" s="501">
        <v>9</v>
      </c>
    </row>
    <row r="1173" spans="2:7" x14ac:dyDescent="0.25">
      <c r="B1173" s="501"/>
      <c r="C1173" s="501"/>
      <c r="D1173" s="501"/>
      <c r="E1173" s="501"/>
      <c r="F1173" s="501"/>
      <c r="G1173" s="501"/>
    </row>
    <row r="1174" spans="2:7" x14ac:dyDescent="0.25">
      <c r="B1174" s="504">
        <v>43467</v>
      </c>
      <c r="C1174" s="501">
        <v>102</v>
      </c>
      <c r="D1174" s="501" t="s">
        <v>1931</v>
      </c>
      <c r="E1174" s="501" t="s">
        <v>1932</v>
      </c>
      <c r="F1174" s="501"/>
      <c r="G1174" s="501" t="s">
        <v>1254</v>
      </c>
    </row>
    <row r="1175" spans="2:7" x14ac:dyDescent="0.25">
      <c r="B1175" s="501"/>
      <c r="C1175" s="501"/>
      <c r="D1175" s="501"/>
      <c r="E1175" s="501"/>
      <c r="F1175" s="501"/>
      <c r="G1175" s="501"/>
    </row>
    <row r="1176" spans="2:7" x14ac:dyDescent="0.25">
      <c r="B1176" s="501" t="s">
        <v>1255</v>
      </c>
      <c r="C1176" s="501" t="s">
        <v>1256</v>
      </c>
      <c r="D1176" s="501" t="s">
        <v>1257</v>
      </c>
      <c r="E1176" s="501" t="s">
        <v>1258</v>
      </c>
      <c r="F1176" s="501" t="s">
        <v>1259</v>
      </c>
      <c r="G1176" s="501" t="s">
        <v>1260</v>
      </c>
    </row>
    <row r="1177" spans="2:7" x14ac:dyDescent="0.25">
      <c r="B1177" s="501"/>
      <c r="C1177" s="501"/>
      <c r="D1177" s="501"/>
      <c r="E1177" s="501"/>
      <c r="F1177" s="501"/>
      <c r="G1177" s="501"/>
    </row>
    <row r="1178" spans="2:7" x14ac:dyDescent="0.25">
      <c r="B1178" s="501"/>
      <c r="C1178" s="501"/>
      <c r="D1178" s="501"/>
      <c r="E1178" s="501"/>
      <c r="F1178" s="501"/>
      <c r="G1178" s="501"/>
    </row>
    <row r="1179" spans="2:7" x14ac:dyDescent="0.25">
      <c r="B1179" s="501"/>
      <c r="C1179" s="501" t="s">
        <v>1916</v>
      </c>
      <c r="D1179" s="503">
        <v>-6960419.3899999997</v>
      </c>
      <c r="E1179" s="503">
        <v>-70946880.569999993</v>
      </c>
      <c r="F1179" s="503">
        <v>-3753355.26</v>
      </c>
      <c r="G1179" s="503">
        <v>-63294942.770000003</v>
      </c>
    </row>
    <row r="1180" spans="2:7" x14ac:dyDescent="0.25">
      <c r="B1180" s="501"/>
      <c r="C1180" s="501" t="s">
        <v>1917</v>
      </c>
      <c r="D1180" s="501" t="s">
        <v>1918</v>
      </c>
      <c r="E1180" s="501" t="s">
        <v>1919</v>
      </c>
      <c r="F1180" s="501" t="s">
        <v>1919</v>
      </c>
      <c r="G1180" s="501" t="s">
        <v>1919</v>
      </c>
    </row>
    <row r="1181" spans="2:7" x14ac:dyDescent="0.25">
      <c r="B1181" s="501"/>
      <c r="C1181" s="501"/>
      <c r="D1181" s="501"/>
      <c r="E1181" s="501"/>
      <c r="F1181" s="501"/>
      <c r="G1181" s="501"/>
    </row>
    <row r="1182" spans="2:7" x14ac:dyDescent="0.25">
      <c r="B1182" s="501"/>
      <c r="C1182" s="501"/>
      <c r="D1182" s="501"/>
      <c r="E1182" s="501"/>
      <c r="F1182" s="501"/>
      <c r="G1182" s="501"/>
    </row>
    <row r="1183" spans="2:7" x14ac:dyDescent="0.25">
      <c r="B1183" s="501" t="s">
        <v>1240</v>
      </c>
      <c r="C1183" s="501" t="s">
        <v>1241</v>
      </c>
      <c r="D1183" s="501" t="s">
        <v>1242</v>
      </c>
      <c r="E1183" s="501" t="s">
        <v>1243</v>
      </c>
      <c r="F1183" s="501"/>
      <c r="G1183" s="501" t="s">
        <v>1935</v>
      </c>
    </row>
    <row r="1184" spans="2:7" x14ac:dyDescent="0.25">
      <c r="B1184" s="501" t="s">
        <v>1245</v>
      </c>
      <c r="C1184" s="501" t="s">
        <v>1246</v>
      </c>
      <c r="D1184" s="501" t="s">
        <v>1247</v>
      </c>
      <c r="E1184" s="501"/>
      <c r="F1184" s="501"/>
      <c r="G1184" s="501"/>
    </row>
    <row r="1185" spans="2:7" x14ac:dyDescent="0.25">
      <c r="B1185" s="501"/>
      <c r="C1185" s="501" t="s">
        <v>1248</v>
      </c>
      <c r="D1185" s="501" t="s">
        <v>1249</v>
      </c>
      <c r="E1185" s="501" t="s">
        <v>1250</v>
      </c>
      <c r="F1185" s="501" t="s">
        <v>1251</v>
      </c>
      <c r="G1185" s="501">
        <v>9</v>
      </c>
    </row>
    <row r="1186" spans="2:7" x14ac:dyDescent="0.25">
      <c r="B1186" s="501"/>
      <c r="C1186" s="501"/>
      <c r="D1186" s="501"/>
      <c r="E1186" s="501"/>
      <c r="F1186" s="501"/>
      <c r="G1186" s="501"/>
    </row>
    <row r="1187" spans="2:7" x14ac:dyDescent="0.25">
      <c r="B1187" s="504">
        <v>43468</v>
      </c>
      <c r="C1187" s="501">
        <v>103</v>
      </c>
      <c r="D1187" s="501" t="s">
        <v>1936</v>
      </c>
      <c r="E1187" s="501" t="s">
        <v>1922</v>
      </c>
      <c r="F1187" s="501"/>
      <c r="G1187" s="501" t="s">
        <v>1254</v>
      </c>
    </row>
    <row r="1188" spans="2:7" x14ac:dyDescent="0.25">
      <c r="B1188" s="501"/>
      <c r="C1188" s="501"/>
      <c r="D1188" s="501"/>
      <c r="E1188" s="501"/>
      <c r="F1188" s="501"/>
      <c r="G1188" s="501"/>
    </row>
    <row r="1189" spans="2:7" x14ac:dyDescent="0.25">
      <c r="B1189" s="501" t="s">
        <v>1255</v>
      </c>
      <c r="C1189" s="501" t="s">
        <v>1256</v>
      </c>
      <c r="D1189" s="501" t="s">
        <v>1257</v>
      </c>
      <c r="E1189" s="501" t="s">
        <v>1258</v>
      </c>
      <c r="F1189" s="501" t="s">
        <v>1259</v>
      </c>
      <c r="G1189" s="501" t="s">
        <v>1260</v>
      </c>
    </row>
    <row r="1190" spans="2:7" x14ac:dyDescent="0.25">
      <c r="B1190" s="501"/>
      <c r="C1190" s="501"/>
      <c r="D1190" s="501"/>
      <c r="E1190" s="501"/>
      <c r="F1190" s="501"/>
      <c r="G1190" s="501"/>
    </row>
    <row r="1191" spans="2:7" x14ac:dyDescent="0.25">
      <c r="B1191" s="501"/>
      <c r="C1191" s="501"/>
      <c r="D1191" s="501"/>
      <c r="E1191" s="501"/>
      <c r="F1191" s="501"/>
      <c r="G1191" s="501"/>
    </row>
    <row r="1192" spans="2:7" x14ac:dyDescent="0.25">
      <c r="B1192" s="501" t="s">
        <v>1383</v>
      </c>
      <c r="C1192" s="501" t="s">
        <v>1384</v>
      </c>
      <c r="D1192" s="501"/>
      <c r="E1192" s="501"/>
      <c r="F1192" s="501"/>
      <c r="G1192" s="501"/>
    </row>
    <row r="1193" spans="2:7" x14ac:dyDescent="0.25">
      <c r="B1193" s="501" t="s">
        <v>1385</v>
      </c>
      <c r="C1193" s="501" t="s">
        <v>1386</v>
      </c>
      <c r="D1193" s="501">
        <v>0</v>
      </c>
      <c r="E1193" s="501">
        <v>0</v>
      </c>
      <c r="F1193" s="501">
        <v>0</v>
      </c>
      <c r="G1193" s="503">
        <v>-117266.48</v>
      </c>
    </row>
    <row r="1194" spans="2:7" x14ac:dyDescent="0.25">
      <c r="B1194" s="501" t="s">
        <v>1387</v>
      </c>
      <c r="C1194" s="501" t="s">
        <v>1388</v>
      </c>
      <c r="D1194" s="503">
        <v>128188.6</v>
      </c>
      <c r="E1194" s="503">
        <v>820194.67</v>
      </c>
      <c r="F1194" s="503">
        <v>96141.74</v>
      </c>
      <c r="G1194" s="503">
        <v>761626.57</v>
      </c>
    </row>
    <row r="1195" spans="2:7" x14ac:dyDescent="0.25">
      <c r="B1195" s="501" t="s">
        <v>1389</v>
      </c>
      <c r="C1195" s="501" t="s">
        <v>1388</v>
      </c>
      <c r="D1195" s="501">
        <v>0</v>
      </c>
      <c r="E1195" s="503">
        <v>-1950.65</v>
      </c>
      <c r="F1195" s="501">
        <v>0</v>
      </c>
      <c r="G1195" s="501">
        <v>0</v>
      </c>
    </row>
    <row r="1196" spans="2:7" x14ac:dyDescent="0.25">
      <c r="B1196" s="501" t="s">
        <v>1390</v>
      </c>
      <c r="C1196" s="501" t="s">
        <v>1391</v>
      </c>
      <c r="D1196" s="503">
        <v>88177.67</v>
      </c>
      <c r="E1196" s="503">
        <v>790127.48</v>
      </c>
      <c r="F1196" s="503">
        <v>56956.3</v>
      </c>
      <c r="G1196" s="503">
        <v>530630.61</v>
      </c>
    </row>
    <row r="1197" spans="2:7" x14ac:dyDescent="0.25">
      <c r="B1197" s="501" t="s">
        <v>1392</v>
      </c>
      <c r="C1197" s="501" t="s">
        <v>1391</v>
      </c>
      <c r="D1197" s="503">
        <v>1687</v>
      </c>
      <c r="E1197" s="503">
        <v>604187</v>
      </c>
      <c r="F1197" s="501">
        <v>0</v>
      </c>
      <c r="G1197" s="501">
        <v>0</v>
      </c>
    </row>
    <row r="1198" spans="2:7" x14ac:dyDescent="0.25">
      <c r="B1198" s="501" t="s">
        <v>1403</v>
      </c>
      <c r="C1198" s="501" t="s">
        <v>1404</v>
      </c>
      <c r="D1198" s="503">
        <v>1397769.06</v>
      </c>
      <c r="E1198" s="503">
        <v>3197769.06</v>
      </c>
      <c r="F1198" s="503">
        <v>132685.19</v>
      </c>
      <c r="G1198" s="503">
        <v>1232685.19</v>
      </c>
    </row>
    <row r="1199" spans="2:7" x14ac:dyDescent="0.25">
      <c r="B1199" s="501" t="s">
        <v>1412</v>
      </c>
      <c r="C1199" s="501" t="s">
        <v>1413</v>
      </c>
      <c r="D1199" s="501">
        <v>0</v>
      </c>
      <c r="E1199" s="501">
        <v>0</v>
      </c>
      <c r="F1199" s="501">
        <v>0</v>
      </c>
      <c r="G1199" s="503">
        <v>50000</v>
      </c>
    </row>
    <row r="1200" spans="2:7" x14ac:dyDescent="0.25">
      <c r="B1200" s="501" t="s">
        <v>1422</v>
      </c>
      <c r="C1200" s="501" t="s">
        <v>1423</v>
      </c>
      <c r="D1200" s="501">
        <v>0</v>
      </c>
      <c r="E1200" s="503">
        <v>24734.17</v>
      </c>
      <c r="F1200" s="501">
        <v>0</v>
      </c>
      <c r="G1200" s="501">
        <v>0</v>
      </c>
    </row>
    <row r="1201" spans="2:7" x14ac:dyDescent="0.25">
      <c r="B1201" s="501" t="s">
        <v>1424</v>
      </c>
      <c r="C1201" s="501" t="s">
        <v>1425</v>
      </c>
      <c r="D1201" s="503">
        <v>758699.05</v>
      </c>
      <c r="E1201" s="503">
        <v>13389847.689999999</v>
      </c>
      <c r="F1201" s="503">
        <v>776430.48</v>
      </c>
      <c r="G1201" s="503">
        <v>10299185.65</v>
      </c>
    </row>
    <row r="1202" spans="2:7" x14ac:dyDescent="0.25">
      <c r="B1202" s="501" t="s">
        <v>1428</v>
      </c>
      <c r="C1202" s="501" t="s">
        <v>1429</v>
      </c>
      <c r="D1202" s="503">
        <v>51671.48</v>
      </c>
      <c r="E1202" s="503">
        <v>386507.48</v>
      </c>
      <c r="F1202" s="503">
        <v>71653.75</v>
      </c>
      <c r="G1202" s="503">
        <v>384713.75</v>
      </c>
    </row>
    <row r="1203" spans="2:7" x14ac:dyDescent="0.25">
      <c r="B1203" s="501" t="s">
        <v>1434</v>
      </c>
      <c r="C1203" s="501" t="s">
        <v>1433</v>
      </c>
      <c r="D1203" s="503">
        <v>1656.02</v>
      </c>
      <c r="E1203" s="503">
        <v>27528.79</v>
      </c>
      <c r="F1203" s="501">
        <v>0</v>
      </c>
      <c r="G1203" s="501">
        <v>0</v>
      </c>
    </row>
    <row r="1204" spans="2:7" x14ac:dyDescent="0.25">
      <c r="B1204" s="501" t="s">
        <v>1437</v>
      </c>
      <c r="C1204" s="501" t="s">
        <v>1438</v>
      </c>
      <c r="D1204" s="501">
        <v>0</v>
      </c>
      <c r="E1204" s="503">
        <v>72000</v>
      </c>
      <c r="F1204" s="503">
        <v>12280.72</v>
      </c>
      <c r="G1204" s="503">
        <v>1482923.09</v>
      </c>
    </row>
    <row r="1205" spans="2:7" x14ac:dyDescent="0.25">
      <c r="B1205" s="501" t="s">
        <v>1441</v>
      </c>
      <c r="C1205" s="501" t="s">
        <v>1442</v>
      </c>
      <c r="D1205" s="501">
        <v>0</v>
      </c>
      <c r="E1205" s="501">
        <v>0</v>
      </c>
      <c r="F1205" s="503">
        <v>-16691</v>
      </c>
      <c r="G1205" s="503">
        <v>1448065.93</v>
      </c>
    </row>
    <row r="1206" spans="2:7" x14ac:dyDescent="0.25">
      <c r="B1206" s="501" t="s">
        <v>1447</v>
      </c>
      <c r="C1206" s="501" t="s">
        <v>1448</v>
      </c>
      <c r="D1206" s="501">
        <v>0</v>
      </c>
      <c r="E1206" s="501">
        <v>0</v>
      </c>
      <c r="F1206" s="501">
        <v>0</v>
      </c>
      <c r="G1206" s="501">
        <v>-2.3199999999999998</v>
      </c>
    </row>
    <row r="1207" spans="2:7" x14ac:dyDescent="0.25">
      <c r="B1207" s="501" t="s">
        <v>1451</v>
      </c>
      <c r="C1207" s="501" t="s">
        <v>1450</v>
      </c>
      <c r="D1207" s="503">
        <v>3674801.43</v>
      </c>
      <c r="E1207" s="503">
        <v>7990559.9500000002</v>
      </c>
      <c r="F1207" s="501">
        <v>0</v>
      </c>
      <c r="G1207" s="501">
        <v>0</v>
      </c>
    </row>
    <row r="1208" spans="2:7" x14ac:dyDescent="0.25">
      <c r="B1208" s="501" t="s">
        <v>1454</v>
      </c>
      <c r="C1208" s="501" t="s">
        <v>1453</v>
      </c>
      <c r="D1208" s="503">
        <v>-3675435.71</v>
      </c>
      <c r="E1208" s="503">
        <v>-7704946.9199999999</v>
      </c>
      <c r="F1208" s="501">
        <v>0</v>
      </c>
      <c r="G1208" s="501">
        <v>0</v>
      </c>
    </row>
    <row r="1209" spans="2:7" x14ac:dyDescent="0.25">
      <c r="B1209" s="501" t="s">
        <v>1455</v>
      </c>
      <c r="C1209" s="501" t="s">
        <v>1456</v>
      </c>
      <c r="D1209" s="501">
        <v>0</v>
      </c>
      <c r="E1209" s="503">
        <v>-65465.01</v>
      </c>
      <c r="F1209" s="501">
        <v>0</v>
      </c>
      <c r="G1209" s="501">
        <v>0</v>
      </c>
    </row>
    <row r="1210" spans="2:7" x14ac:dyDescent="0.25">
      <c r="B1210" s="501"/>
      <c r="C1210" s="501"/>
      <c r="D1210" s="501"/>
      <c r="E1210" s="501"/>
      <c r="F1210" s="501"/>
      <c r="G1210" s="501"/>
    </row>
    <row r="1211" spans="2:7" x14ac:dyDescent="0.25">
      <c r="B1211" s="501"/>
      <c r="C1211" s="501" t="s">
        <v>1457</v>
      </c>
      <c r="D1211" s="503">
        <v>2427214.6</v>
      </c>
      <c r="E1211" s="503">
        <v>19531093.710000001</v>
      </c>
      <c r="F1211" s="503">
        <v>1129457.18</v>
      </c>
      <c r="G1211" s="503">
        <v>16072561.99</v>
      </c>
    </row>
    <row r="1212" spans="2:7" x14ac:dyDescent="0.25">
      <c r="B1212" s="501" t="s">
        <v>1476</v>
      </c>
      <c r="C1212" s="501" t="s">
        <v>1477</v>
      </c>
      <c r="D1212" s="501">
        <v>0</v>
      </c>
      <c r="E1212" s="501">
        <v>0</v>
      </c>
      <c r="F1212" s="503">
        <v>-126874</v>
      </c>
      <c r="G1212" s="503">
        <v>49918.5</v>
      </c>
    </row>
    <row r="1213" spans="2:7" x14ac:dyDescent="0.25">
      <c r="B1213" s="501"/>
      <c r="C1213" s="501"/>
      <c r="D1213" s="501"/>
      <c r="E1213" s="501"/>
      <c r="F1213" s="501"/>
      <c r="G1213" s="501"/>
    </row>
    <row r="1214" spans="2:7" x14ac:dyDescent="0.25">
      <c r="B1214" s="501"/>
      <c r="C1214" s="501" t="s">
        <v>1485</v>
      </c>
      <c r="D1214" s="501">
        <v>0</v>
      </c>
      <c r="E1214" s="501">
        <v>0</v>
      </c>
      <c r="F1214" s="503">
        <v>-126874</v>
      </c>
      <c r="G1214" s="503">
        <v>49918.5</v>
      </c>
    </row>
    <row r="1215" spans="2:7" x14ac:dyDescent="0.25">
      <c r="B1215" s="501" t="s">
        <v>1497</v>
      </c>
      <c r="C1215" s="501" t="s">
        <v>1498</v>
      </c>
      <c r="D1215" s="501">
        <v>0</v>
      </c>
      <c r="E1215" s="501">
        <v>0</v>
      </c>
      <c r="F1215" s="503">
        <v>2200</v>
      </c>
      <c r="G1215" s="503">
        <v>2196</v>
      </c>
    </row>
    <row r="1216" spans="2:7" x14ac:dyDescent="0.25">
      <c r="B1216" s="501"/>
      <c r="C1216" s="501"/>
      <c r="D1216" s="501"/>
      <c r="E1216" s="501"/>
      <c r="F1216" s="501"/>
      <c r="G1216" s="501"/>
    </row>
    <row r="1217" spans="2:7" x14ac:dyDescent="0.25">
      <c r="B1217" s="501"/>
      <c r="C1217" s="501" t="s">
        <v>1507</v>
      </c>
      <c r="D1217" s="501">
        <v>0</v>
      </c>
      <c r="E1217" s="501">
        <v>0</v>
      </c>
      <c r="F1217" s="503">
        <v>2200</v>
      </c>
      <c r="G1217" s="503">
        <v>2196</v>
      </c>
    </row>
    <row r="1218" spans="2:7" x14ac:dyDescent="0.25">
      <c r="B1218" s="501"/>
      <c r="C1218" s="501" t="s">
        <v>1515</v>
      </c>
      <c r="D1218" s="503">
        <v>2427214.6</v>
      </c>
      <c r="E1218" s="503">
        <v>19531093.710000001</v>
      </c>
      <c r="F1218" s="503">
        <v>1004783.18</v>
      </c>
      <c r="G1218" s="503">
        <v>16124676.49</v>
      </c>
    </row>
    <row r="1219" spans="2:7" x14ac:dyDescent="0.25">
      <c r="B1219" s="501"/>
      <c r="C1219" s="501"/>
      <c r="D1219" s="501"/>
      <c r="E1219" s="501"/>
      <c r="F1219" s="501"/>
      <c r="G1219" s="501"/>
    </row>
    <row r="1220" spans="2:7" x14ac:dyDescent="0.25">
      <c r="B1220" s="501"/>
      <c r="C1220" s="501"/>
      <c r="D1220" s="501"/>
      <c r="E1220" s="501"/>
      <c r="F1220" s="501"/>
      <c r="G1220" s="501"/>
    </row>
    <row r="1221" spans="2:7" x14ac:dyDescent="0.25">
      <c r="B1221" s="501"/>
      <c r="C1221" s="501" t="s">
        <v>1516</v>
      </c>
      <c r="D1221" s="503">
        <v>2427214.6</v>
      </c>
      <c r="E1221" s="503">
        <v>19531093.710000001</v>
      </c>
      <c r="F1221" s="503">
        <v>1004783.18</v>
      </c>
      <c r="G1221" s="503">
        <v>16124676.49</v>
      </c>
    </row>
    <row r="1222" spans="2:7" x14ac:dyDescent="0.25">
      <c r="B1222" s="501"/>
      <c r="C1222" s="501"/>
      <c r="D1222" s="501"/>
      <c r="E1222" s="501"/>
      <c r="F1222" s="501"/>
      <c r="G1222" s="501"/>
    </row>
    <row r="1223" spans="2:7" x14ac:dyDescent="0.25">
      <c r="B1223" s="501" t="s">
        <v>1517</v>
      </c>
      <c r="C1223" s="501" t="s">
        <v>1518</v>
      </c>
      <c r="D1223" s="501"/>
      <c r="E1223" s="501"/>
      <c r="F1223" s="501"/>
      <c r="G1223" s="501"/>
    </row>
    <row r="1224" spans="2:7" x14ac:dyDescent="0.25">
      <c r="B1224" s="501" t="s">
        <v>1519</v>
      </c>
      <c r="C1224" s="501" t="s">
        <v>473</v>
      </c>
      <c r="D1224" s="503">
        <v>170864.48</v>
      </c>
      <c r="E1224" s="503">
        <v>2515414.34</v>
      </c>
      <c r="F1224" s="503">
        <v>567325.26</v>
      </c>
      <c r="G1224" s="503">
        <v>1913798.98</v>
      </c>
    </row>
    <row r="1225" spans="2:7" x14ac:dyDescent="0.25">
      <c r="B1225" s="501" t="s">
        <v>1522</v>
      </c>
      <c r="C1225" s="501" t="s">
        <v>1523</v>
      </c>
      <c r="D1225" s="503">
        <v>666922.03</v>
      </c>
      <c r="E1225" s="503">
        <v>8424849.8300000001</v>
      </c>
      <c r="F1225" s="503">
        <v>1156734.29</v>
      </c>
      <c r="G1225" s="503">
        <v>7797529.5700000003</v>
      </c>
    </row>
    <row r="1226" spans="2:7" x14ac:dyDescent="0.25">
      <c r="B1226" s="501" t="s">
        <v>1524</v>
      </c>
      <c r="C1226" s="501" t="s">
        <v>1525</v>
      </c>
      <c r="D1226" s="503">
        <v>1497864.67</v>
      </c>
      <c r="E1226" s="503">
        <v>17437426.34</v>
      </c>
      <c r="F1226" s="503">
        <v>1282786.45</v>
      </c>
      <c r="G1226" s="503">
        <v>12169108.07</v>
      </c>
    </row>
    <row r="1227" spans="2:7" x14ac:dyDescent="0.25">
      <c r="B1227" s="501" t="s">
        <v>1526</v>
      </c>
      <c r="C1227" s="501" t="s">
        <v>1527</v>
      </c>
      <c r="D1227" s="503">
        <v>293043.37</v>
      </c>
      <c r="E1227" s="503">
        <v>3294302.15</v>
      </c>
      <c r="F1227" s="503">
        <v>236862.22</v>
      </c>
      <c r="G1227" s="503">
        <v>2362961.0499999998</v>
      </c>
    </row>
    <row r="1228" spans="2:7" x14ac:dyDescent="0.25">
      <c r="B1228" s="501" t="s">
        <v>1528</v>
      </c>
      <c r="C1228" s="501" t="s">
        <v>1529</v>
      </c>
      <c r="D1228" s="503">
        <v>28971.759999999998</v>
      </c>
      <c r="E1228" s="503">
        <v>303863.81</v>
      </c>
      <c r="F1228" s="501">
        <v>82.12</v>
      </c>
      <c r="G1228" s="503">
        <v>123706.27</v>
      </c>
    </row>
    <row r="1229" spans="2:7" x14ac:dyDescent="0.25">
      <c r="B1229" s="501" t="s">
        <v>1532</v>
      </c>
      <c r="C1229" s="501" t="s">
        <v>1533</v>
      </c>
      <c r="D1229" s="503">
        <v>181135.35999999999</v>
      </c>
      <c r="E1229" s="503">
        <v>1861162.57</v>
      </c>
      <c r="F1229" s="503">
        <v>113030.02</v>
      </c>
      <c r="G1229" s="503">
        <v>1295403.76</v>
      </c>
    </row>
    <row r="1230" spans="2:7" x14ac:dyDescent="0.25">
      <c r="B1230" s="501" t="s">
        <v>1536</v>
      </c>
      <c r="C1230" s="501" t="s">
        <v>1537</v>
      </c>
      <c r="D1230" s="503">
        <v>87732.97</v>
      </c>
      <c r="E1230" s="503">
        <v>554123.43000000005</v>
      </c>
      <c r="F1230" s="503">
        <v>5033.53</v>
      </c>
      <c r="G1230" s="503">
        <v>48011.93</v>
      </c>
    </row>
    <row r="1231" spans="2:7" x14ac:dyDescent="0.25">
      <c r="B1231" s="501"/>
      <c r="C1231" s="501"/>
      <c r="D1231" s="501"/>
      <c r="E1231" s="501"/>
      <c r="F1231" s="501"/>
      <c r="G1231" s="501"/>
    </row>
    <row r="1232" spans="2:7" x14ac:dyDescent="0.25">
      <c r="B1232" s="501"/>
      <c r="C1232" s="501" t="s">
        <v>1538</v>
      </c>
      <c r="D1232" s="503">
        <v>2926534.64</v>
      </c>
      <c r="E1232" s="503">
        <v>34391142.469999999</v>
      </c>
      <c r="F1232" s="503">
        <v>3361853.89</v>
      </c>
      <c r="G1232" s="503">
        <v>25710519.629999999</v>
      </c>
    </row>
    <row r="1233" spans="2:7" x14ac:dyDescent="0.25">
      <c r="B1233" s="501" t="s">
        <v>1539</v>
      </c>
      <c r="C1233" s="501" t="s">
        <v>3</v>
      </c>
      <c r="D1233" s="503">
        <v>837298</v>
      </c>
      <c r="E1233" s="503">
        <v>10457527.279999999</v>
      </c>
      <c r="F1233" s="503">
        <v>972594.83</v>
      </c>
      <c r="G1233" s="503">
        <v>7454189.8700000001</v>
      </c>
    </row>
    <row r="1234" spans="2:7" x14ac:dyDescent="0.25">
      <c r="B1234" s="501" t="s">
        <v>1577</v>
      </c>
      <c r="C1234" s="501" t="s">
        <v>1578</v>
      </c>
      <c r="D1234" s="503">
        <v>1846.84</v>
      </c>
      <c r="E1234" s="503">
        <v>32259.119999999999</v>
      </c>
      <c r="F1234" s="503">
        <v>1339.75</v>
      </c>
      <c r="G1234" s="503">
        <v>16024.83</v>
      </c>
    </row>
    <row r="1235" spans="2:7" x14ac:dyDescent="0.25">
      <c r="B1235" s="501"/>
      <c r="C1235" s="501"/>
      <c r="D1235" s="501"/>
      <c r="E1235" s="501"/>
      <c r="F1235" s="501"/>
      <c r="G1235" s="501"/>
    </row>
    <row r="1236" spans="2:7" x14ac:dyDescent="0.25">
      <c r="B1236" s="501"/>
      <c r="C1236" s="501" t="s">
        <v>1579</v>
      </c>
      <c r="D1236" s="503">
        <v>839144.84</v>
      </c>
      <c r="E1236" s="503">
        <v>10489786.4</v>
      </c>
      <c r="F1236" s="503">
        <v>973934.58</v>
      </c>
      <c r="G1236" s="503">
        <v>7470214.7000000002</v>
      </c>
    </row>
    <row r="1237" spans="2:7" x14ac:dyDescent="0.25">
      <c r="B1237" s="501" t="s">
        <v>1580</v>
      </c>
      <c r="C1237" s="501" t="s">
        <v>1581</v>
      </c>
      <c r="D1237" s="503">
        <v>20672.02</v>
      </c>
      <c r="E1237" s="503">
        <v>100501.44</v>
      </c>
      <c r="F1237" s="501">
        <v>0</v>
      </c>
      <c r="G1237" s="503">
        <v>220816.36</v>
      </c>
    </row>
    <row r="1238" spans="2:7" x14ac:dyDescent="0.25">
      <c r="B1238" s="501"/>
      <c r="C1238" s="501"/>
      <c r="D1238" s="501"/>
      <c r="E1238" s="501"/>
      <c r="F1238" s="501"/>
      <c r="G1238" s="501"/>
    </row>
    <row r="1239" spans="2:7" x14ac:dyDescent="0.25">
      <c r="B1239" s="501"/>
      <c r="C1239" s="501" t="s">
        <v>1582</v>
      </c>
      <c r="D1239" s="503">
        <v>20672.02</v>
      </c>
      <c r="E1239" s="503">
        <v>100501.44</v>
      </c>
      <c r="F1239" s="501">
        <v>0</v>
      </c>
      <c r="G1239" s="503">
        <v>220816.36</v>
      </c>
    </row>
    <row r="1240" spans="2:7" x14ac:dyDescent="0.25">
      <c r="B1240" s="501" t="s">
        <v>1585</v>
      </c>
      <c r="C1240" s="501" t="s">
        <v>1586</v>
      </c>
      <c r="D1240" s="503">
        <v>57633.33</v>
      </c>
      <c r="E1240" s="503">
        <v>586213.37</v>
      </c>
      <c r="F1240" s="503">
        <v>65532.61</v>
      </c>
      <c r="G1240" s="503">
        <v>535393.04</v>
      </c>
    </row>
    <row r="1241" spans="2:7" x14ac:dyDescent="0.25">
      <c r="B1241" s="501" t="s">
        <v>1595</v>
      </c>
      <c r="C1241" s="501" t="s">
        <v>1596</v>
      </c>
      <c r="D1241" s="503">
        <v>1539.55</v>
      </c>
      <c r="E1241" s="503">
        <v>5199.49</v>
      </c>
      <c r="F1241" s="501">
        <v>254.61</v>
      </c>
      <c r="G1241" s="503">
        <v>11060.49</v>
      </c>
    </row>
    <row r="1242" spans="2:7" x14ac:dyDescent="0.25">
      <c r="B1242" s="501" t="s">
        <v>1597</v>
      </c>
      <c r="C1242" s="501" t="s">
        <v>1598</v>
      </c>
      <c r="D1242" s="503">
        <v>1023.91</v>
      </c>
      <c r="E1242" s="503">
        <v>10486.22</v>
      </c>
      <c r="F1242" s="501">
        <v>148.25</v>
      </c>
      <c r="G1242" s="503">
        <v>3353.94</v>
      </c>
    </row>
    <row r="1243" spans="2:7" x14ac:dyDescent="0.25">
      <c r="B1243" s="501"/>
      <c r="C1243" s="501"/>
      <c r="D1243" s="501"/>
      <c r="E1243" s="501"/>
      <c r="F1243" s="501"/>
      <c r="G1243" s="501"/>
    </row>
    <row r="1244" spans="2:7" x14ac:dyDescent="0.25">
      <c r="B1244" s="501"/>
      <c r="C1244" s="501"/>
      <c r="D1244" s="501"/>
      <c r="E1244" s="501"/>
      <c r="F1244" s="501"/>
      <c r="G1244" s="501"/>
    </row>
    <row r="1245" spans="2:7" x14ac:dyDescent="0.25">
      <c r="B1245" s="501" t="s">
        <v>1240</v>
      </c>
      <c r="C1245" s="501" t="s">
        <v>1241</v>
      </c>
      <c r="D1245" s="501" t="s">
        <v>1242</v>
      </c>
      <c r="E1245" s="501" t="s">
        <v>1243</v>
      </c>
      <c r="F1245" s="501"/>
      <c r="G1245" s="501" t="s">
        <v>1937</v>
      </c>
    </row>
    <row r="1246" spans="2:7" x14ac:dyDescent="0.25">
      <c r="B1246" s="501" t="s">
        <v>1245</v>
      </c>
      <c r="C1246" s="501" t="s">
        <v>1246</v>
      </c>
      <c r="D1246" s="501" t="s">
        <v>1247</v>
      </c>
      <c r="E1246" s="501"/>
      <c r="F1246" s="501"/>
      <c r="G1246" s="501"/>
    </row>
    <row r="1247" spans="2:7" x14ac:dyDescent="0.25">
      <c r="B1247" s="501"/>
      <c r="C1247" s="501" t="s">
        <v>1248</v>
      </c>
      <c r="D1247" s="501" t="s">
        <v>1249</v>
      </c>
      <c r="E1247" s="501" t="s">
        <v>1250</v>
      </c>
      <c r="F1247" s="501" t="s">
        <v>1251</v>
      </c>
      <c r="G1247" s="501">
        <v>9</v>
      </c>
    </row>
    <row r="1248" spans="2:7" x14ac:dyDescent="0.25">
      <c r="B1248" s="501"/>
      <c r="C1248" s="501"/>
      <c r="D1248" s="501"/>
      <c r="E1248" s="501"/>
      <c r="F1248" s="501"/>
      <c r="G1248" s="501"/>
    </row>
    <row r="1249" spans="2:7" x14ac:dyDescent="0.25">
      <c r="B1249" s="504">
        <v>43468</v>
      </c>
      <c r="C1249" s="501">
        <v>103</v>
      </c>
      <c r="D1249" s="501" t="s">
        <v>1936</v>
      </c>
      <c r="E1249" s="501" t="s">
        <v>1922</v>
      </c>
      <c r="F1249" s="501"/>
      <c r="G1249" s="501" t="s">
        <v>1254</v>
      </c>
    </row>
    <row r="1250" spans="2:7" x14ac:dyDescent="0.25">
      <c r="B1250" s="501"/>
      <c r="C1250" s="501"/>
      <c r="D1250" s="501"/>
      <c r="E1250" s="501"/>
      <c r="F1250" s="501"/>
      <c r="G1250" s="501"/>
    </row>
    <row r="1251" spans="2:7" x14ac:dyDescent="0.25">
      <c r="B1251" s="501" t="s">
        <v>1255</v>
      </c>
      <c r="C1251" s="501" t="s">
        <v>1256</v>
      </c>
      <c r="D1251" s="501" t="s">
        <v>1257</v>
      </c>
      <c r="E1251" s="501" t="s">
        <v>1258</v>
      </c>
      <c r="F1251" s="501" t="s">
        <v>1259</v>
      </c>
      <c r="G1251" s="501" t="s">
        <v>1260</v>
      </c>
    </row>
    <row r="1252" spans="2:7" x14ac:dyDescent="0.25">
      <c r="B1252" s="501"/>
      <c r="C1252" s="501"/>
      <c r="D1252" s="501"/>
      <c r="E1252" s="501"/>
      <c r="F1252" s="501"/>
      <c r="G1252" s="501"/>
    </row>
    <row r="1253" spans="2:7" x14ac:dyDescent="0.25">
      <c r="B1253" s="501"/>
      <c r="C1253" s="501"/>
      <c r="D1253" s="501"/>
      <c r="E1253" s="501"/>
      <c r="F1253" s="501"/>
      <c r="G1253" s="501"/>
    </row>
    <row r="1254" spans="2:7" x14ac:dyDescent="0.25">
      <c r="B1254" s="501" t="s">
        <v>1629</v>
      </c>
      <c r="C1254" s="501" t="s">
        <v>1630</v>
      </c>
      <c r="D1254" s="503">
        <v>12925.12</v>
      </c>
      <c r="E1254" s="503">
        <v>34205.599999999999</v>
      </c>
      <c r="F1254" s="503">
        <v>66544.44</v>
      </c>
      <c r="G1254" s="503">
        <v>90138.29</v>
      </c>
    </row>
    <row r="1255" spans="2:7" x14ac:dyDescent="0.25">
      <c r="B1255" s="501"/>
      <c r="C1255" s="501"/>
      <c r="D1255" s="501"/>
      <c r="E1255" s="501"/>
      <c r="F1255" s="501"/>
      <c r="G1255" s="501"/>
    </row>
    <row r="1256" spans="2:7" x14ac:dyDescent="0.25">
      <c r="B1256" s="501"/>
      <c r="C1256" s="501" t="s">
        <v>1631</v>
      </c>
      <c r="D1256" s="503">
        <v>73121.91</v>
      </c>
      <c r="E1256" s="503">
        <v>636104.68000000005</v>
      </c>
      <c r="F1256" s="503">
        <v>132479.91</v>
      </c>
      <c r="G1256" s="503">
        <v>639945.76</v>
      </c>
    </row>
    <row r="1257" spans="2:7" x14ac:dyDescent="0.25">
      <c r="B1257" s="501" t="s">
        <v>1632</v>
      </c>
      <c r="C1257" s="501" t="s">
        <v>1633</v>
      </c>
      <c r="D1257" s="503">
        <v>21668.13</v>
      </c>
      <c r="E1257" s="503">
        <v>153852.45000000001</v>
      </c>
      <c r="F1257" s="503">
        <v>17756.72</v>
      </c>
      <c r="G1257" s="503">
        <v>135257.12</v>
      </c>
    </row>
    <row r="1258" spans="2:7" x14ac:dyDescent="0.25">
      <c r="B1258" s="501" t="s">
        <v>1634</v>
      </c>
      <c r="C1258" s="501" t="s">
        <v>1635</v>
      </c>
      <c r="D1258" s="501">
        <v>804.06</v>
      </c>
      <c r="E1258" s="503">
        <v>11715.15</v>
      </c>
      <c r="F1258" s="501">
        <v>621.91</v>
      </c>
      <c r="G1258" s="503">
        <v>1733.08</v>
      </c>
    </row>
    <row r="1259" spans="2:7" x14ac:dyDescent="0.25">
      <c r="B1259" s="501" t="s">
        <v>1638</v>
      </c>
      <c r="C1259" s="501" t="s">
        <v>1639</v>
      </c>
      <c r="D1259" s="501">
        <v>0</v>
      </c>
      <c r="E1259" s="501">
        <v>141.41</v>
      </c>
      <c r="F1259" s="501">
        <v>0</v>
      </c>
      <c r="G1259" s="501">
        <v>291.79000000000002</v>
      </c>
    </row>
    <row r="1260" spans="2:7" x14ac:dyDescent="0.25">
      <c r="B1260" s="501" t="s">
        <v>1640</v>
      </c>
      <c r="C1260" s="501" t="s">
        <v>1641</v>
      </c>
      <c r="D1260" s="503">
        <v>21396.82</v>
      </c>
      <c r="E1260" s="503">
        <v>125797.32</v>
      </c>
      <c r="F1260" s="503">
        <v>28927.67</v>
      </c>
      <c r="G1260" s="503">
        <v>171947.93</v>
      </c>
    </row>
    <row r="1261" spans="2:7" x14ac:dyDescent="0.25">
      <c r="B1261" s="501" t="s">
        <v>1642</v>
      </c>
      <c r="C1261" s="501" t="s">
        <v>1643</v>
      </c>
      <c r="D1261" s="503">
        <v>68512.55</v>
      </c>
      <c r="E1261" s="503">
        <v>662424.22</v>
      </c>
      <c r="F1261" s="503">
        <v>59566.33</v>
      </c>
      <c r="G1261" s="503">
        <v>500231.05</v>
      </c>
    </row>
    <row r="1262" spans="2:7" x14ac:dyDescent="0.25">
      <c r="B1262" s="501" t="s">
        <v>1644</v>
      </c>
      <c r="C1262" s="501" t="s">
        <v>1645</v>
      </c>
      <c r="D1262" s="503">
        <v>894908.29</v>
      </c>
      <c r="E1262" s="503">
        <v>6734600.3200000003</v>
      </c>
      <c r="F1262" s="503">
        <v>498476.18</v>
      </c>
      <c r="G1262" s="503">
        <v>5387227.6200000001</v>
      </c>
    </row>
    <row r="1263" spans="2:7" x14ac:dyDescent="0.25">
      <c r="B1263" s="501" t="s">
        <v>1646</v>
      </c>
      <c r="C1263" s="501" t="s">
        <v>1647</v>
      </c>
      <c r="D1263" s="503">
        <v>1351.95</v>
      </c>
      <c r="E1263" s="503">
        <v>7052.91</v>
      </c>
      <c r="F1263" s="503">
        <v>1465.99</v>
      </c>
      <c r="G1263" s="503">
        <v>11381.84</v>
      </c>
    </row>
    <row r="1264" spans="2:7" x14ac:dyDescent="0.25">
      <c r="B1264" s="501" t="s">
        <v>1648</v>
      </c>
      <c r="C1264" s="501" t="s">
        <v>1649</v>
      </c>
      <c r="D1264" s="503">
        <v>12406.39</v>
      </c>
      <c r="E1264" s="503">
        <v>103528.62</v>
      </c>
      <c r="F1264" s="503">
        <v>16280.13</v>
      </c>
      <c r="G1264" s="503">
        <v>86549.49</v>
      </c>
    </row>
    <row r="1265" spans="2:7" x14ac:dyDescent="0.25">
      <c r="B1265" s="501" t="s">
        <v>1650</v>
      </c>
      <c r="C1265" s="501" t="s">
        <v>1651</v>
      </c>
      <c r="D1265" s="501">
        <v>0</v>
      </c>
      <c r="E1265" s="501">
        <v>84.48</v>
      </c>
      <c r="F1265" s="501">
        <v>18.79</v>
      </c>
      <c r="G1265" s="501">
        <v>33.79</v>
      </c>
    </row>
    <row r="1266" spans="2:7" x14ac:dyDescent="0.25">
      <c r="B1266" s="501"/>
      <c r="C1266" s="501"/>
      <c r="D1266" s="501"/>
      <c r="E1266" s="501"/>
      <c r="F1266" s="501"/>
      <c r="G1266" s="501"/>
    </row>
    <row r="1267" spans="2:7" x14ac:dyDescent="0.25">
      <c r="B1267" s="501"/>
      <c r="C1267" s="501" t="s">
        <v>1653</v>
      </c>
      <c r="D1267" s="503">
        <v>1021048.19</v>
      </c>
      <c r="E1267" s="503">
        <v>7799196.8799999999</v>
      </c>
      <c r="F1267" s="503">
        <v>623113.72</v>
      </c>
      <c r="G1267" s="503">
        <v>6294653.71</v>
      </c>
    </row>
    <row r="1268" spans="2:7" x14ac:dyDescent="0.25">
      <c r="B1268" s="501" t="s">
        <v>1654</v>
      </c>
      <c r="C1268" s="501" t="s">
        <v>1655</v>
      </c>
      <c r="D1268" s="503">
        <v>249308.65</v>
      </c>
      <c r="E1268" s="503">
        <v>1185500.3400000001</v>
      </c>
      <c r="F1268" s="503">
        <v>108182.43</v>
      </c>
      <c r="G1268" s="503">
        <v>1074837.29</v>
      </c>
    </row>
    <row r="1269" spans="2:7" x14ac:dyDescent="0.25">
      <c r="B1269" s="501" t="s">
        <v>1656</v>
      </c>
      <c r="C1269" s="501" t="s">
        <v>1657</v>
      </c>
      <c r="D1269" s="503">
        <v>34705.03</v>
      </c>
      <c r="E1269" s="503">
        <v>366781.52</v>
      </c>
      <c r="F1269" s="503">
        <v>15306.47</v>
      </c>
      <c r="G1269" s="503">
        <v>276623.14</v>
      </c>
    </row>
    <row r="1270" spans="2:7" x14ac:dyDescent="0.25">
      <c r="B1270" s="501" t="s">
        <v>1658</v>
      </c>
      <c r="C1270" s="501" t="s">
        <v>1659</v>
      </c>
      <c r="D1270" s="503">
        <v>33261.050000000003</v>
      </c>
      <c r="E1270" s="503">
        <v>340941.58</v>
      </c>
      <c r="F1270" s="503">
        <v>55016.73</v>
      </c>
      <c r="G1270" s="503">
        <v>292228.2</v>
      </c>
    </row>
    <row r="1271" spans="2:7" x14ac:dyDescent="0.25">
      <c r="B1271" s="501" t="s">
        <v>1660</v>
      </c>
      <c r="C1271" s="501" t="s">
        <v>1661</v>
      </c>
      <c r="D1271" s="503">
        <v>7069.94</v>
      </c>
      <c r="E1271" s="503">
        <v>128131.88</v>
      </c>
      <c r="F1271" s="503">
        <v>9982.2999999999993</v>
      </c>
      <c r="G1271" s="503">
        <v>127035.58</v>
      </c>
    </row>
    <row r="1272" spans="2:7" x14ac:dyDescent="0.25">
      <c r="B1272" s="501" t="s">
        <v>1662</v>
      </c>
      <c r="C1272" s="501" t="s">
        <v>1663</v>
      </c>
      <c r="D1272" s="503">
        <v>1565.62</v>
      </c>
      <c r="E1272" s="503">
        <v>20698.650000000001</v>
      </c>
      <c r="F1272" s="501">
        <v>999.97</v>
      </c>
      <c r="G1272" s="503">
        <v>3081.26</v>
      </c>
    </row>
    <row r="1273" spans="2:7" x14ac:dyDescent="0.25">
      <c r="B1273" s="501"/>
      <c r="C1273" s="501"/>
      <c r="D1273" s="501"/>
      <c r="E1273" s="501"/>
      <c r="F1273" s="501"/>
      <c r="G1273" s="501"/>
    </row>
    <row r="1274" spans="2:7" x14ac:dyDescent="0.25">
      <c r="B1274" s="501"/>
      <c r="C1274" s="501" t="s">
        <v>1666</v>
      </c>
      <c r="D1274" s="503">
        <v>325910.28999999998</v>
      </c>
      <c r="E1274" s="503">
        <v>2042053.97</v>
      </c>
      <c r="F1274" s="503">
        <v>189487.9</v>
      </c>
      <c r="G1274" s="503">
        <v>1773805.47</v>
      </c>
    </row>
    <row r="1275" spans="2:7" x14ac:dyDescent="0.25">
      <c r="B1275" s="501">
        <v>760</v>
      </c>
      <c r="C1275" s="501" t="s">
        <v>1667</v>
      </c>
      <c r="D1275" s="501"/>
      <c r="E1275" s="501"/>
      <c r="F1275" s="501"/>
      <c r="G1275" s="501"/>
    </row>
    <row r="1276" spans="2:7" x14ac:dyDescent="0.25">
      <c r="B1276" s="501" t="s">
        <v>1668</v>
      </c>
      <c r="C1276" s="501" t="s">
        <v>1669</v>
      </c>
      <c r="D1276" s="503">
        <v>411335.21</v>
      </c>
      <c r="E1276" s="503">
        <v>2236411.4700000002</v>
      </c>
      <c r="F1276" s="503">
        <v>308835.46000000002</v>
      </c>
      <c r="G1276" s="503">
        <v>1487247.93</v>
      </c>
    </row>
    <row r="1277" spans="2:7" x14ac:dyDescent="0.25">
      <c r="B1277" s="501" t="s">
        <v>1676</v>
      </c>
      <c r="C1277" s="501" t="s">
        <v>1677</v>
      </c>
      <c r="D1277" s="503">
        <v>2818.48</v>
      </c>
      <c r="E1277" s="503">
        <v>13152.95</v>
      </c>
      <c r="F1277" s="503">
        <v>29392.959999999999</v>
      </c>
      <c r="G1277" s="503">
        <v>32472.39</v>
      </c>
    </row>
    <row r="1278" spans="2:7" x14ac:dyDescent="0.25">
      <c r="B1278" s="501" t="s">
        <v>1680</v>
      </c>
      <c r="C1278" s="501" t="s">
        <v>1681</v>
      </c>
      <c r="D1278" s="503">
        <v>-9617</v>
      </c>
      <c r="E1278" s="503">
        <v>-28990</v>
      </c>
      <c r="F1278" s="503">
        <v>-8764</v>
      </c>
      <c r="G1278" s="503">
        <v>-56324</v>
      </c>
    </row>
    <row r="1279" spans="2:7" x14ac:dyDescent="0.25">
      <c r="B1279" s="501"/>
      <c r="C1279" s="501"/>
      <c r="D1279" s="501"/>
      <c r="E1279" s="501"/>
      <c r="F1279" s="501"/>
      <c r="G1279" s="501"/>
    </row>
    <row r="1280" spans="2:7" x14ac:dyDescent="0.25">
      <c r="B1280" s="501"/>
      <c r="C1280" s="501" t="s">
        <v>1682</v>
      </c>
      <c r="D1280" s="503">
        <v>404536.69</v>
      </c>
      <c r="E1280" s="503">
        <v>2220574.42</v>
      </c>
      <c r="F1280" s="503">
        <v>329464.42</v>
      </c>
      <c r="G1280" s="503">
        <v>1463396.32</v>
      </c>
    </row>
    <row r="1281" spans="2:7" x14ac:dyDescent="0.25">
      <c r="B1281" s="501" t="s">
        <v>1683</v>
      </c>
      <c r="C1281" s="501" t="s">
        <v>1684</v>
      </c>
      <c r="D1281" s="503">
        <v>57377.120000000003</v>
      </c>
      <c r="E1281" s="503">
        <v>545361.61</v>
      </c>
      <c r="F1281" s="503">
        <v>17478.73</v>
      </c>
      <c r="G1281" s="503">
        <v>457729.16</v>
      </c>
    </row>
    <row r="1282" spans="2:7" x14ac:dyDescent="0.25">
      <c r="B1282" s="501" t="s">
        <v>1685</v>
      </c>
      <c r="C1282" s="501" t="s">
        <v>1686</v>
      </c>
      <c r="D1282" s="503">
        <v>841619.97</v>
      </c>
      <c r="E1282" s="503">
        <v>7730158.1600000001</v>
      </c>
      <c r="F1282" s="503">
        <v>570150.46</v>
      </c>
      <c r="G1282" s="503">
        <v>6592410.5499999998</v>
      </c>
    </row>
    <row r="1283" spans="2:7" x14ac:dyDescent="0.25">
      <c r="B1283" s="501" t="s">
        <v>1687</v>
      </c>
      <c r="C1283" s="501" t="s">
        <v>1688</v>
      </c>
      <c r="D1283" s="503">
        <v>338243.7</v>
      </c>
      <c r="E1283" s="503">
        <v>2113042.83</v>
      </c>
      <c r="F1283" s="503">
        <v>333359.21000000002</v>
      </c>
      <c r="G1283" s="503">
        <v>2180602.71</v>
      </c>
    </row>
    <row r="1284" spans="2:7" x14ac:dyDescent="0.25">
      <c r="B1284" s="501" t="s">
        <v>1689</v>
      </c>
      <c r="C1284" s="501" t="s">
        <v>1690</v>
      </c>
      <c r="D1284" s="503">
        <v>-472120.76</v>
      </c>
      <c r="E1284" s="503">
        <v>834777.09</v>
      </c>
      <c r="F1284" s="503">
        <v>155962.32999999999</v>
      </c>
      <c r="G1284" s="503">
        <v>904597.19</v>
      </c>
    </row>
    <row r="1285" spans="2:7" x14ac:dyDescent="0.25">
      <c r="B1285" s="501" t="s">
        <v>1695</v>
      </c>
      <c r="C1285" s="501" t="s">
        <v>1696</v>
      </c>
      <c r="D1285" s="503">
        <v>6150</v>
      </c>
      <c r="E1285" s="503">
        <v>229894.44</v>
      </c>
      <c r="F1285" s="503">
        <v>6150</v>
      </c>
      <c r="G1285" s="503">
        <v>468306.8</v>
      </c>
    </row>
    <row r="1286" spans="2:7" x14ac:dyDescent="0.25">
      <c r="B1286" s="501" t="s">
        <v>1700</v>
      </c>
      <c r="C1286" s="501" t="s">
        <v>1701</v>
      </c>
      <c r="D1286" s="503">
        <v>1301253.22</v>
      </c>
      <c r="E1286" s="503">
        <v>9368799.6799999997</v>
      </c>
      <c r="F1286" s="503">
        <v>350815.31</v>
      </c>
      <c r="G1286" s="503">
        <v>8077991.25</v>
      </c>
    </row>
    <row r="1287" spans="2:7" x14ac:dyDescent="0.25">
      <c r="B1287" s="501" t="s">
        <v>1706</v>
      </c>
      <c r="C1287" s="501" t="s">
        <v>1707</v>
      </c>
      <c r="D1287" s="503">
        <v>-338171.91</v>
      </c>
      <c r="E1287" s="503">
        <v>-7301504.0300000003</v>
      </c>
      <c r="F1287" s="503">
        <v>-518103.6</v>
      </c>
      <c r="G1287" s="503">
        <v>-7033191.5800000001</v>
      </c>
    </row>
    <row r="1288" spans="2:7" x14ac:dyDescent="0.25">
      <c r="B1288" s="501"/>
      <c r="C1288" s="501"/>
      <c r="D1288" s="501"/>
      <c r="E1288" s="501"/>
      <c r="F1288" s="501"/>
      <c r="G1288" s="501"/>
    </row>
    <row r="1289" spans="2:7" x14ac:dyDescent="0.25">
      <c r="B1289" s="501"/>
      <c r="C1289" s="501" t="s">
        <v>1712</v>
      </c>
      <c r="D1289" s="503">
        <v>1734351.34</v>
      </c>
      <c r="E1289" s="503">
        <v>13520529.779999999</v>
      </c>
      <c r="F1289" s="503">
        <v>915812.44</v>
      </c>
      <c r="G1289" s="503">
        <v>11648446.08</v>
      </c>
    </row>
    <row r="1290" spans="2:7" x14ac:dyDescent="0.25">
      <c r="B1290" s="501" t="s">
        <v>1715</v>
      </c>
      <c r="C1290" s="501" t="s">
        <v>1716</v>
      </c>
      <c r="D1290" s="503">
        <v>890042.27</v>
      </c>
      <c r="E1290" s="503">
        <v>5084671.5</v>
      </c>
      <c r="F1290" s="503">
        <v>334998.59000000003</v>
      </c>
      <c r="G1290" s="503">
        <v>4045181.01</v>
      </c>
    </row>
    <row r="1291" spans="2:7" x14ac:dyDescent="0.25">
      <c r="B1291" s="501" t="s">
        <v>1717</v>
      </c>
      <c r="C1291" s="501" t="s">
        <v>1718</v>
      </c>
      <c r="D1291" s="503">
        <v>3546.9</v>
      </c>
      <c r="E1291" s="503">
        <v>34440</v>
      </c>
      <c r="F1291" s="503">
        <v>2896.92</v>
      </c>
      <c r="G1291" s="503">
        <v>32773.360000000001</v>
      </c>
    </row>
    <row r="1292" spans="2:7" x14ac:dyDescent="0.25">
      <c r="B1292" s="501" t="s">
        <v>1719</v>
      </c>
      <c r="C1292" s="501" t="s">
        <v>1720</v>
      </c>
      <c r="D1292" s="503">
        <v>577808.44999999995</v>
      </c>
      <c r="E1292" s="503">
        <v>4182193.48</v>
      </c>
      <c r="F1292" s="503">
        <v>307324.25</v>
      </c>
      <c r="G1292" s="503">
        <v>3667675.34</v>
      </c>
    </row>
    <row r="1293" spans="2:7" x14ac:dyDescent="0.25">
      <c r="B1293" s="501" t="s">
        <v>1721</v>
      </c>
      <c r="C1293" s="501" t="s">
        <v>1722</v>
      </c>
      <c r="D1293" s="503">
        <v>591009.73</v>
      </c>
      <c r="E1293" s="503">
        <v>4475208.03</v>
      </c>
      <c r="F1293" s="503">
        <v>307718.56</v>
      </c>
      <c r="G1293" s="503">
        <v>3879231.36</v>
      </c>
    </row>
    <row r="1294" spans="2:7" x14ac:dyDescent="0.25">
      <c r="B1294" s="501" t="s">
        <v>1723</v>
      </c>
      <c r="C1294" s="501" t="s">
        <v>1724</v>
      </c>
      <c r="D1294" s="503">
        <v>142829.79</v>
      </c>
      <c r="E1294" s="503">
        <v>1019376.64</v>
      </c>
      <c r="F1294" s="503">
        <v>34107.43</v>
      </c>
      <c r="G1294" s="503">
        <v>409289.56</v>
      </c>
    </row>
    <row r="1295" spans="2:7" x14ac:dyDescent="0.25">
      <c r="B1295" s="501"/>
      <c r="C1295" s="501"/>
      <c r="D1295" s="501"/>
      <c r="E1295" s="501"/>
      <c r="F1295" s="501"/>
      <c r="G1295" s="501"/>
    </row>
    <row r="1296" spans="2:7" x14ac:dyDescent="0.25">
      <c r="B1296" s="501"/>
      <c r="C1296" s="501" t="s">
        <v>1727</v>
      </c>
      <c r="D1296" s="503">
        <v>2205237.14</v>
      </c>
      <c r="E1296" s="503">
        <v>14795889.65</v>
      </c>
      <c r="F1296" s="503">
        <v>987045.75</v>
      </c>
      <c r="G1296" s="503">
        <v>12034150.630000001</v>
      </c>
    </row>
    <row r="1297" spans="2:7" x14ac:dyDescent="0.25">
      <c r="B1297" s="501" t="s">
        <v>1728</v>
      </c>
      <c r="C1297" s="501" t="s">
        <v>1729</v>
      </c>
      <c r="D1297" s="503">
        <v>-685157.53</v>
      </c>
      <c r="E1297" s="503">
        <v>11727514.720000001</v>
      </c>
      <c r="F1297" s="503">
        <v>393200.69</v>
      </c>
      <c r="G1297" s="503">
        <v>3439027.55</v>
      </c>
    </row>
    <row r="1298" spans="2:7" x14ac:dyDescent="0.25">
      <c r="B1298" s="501" t="s">
        <v>1747</v>
      </c>
      <c r="C1298" s="501" t="s">
        <v>1748</v>
      </c>
      <c r="D1298" s="501">
        <v>0</v>
      </c>
      <c r="E1298" s="503">
        <v>57494.22</v>
      </c>
      <c r="F1298" s="501">
        <v>0</v>
      </c>
      <c r="G1298" s="503">
        <v>58099.54</v>
      </c>
    </row>
    <row r="1299" spans="2:7" x14ac:dyDescent="0.25">
      <c r="B1299" s="501"/>
      <c r="C1299" s="501"/>
      <c r="D1299" s="501"/>
      <c r="E1299" s="501"/>
      <c r="F1299" s="501"/>
      <c r="G1299" s="501"/>
    </row>
    <row r="1300" spans="2:7" x14ac:dyDescent="0.25">
      <c r="B1300" s="501"/>
      <c r="C1300" s="501" t="s">
        <v>1751</v>
      </c>
      <c r="D1300" s="503">
        <v>-685157.53</v>
      </c>
      <c r="E1300" s="503">
        <v>11785008.939999999</v>
      </c>
      <c r="F1300" s="503">
        <v>393200.69</v>
      </c>
      <c r="G1300" s="503">
        <v>3497127.09</v>
      </c>
    </row>
    <row r="1301" spans="2:7" x14ac:dyDescent="0.25">
      <c r="B1301" s="501"/>
      <c r="C1301" s="501"/>
      <c r="D1301" s="501"/>
      <c r="E1301" s="501"/>
      <c r="F1301" s="501"/>
      <c r="G1301" s="501"/>
    </row>
    <row r="1302" spans="2:7" x14ac:dyDescent="0.25">
      <c r="B1302" s="501"/>
      <c r="C1302" s="501" t="s">
        <v>1752</v>
      </c>
      <c r="D1302" s="503">
        <v>1520079.61</v>
      </c>
      <c r="E1302" s="503">
        <v>26580898.59</v>
      </c>
      <c r="F1302" s="503">
        <v>1380246.44</v>
      </c>
      <c r="G1302" s="503">
        <v>15531277.720000001</v>
      </c>
    </row>
    <row r="1303" spans="2:7" x14ac:dyDescent="0.25">
      <c r="B1303" s="501" t="s">
        <v>1753</v>
      </c>
      <c r="C1303" s="501" t="s">
        <v>1754</v>
      </c>
      <c r="D1303" s="503">
        <v>72296.45</v>
      </c>
      <c r="E1303" s="503">
        <v>289230.78000000003</v>
      </c>
      <c r="F1303" s="503">
        <v>-8043.19</v>
      </c>
      <c r="G1303" s="503">
        <v>145702.26999999999</v>
      </c>
    </row>
    <row r="1304" spans="2:7" x14ac:dyDescent="0.25">
      <c r="B1304" s="501" t="s">
        <v>1757</v>
      </c>
      <c r="C1304" s="501" t="s">
        <v>1758</v>
      </c>
      <c r="D1304" s="503">
        <v>141954.13</v>
      </c>
      <c r="E1304" s="503">
        <v>1419153.52</v>
      </c>
      <c r="F1304" s="503">
        <v>69972.78</v>
      </c>
      <c r="G1304" s="503">
        <v>1258737.04</v>
      </c>
    </row>
    <row r="1305" spans="2:7" x14ac:dyDescent="0.25">
      <c r="B1305" s="501"/>
      <c r="C1305" s="501"/>
      <c r="D1305" s="501"/>
      <c r="E1305" s="501"/>
      <c r="F1305" s="501"/>
      <c r="G1305" s="501"/>
    </row>
    <row r="1306" spans="2:7" x14ac:dyDescent="0.25">
      <c r="B1306" s="501"/>
      <c r="C1306" s="501"/>
      <c r="D1306" s="501"/>
      <c r="E1306" s="501"/>
      <c r="F1306" s="501"/>
      <c r="G1306" s="501"/>
    </row>
    <row r="1307" spans="2:7" x14ac:dyDescent="0.25">
      <c r="B1307" s="501" t="s">
        <v>1240</v>
      </c>
      <c r="C1307" s="501" t="s">
        <v>1241</v>
      </c>
      <c r="D1307" s="501" t="s">
        <v>1242</v>
      </c>
      <c r="E1307" s="501" t="s">
        <v>1243</v>
      </c>
      <c r="F1307" s="501"/>
      <c r="G1307" s="501" t="s">
        <v>1938</v>
      </c>
    </row>
    <row r="1308" spans="2:7" x14ac:dyDescent="0.25">
      <c r="B1308" s="501" t="s">
        <v>1245</v>
      </c>
      <c r="C1308" s="501" t="s">
        <v>1246</v>
      </c>
      <c r="D1308" s="501" t="s">
        <v>1247</v>
      </c>
      <c r="E1308" s="501"/>
      <c r="F1308" s="501"/>
      <c r="G1308" s="501"/>
    </row>
    <row r="1309" spans="2:7" x14ac:dyDescent="0.25">
      <c r="B1309" s="501"/>
      <c r="C1309" s="501" t="s">
        <v>1248</v>
      </c>
      <c r="D1309" s="501" t="s">
        <v>1249</v>
      </c>
      <c r="E1309" s="501" t="s">
        <v>1250</v>
      </c>
      <c r="F1309" s="501" t="s">
        <v>1251</v>
      </c>
      <c r="G1309" s="501">
        <v>9</v>
      </c>
    </row>
    <row r="1310" spans="2:7" x14ac:dyDescent="0.25">
      <c r="B1310" s="501"/>
      <c r="C1310" s="501"/>
      <c r="D1310" s="501"/>
      <c r="E1310" s="501"/>
      <c r="F1310" s="501"/>
      <c r="G1310" s="501"/>
    </row>
    <row r="1311" spans="2:7" x14ac:dyDescent="0.25">
      <c r="B1311" s="504">
        <v>43468</v>
      </c>
      <c r="C1311" s="501">
        <v>103</v>
      </c>
      <c r="D1311" s="501" t="s">
        <v>1936</v>
      </c>
      <c r="E1311" s="501" t="s">
        <v>1922</v>
      </c>
      <c r="F1311" s="501"/>
      <c r="G1311" s="501" t="s">
        <v>1254</v>
      </c>
    </row>
    <row r="1312" spans="2:7" x14ac:dyDescent="0.25">
      <c r="B1312" s="501"/>
      <c r="C1312" s="501"/>
      <c r="D1312" s="501"/>
      <c r="E1312" s="501"/>
      <c r="F1312" s="501"/>
      <c r="G1312" s="501"/>
    </row>
    <row r="1313" spans="2:7" x14ac:dyDescent="0.25">
      <c r="B1313" s="501" t="s">
        <v>1255</v>
      </c>
      <c r="C1313" s="501" t="s">
        <v>1256</v>
      </c>
      <c r="D1313" s="501" t="s">
        <v>1257</v>
      </c>
      <c r="E1313" s="501" t="s">
        <v>1258</v>
      </c>
      <c r="F1313" s="501" t="s">
        <v>1259</v>
      </c>
      <c r="G1313" s="501" t="s">
        <v>1260</v>
      </c>
    </row>
    <row r="1314" spans="2:7" x14ac:dyDescent="0.25">
      <c r="B1314" s="501"/>
      <c r="C1314" s="501"/>
      <c r="D1314" s="501"/>
      <c r="E1314" s="501"/>
      <c r="F1314" s="501"/>
      <c r="G1314" s="501"/>
    </row>
    <row r="1315" spans="2:7" x14ac:dyDescent="0.25">
      <c r="B1315" s="501"/>
      <c r="C1315" s="501"/>
      <c r="D1315" s="501"/>
      <c r="E1315" s="501"/>
      <c r="F1315" s="501"/>
      <c r="G1315" s="501"/>
    </row>
    <row r="1316" spans="2:7" x14ac:dyDescent="0.25">
      <c r="B1316" s="501" t="s">
        <v>1759</v>
      </c>
      <c r="C1316" s="501" t="s">
        <v>447</v>
      </c>
      <c r="D1316" s="503">
        <v>68962.48</v>
      </c>
      <c r="E1316" s="503">
        <v>453396.57</v>
      </c>
      <c r="F1316" s="503">
        <v>24502.26</v>
      </c>
      <c r="G1316" s="503">
        <v>296871.31</v>
      </c>
    </row>
    <row r="1317" spans="2:7" x14ac:dyDescent="0.25">
      <c r="B1317" s="501" t="s">
        <v>1766</v>
      </c>
      <c r="C1317" s="501" t="s">
        <v>1767</v>
      </c>
      <c r="D1317" s="503">
        <v>120198.52</v>
      </c>
      <c r="E1317" s="503">
        <v>179622.92</v>
      </c>
      <c r="F1317" s="501">
        <v>0</v>
      </c>
      <c r="G1317" s="501">
        <v>798.33</v>
      </c>
    </row>
    <row r="1318" spans="2:7" x14ac:dyDescent="0.25">
      <c r="B1318" s="501" t="s">
        <v>1770</v>
      </c>
      <c r="C1318" s="501" t="s">
        <v>1771</v>
      </c>
      <c r="D1318" s="503">
        <v>724077.61</v>
      </c>
      <c r="E1318" s="503">
        <v>1104900.1000000001</v>
      </c>
      <c r="F1318" s="503">
        <v>606918.27</v>
      </c>
      <c r="G1318" s="503">
        <v>1479941.26</v>
      </c>
    </row>
    <row r="1319" spans="2:7" x14ac:dyDescent="0.25">
      <c r="B1319" s="501" t="s">
        <v>1782</v>
      </c>
      <c r="C1319" s="501" t="s">
        <v>1783</v>
      </c>
      <c r="D1319" s="501">
        <v>0</v>
      </c>
      <c r="E1319" s="503">
        <v>10692.93</v>
      </c>
      <c r="F1319" s="501">
        <v>0</v>
      </c>
      <c r="G1319" s="501">
        <v>0</v>
      </c>
    </row>
    <row r="1320" spans="2:7" x14ac:dyDescent="0.25">
      <c r="B1320" s="501" t="s">
        <v>1784</v>
      </c>
      <c r="C1320" s="501" t="s">
        <v>1785</v>
      </c>
      <c r="D1320" s="503">
        <v>14783.6</v>
      </c>
      <c r="E1320" s="503">
        <v>246551.59</v>
      </c>
      <c r="F1320" s="503">
        <v>37754.28</v>
      </c>
      <c r="G1320" s="503">
        <v>146411.41</v>
      </c>
    </row>
    <row r="1321" spans="2:7" x14ac:dyDescent="0.25">
      <c r="B1321" s="501" t="s">
        <v>1786</v>
      </c>
      <c r="C1321" s="501" t="s">
        <v>1787</v>
      </c>
      <c r="D1321" s="503">
        <v>50230.59</v>
      </c>
      <c r="E1321" s="503">
        <v>163074.88</v>
      </c>
      <c r="F1321" s="503">
        <v>10031.379999999999</v>
      </c>
      <c r="G1321" s="503">
        <v>120403.85</v>
      </c>
    </row>
    <row r="1322" spans="2:7" x14ac:dyDescent="0.25">
      <c r="B1322" s="501" t="s">
        <v>1788</v>
      </c>
      <c r="C1322" s="501" t="s">
        <v>1789</v>
      </c>
      <c r="D1322" s="503">
        <v>31371.51</v>
      </c>
      <c r="E1322" s="503">
        <v>171661.58</v>
      </c>
      <c r="F1322" s="503">
        <v>27639.64</v>
      </c>
      <c r="G1322" s="503">
        <v>143654.76999999999</v>
      </c>
    </row>
    <row r="1323" spans="2:7" x14ac:dyDescent="0.25">
      <c r="B1323" s="501" t="s">
        <v>1790</v>
      </c>
      <c r="C1323" s="501" t="s">
        <v>1791</v>
      </c>
      <c r="D1323" s="503">
        <v>23636.39</v>
      </c>
      <c r="E1323" s="503">
        <v>308597.07</v>
      </c>
      <c r="F1323" s="503">
        <v>39247.08</v>
      </c>
      <c r="G1323" s="503">
        <v>278128.3</v>
      </c>
    </row>
    <row r="1324" spans="2:7" x14ac:dyDescent="0.25">
      <c r="B1324" s="501" t="s">
        <v>1792</v>
      </c>
      <c r="C1324" s="501" t="s">
        <v>1793</v>
      </c>
      <c r="D1324" s="503">
        <v>21752.25</v>
      </c>
      <c r="E1324" s="503">
        <v>159286.41</v>
      </c>
      <c r="F1324" s="503">
        <v>10898.69</v>
      </c>
      <c r="G1324" s="503">
        <v>106179.42</v>
      </c>
    </row>
    <row r="1325" spans="2:7" x14ac:dyDescent="0.25">
      <c r="B1325" s="501" t="s">
        <v>1794</v>
      </c>
      <c r="C1325" s="501" t="s">
        <v>1795</v>
      </c>
      <c r="D1325" s="503">
        <v>-1022.8</v>
      </c>
      <c r="E1325" s="503">
        <v>36162.800000000003</v>
      </c>
      <c r="F1325" s="503">
        <v>16087.3</v>
      </c>
      <c r="G1325" s="503">
        <v>75172.3</v>
      </c>
    </row>
    <row r="1326" spans="2:7" x14ac:dyDescent="0.25">
      <c r="B1326" s="501" t="s">
        <v>1796</v>
      </c>
      <c r="C1326" s="501" t="s">
        <v>1797</v>
      </c>
      <c r="D1326" s="503">
        <v>12341.58</v>
      </c>
      <c r="E1326" s="503">
        <v>78122.22</v>
      </c>
      <c r="F1326" s="503">
        <v>6660.36</v>
      </c>
      <c r="G1326" s="503">
        <v>49967.29</v>
      </c>
    </row>
    <row r="1327" spans="2:7" x14ac:dyDescent="0.25">
      <c r="B1327" s="501" t="s">
        <v>1798</v>
      </c>
      <c r="C1327" s="501" t="s">
        <v>1799</v>
      </c>
      <c r="D1327" s="503">
        <v>6015.53</v>
      </c>
      <c r="E1327" s="503">
        <v>71317.679999999993</v>
      </c>
      <c r="F1327" s="503">
        <v>7851.96</v>
      </c>
      <c r="G1327" s="503">
        <v>50716.56</v>
      </c>
    </row>
    <row r="1328" spans="2:7" x14ac:dyDescent="0.25">
      <c r="B1328" s="501" t="s">
        <v>1800</v>
      </c>
      <c r="C1328" s="501" t="s">
        <v>1801</v>
      </c>
      <c r="D1328" s="503">
        <v>4520.59</v>
      </c>
      <c r="E1328" s="503">
        <v>30028.06</v>
      </c>
      <c r="F1328" s="501">
        <v>95</v>
      </c>
      <c r="G1328" s="503">
        <v>14335.54</v>
      </c>
    </row>
    <row r="1329" spans="2:7" x14ac:dyDescent="0.25">
      <c r="B1329" s="501" t="s">
        <v>1802</v>
      </c>
      <c r="C1329" s="501" t="s">
        <v>1803</v>
      </c>
      <c r="D1329" s="501">
        <v>371.24</v>
      </c>
      <c r="E1329" s="503">
        <v>10239.74</v>
      </c>
      <c r="F1329" s="501">
        <v>234.5</v>
      </c>
      <c r="G1329" s="503">
        <v>4401.97</v>
      </c>
    </row>
    <row r="1330" spans="2:7" x14ac:dyDescent="0.25">
      <c r="B1330" s="501" t="s">
        <v>1806</v>
      </c>
      <c r="C1330" s="501" t="s">
        <v>1807</v>
      </c>
      <c r="D1330" s="503">
        <v>4500</v>
      </c>
      <c r="E1330" s="503">
        <v>15950</v>
      </c>
      <c r="F1330" s="501">
        <v>0</v>
      </c>
      <c r="G1330" s="503">
        <v>22750</v>
      </c>
    </row>
    <row r="1331" spans="2:7" x14ac:dyDescent="0.25">
      <c r="B1331" s="501" t="s">
        <v>1808</v>
      </c>
      <c r="C1331" s="501" t="s">
        <v>1809</v>
      </c>
      <c r="D1331" s="501">
        <v>0</v>
      </c>
      <c r="E1331" s="501">
        <v>0</v>
      </c>
      <c r="F1331" s="501">
        <v>0</v>
      </c>
      <c r="G1331" s="503">
        <v>2375</v>
      </c>
    </row>
    <row r="1332" spans="2:7" x14ac:dyDescent="0.25">
      <c r="B1332" s="501" t="s">
        <v>1810</v>
      </c>
      <c r="C1332" s="501" t="s">
        <v>1811</v>
      </c>
      <c r="D1332" s="503">
        <v>-2168920.4700000002</v>
      </c>
      <c r="E1332" s="503">
        <v>-27676715.039999999</v>
      </c>
      <c r="F1332" s="503">
        <v>-1085778.25</v>
      </c>
      <c r="G1332" s="503">
        <v>-16293026.710000001</v>
      </c>
    </row>
    <row r="1333" spans="2:7" x14ac:dyDescent="0.25">
      <c r="B1333" s="501" t="s">
        <v>1812</v>
      </c>
      <c r="C1333" s="501" t="s">
        <v>1813</v>
      </c>
      <c r="D1333" s="503">
        <v>507594.28</v>
      </c>
      <c r="E1333" s="503">
        <v>623724.76</v>
      </c>
      <c r="F1333" s="503">
        <v>343663.52</v>
      </c>
      <c r="G1333" s="503">
        <v>733307.42</v>
      </c>
    </row>
    <row r="1334" spans="2:7" x14ac:dyDescent="0.25">
      <c r="B1334" s="501"/>
      <c r="C1334" s="501"/>
      <c r="D1334" s="501"/>
      <c r="E1334" s="501"/>
      <c r="F1334" s="501"/>
      <c r="G1334" s="501"/>
    </row>
    <row r="1335" spans="2:7" x14ac:dyDescent="0.25">
      <c r="B1335" s="501"/>
      <c r="C1335" s="501" t="s">
        <v>1814</v>
      </c>
      <c r="D1335" s="503">
        <v>-365336.52</v>
      </c>
      <c r="E1335" s="503">
        <v>-22305001.43</v>
      </c>
      <c r="F1335" s="503">
        <v>107735.58</v>
      </c>
      <c r="G1335" s="503">
        <v>-11363172.67</v>
      </c>
    </row>
    <row r="1336" spans="2:7" x14ac:dyDescent="0.25">
      <c r="B1336" s="501"/>
      <c r="C1336" s="501"/>
      <c r="D1336" s="501"/>
      <c r="E1336" s="501"/>
      <c r="F1336" s="501"/>
      <c r="G1336" s="501"/>
    </row>
    <row r="1337" spans="2:7" x14ac:dyDescent="0.25">
      <c r="B1337" s="501"/>
      <c r="C1337" s="501" t="s">
        <v>1842</v>
      </c>
      <c r="D1337" s="503">
        <v>8500063.0099999998</v>
      </c>
      <c r="E1337" s="503">
        <v>75475787.200000003</v>
      </c>
      <c r="F1337" s="503">
        <v>8014128.8799999999</v>
      </c>
      <c r="G1337" s="503">
        <v>59389903.079999998</v>
      </c>
    </row>
    <row r="1338" spans="2:7" x14ac:dyDescent="0.25">
      <c r="B1338" s="501"/>
      <c r="C1338" s="501"/>
      <c r="D1338" s="501"/>
      <c r="E1338" s="501"/>
      <c r="F1338" s="501"/>
      <c r="G1338" s="501"/>
    </row>
    <row r="1339" spans="2:7" x14ac:dyDescent="0.25">
      <c r="B1339" s="501"/>
      <c r="C1339" s="501"/>
      <c r="D1339" s="501"/>
      <c r="E1339" s="501"/>
      <c r="F1339" s="501"/>
      <c r="G1339" s="501"/>
    </row>
    <row r="1340" spans="2:7" x14ac:dyDescent="0.25">
      <c r="B1340" s="501"/>
      <c r="C1340" s="501" t="s">
        <v>1843</v>
      </c>
      <c r="D1340" s="503">
        <v>-6072848.4100000001</v>
      </c>
      <c r="E1340" s="503">
        <v>-55944693.490000002</v>
      </c>
      <c r="F1340" s="503">
        <v>-7009345.7000000002</v>
      </c>
      <c r="G1340" s="503">
        <v>-43265226.590000004</v>
      </c>
    </row>
    <row r="1341" spans="2:7" x14ac:dyDescent="0.25">
      <c r="B1341" s="501"/>
      <c r="C1341" s="501"/>
      <c r="D1341" s="501"/>
      <c r="E1341" s="501"/>
      <c r="F1341" s="501"/>
      <c r="G1341" s="501"/>
    </row>
    <row r="1342" spans="2:7" x14ac:dyDescent="0.25">
      <c r="B1342" s="501" t="s">
        <v>1844</v>
      </c>
      <c r="C1342" s="501" t="s">
        <v>1845</v>
      </c>
      <c r="D1342" s="501"/>
      <c r="E1342" s="501"/>
      <c r="F1342" s="501"/>
      <c r="G1342" s="501"/>
    </row>
    <row r="1343" spans="2:7" x14ac:dyDescent="0.25">
      <c r="B1343" s="501" t="s">
        <v>1846</v>
      </c>
      <c r="C1343" s="501" t="s">
        <v>1847</v>
      </c>
      <c r="D1343" s="501">
        <v>0</v>
      </c>
      <c r="E1343" s="501">
        <v>0</v>
      </c>
      <c r="F1343" s="501">
        <v>970.91</v>
      </c>
      <c r="G1343" s="503">
        <v>10613.89</v>
      </c>
    </row>
    <row r="1344" spans="2:7" x14ac:dyDescent="0.25">
      <c r="B1344" s="501"/>
      <c r="C1344" s="501"/>
      <c r="D1344" s="501"/>
      <c r="E1344" s="501"/>
      <c r="F1344" s="501"/>
      <c r="G1344" s="501"/>
    </row>
    <row r="1345" spans="2:7" x14ac:dyDescent="0.25">
      <c r="B1345" s="501"/>
      <c r="C1345" s="501" t="s">
        <v>1887</v>
      </c>
      <c r="D1345" s="501">
        <v>0</v>
      </c>
      <c r="E1345" s="501">
        <v>0</v>
      </c>
      <c r="F1345" s="501">
        <v>970.91</v>
      </c>
      <c r="G1345" s="503">
        <v>10613.89</v>
      </c>
    </row>
    <row r="1346" spans="2:7" x14ac:dyDescent="0.25">
      <c r="B1346" s="501" t="s">
        <v>1890</v>
      </c>
      <c r="C1346" s="501" t="s">
        <v>1891</v>
      </c>
      <c r="D1346" s="501">
        <v>0</v>
      </c>
      <c r="E1346" s="503">
        <v>5025054.8</v>
      </c>
      <c r="F1346" s="501">
        <v>0</v>
      </c>
      <c r="G1346" s="501">
        <v>0</v>
      </c>
    </row>
    <row r="1347" spans="2:7" x14ac:dyDescent="0.25">
      <c r="B1347" s="501"/>
      <c r="C1347" s="501"/>
      <c r="D1347" s="501"/>
      <c r="E1347" s="501"/>
      <c r="F1347" s="501"/>
      <c r="G1347" s="501"/>
    </row>
    <row r="1348" spans="2:7" x14ac:dyDescent="0.25">
      <c r="B1348" s="501"/>
      <c r="C1348" s="501" t="s">
        <v>1892</v>
      </c>
      <c r="D1348" s="501">
        <v>0</v>
      </c>
      <c r="E1348" s="503">
        <v>5025054.8</v>
      </c>
      <c r="F1348" s="501">
        <v>0</v>
      </c>
      <c r="G1348" s="501">
        <v>0</v>
      </c>
    </row>
    <row r="1349" spans="2:7" x14ac:dyDescent="0.25">
      <c r="B1349" s="501"/>
      <c r="C1349" s="501"/>
      <c r="D1349" s="501"/>
      <c r="E1349" s="501"/>
      <c r="F1349" s="501"/>
      <c r="G1349" s="501"/>
    </row>
    <row r="1350" spans="2:7" x14ac:dyDescent="0.25">
      <c r="B1350" s="501"/>
      <c r="C1350" s="501" t="s">
        <v>1893</v>
      </c>
      <c r="D1350" s="501">
        <v>0</v>
      </c>
      <c r="E1350" s="503">
        <v>5025054.8</v>
      </c>
      <c r="F1350" s="501">
        <v>970.91</v>
      </c>
      <c r="G1350" s="503">
        <v>10613.89</v>
      </c>
    </row>
    <row r="1351" spans="2:7" x14ac:dyDescent="0.25">
      <c r="B1351" s="501"/>
      <c r="C1351" s="501"/>
      <c r="D1351" s="501"/>
      <c r="E1351" s="501"/>
      <c r="F1351" s="501"/>
      <c r="G1351" s="501"/>
    </row>
    <row r="1352" spans="2:7" x14ac:dyDescent="0.25">
      <c r="B1352" s="501"/>
      <c r="C1352" s="501"/>
      <c r="D1352" s="501"/>
      <c r="E1352" s="501"/>
      <c r="F1352" s="501"/>
      <c r="G1352" s="501"/>
    </row>
    <row r="1353" spans="2:7" x14ac:dyDescent="0.25">
      <c r="B1353" s="501"/>
      <c r="C1353" s="501" t="s">
        <v>1916</v>
      </c>
      <c r="D1353" s="503">
        <v>-6072848.4100000001</v>
      </c>
      <c r="E1353" s="503">
        <v>-50919638.689999998</v>
      </c>
      <c r="F1353" s="503">
        <v>-7008374.79</v>
      </c>
      <c r="G1353" s="503">
        <v>-43254612.700000003</v>
      </c>
    </row>
    <row r="1354" spans="2:7" x14ac:dyDescent="0.25">
      <c r="B1354" s="501"/>
      <c r="C1354" s="501" t="s">
        <v>1917</v>
      </c>
      <c r="D1354" s="501" t="s">
        <v>1918</v>
      </c>
      <c r="E1354" s="501" t="s">
        <v>1919</v>
      </c>
      <c r="F1354" s="501" t="s">
        <v>1919</v>
      </c>
      <c r="G1354" s="501" t="s">
        <v>1919</v>
      </c>
    </row>
    <row r="1355" spans="2:7" x14ac:dyDescent="0.25">
      <c r="B1355" s="501"/>
      <c r="C1355" s="501"/>
      <c r="D1355" s="501"/>
      <c r="E1355" s="501"/>
      <c r="F1355" s="501"/>
      <c r="G1355" s="501"/>
    </row>
    <row r="1356" spans="2:7" x14ac:dyDescent="0.25">
      <c r="B1356" s="501"/>
      <c r="C1356" s="501"/>
      <c r="D1356" s="501"/>
      <c r="E1356" s="501"/>
      <c r="F1356" s="501"/>
      <c r="G1356" s="501"/>
    </row>
    <row r="1357" spans="2:7" x14ac:dyDescent="0.25">
      <c r="B1357" s="501" t="s">
        <v>1240</v>
      </c>
      <c r="C1357" s="501" t="s">
        <v>1241</v>
      </c>
      <c r="D1357" s="501" t="s">
        <v>1242</v>
      </c>
      <c r="E1357" s="501" t="s">
        <v>1243</v>
      </c>
      <c r="F1357" s="501"/>
      <c r="G1357" s="501" t="s">
        <v>1939</v>
      </c>
    </row>
    <row r="1358" spans="2:7" x14ac:dyDescent="0.25">
      <c r="B1358" s="501" t="s">
        <v>1245</v>
      </c>
      <c r="C1358" s="501" t="s">
        <v>1246</v>
      </c>
      <c r="D1358" s="501" t="s">
        <v>1247</v>
      </c>
      <c r="E1358" s="501"/>
      <c r="F1358" s="501"/>
      <c r="G1358" s="501"/>
    </row>
    <row r="1359" spans="2:7" x14ac:dyDescent="0.25">
      <c r="B1359" s="501"/>
      <c r="C1359" s="501" t="s">
        <v>1248</v>
      </c>
      <c r="D1359" s="501" t="s">
        <v>1249</v>
      </c>
      <c r="E1359" s="501" t="s">
        <v>1250</v>
      </c>
      <c r="F1359" s="501" t="s">
        <v>1251</v>
      </c>
      <c r="G1359" s="501">
        <v>9</v>
      </c>
    </row>
    <row r="1360" spans="2:7" x14ac:dyDescent="0.25">
      <c r="B1360" s="501"/>
      <c r="C1360" s="501"/>
      <c r="D1360" s="501"/>
      <c r="E1360" s="501"/>
      <c r="F1360" s="501"/>
      <c r="G1360" s="501"/>
    </row>
    <row r="1361" spans="2:7" x14ac:dyDescent="0.25">
      <c r="B1361" s="504">
        <v>43469</v>
      </c>
      <c r="C1361" s="501">
        <v>104</v>
      </c>
      <c r="D1361" s="501" t="s">
        <v>1940</v>
      </c>
      <c r="E1361" s="501" t="s">
        <v>1941</v>
      </c>
      <c r="F1361" s="501"/>
      <c r="G1361" s="501" t="s">
        <v>1254</v>
      </c>
    </row>
    <row r="1362" spans="2:7" x14ac:dyDescent="0.25">
      <c r="B1362" s="501"/>
      <c r="C1362" s="501"/>
      <c r="D1362" s="501"/>
      <c r="E1362" s="501"/>
      <c r="F1362" s="501"/>
      <c r="G1362" s="501"/>
    </row>
    <row r="1363" spans="2:7" x14ac:dyDescent="0.25">
      <c r="B1363" s="501" t="s">
        <v>1255</v>
      </c>
      <c r="C1363" s="501" t="s">
        <v>1256</v>
      </c>
      <c r="D1363" s="501" t="s">
        <v>1257</v>
      </c>
      <c r="E1363" s="501" t="s">
        <v>1258</v>
      </c>
      <c r="F1363" s="501" t="s">
        <v>1259</v>
      </c>
      <c r="G1363" s="501" t="s">
        <v>1260</v>
      </c>
    </row>
    <row r="1364" spans="2:7" x14ac:dyDescent="0.25">
      <c r="B1364" s="501"/>
      <c r="C1364" s="501"/>
      <c r="D1364" s="501"/>
      <c r="E1364" s="501"/>
      <c r="F1364" s="501"/>
      <c r="G1364" s="501"/>
    </row>
    <row r="1365" spans="2:7" x14ac:dyDescent="0.25">
      <c r="B1365" s="501"/>
      <c r="C1365" s="501"/>
      <c r="D1365" s="501"/>
      <c r="E1365" s="501"/>
      <c r="F1365" s="501"/>
      <c r="G1365" s="501"/>
    </row>
    <row r="1366" spans="2:7" x14ac:dyDescent="0.25">
      <c r="B1366" s="501" t="s">
        <v>1383</v>
      </c>
      <c r="C1366" s="501" t="s">
        <v>1384</v>
      </c>
      <c r="D1366" s="501"/>
      <c r="E1366" s="501"/>
      <c r="F1366" s="501"/>
      <c r="G1366" s="501"/>
    </row>
    <row r="1367" spans="2:7" x14ac:dyDescent="0.25">
      <c r="B1367" s="501" t="s">
        <v>1390</v>
      </c>
      <c r="C1367" s="501" t="s">
        <v>1391</v>
      </c>
      <c r="D1367" s="501">
        <v>0</v>
      </c>
      <c r="E1367" s="503">
        <v>14509.92</v>
      </c>
      <c r="F1367" s="503">
        <v>5811.63</v>
      </c>
      <c r="G1367" s="503">
        <v>136996.21</v>
      </c>
    </row>
    <row r="1368" spans="2:7" x14ac:dyDescent="0.25">
      <c r="B1368" s="501" t="s">
        <v>1407</v>
      </c>
      <c r="C1368" s="501" t="s">
        <v>1408</v>
      </c>
      <c r="D1368" s="501">
        <v>0</v>
      </c>
      <c r="E1368" s="503">
        <v>-2286585.83</v>
      </c>
      <c r="F1368" s="503">
        <v>4697877.0599999996</v>
      </c>
      <c r="G1368" s="503">
        <v>63216112.450000003</v>
      </c>
    </row>
    <row r="1369" spans="2:7" x14ac:dyDescent="0.25">
      <c r="B1369" s="501" t="s">
        <v>1409</v>
      </c>
      <c r="C1369" s="501" t="s">
        <v>1410</v>
      </c>
      <c r="D1369" s="501">
        <v>0</v>
      </c>
      <c r="E1369" s="501">
        <v>0</v>
      </c>
      <c r="F1369" s="503">
        <v>119798.1</v>
      </c>
      <c r="G1369" s="503">
        <v>354497.94</v>
      </c>
    </row>
    <row r="1370" spans="2:7" x14ac:dyDescent="0.25">
      <c r="B1370" s="501" t="s">
        <v>1412</v>
      </c>
      <c r="C1370" s="501" t="s">
        <v>1413</v>
      </c>
      <c r="D1370" s="501">
        <v>0</v>
      </c>
      <c r="E1370" s="501">
        <v>0</v>
      </c>
      <c r="F1370" s="503">
        <v>22979.06</v>
      </c>
      <c r="G1370" s="503">
        <v>314165.86</v>
      </c>
    </row>
    <row r="1371" spans="2:7" x14ac:dyDescent="0.25">
      <c r="B1371" s="501" t="s">
        <v>1414</v>
      </c>
      <c r="C1371" s="501" t="s">
        <v>1415</v>
      </c>
      <c r="D1371" s="503">
        <v>-10230879.49</v>
      </c>
      <c r="E1371" s="503">
        <v>-24289648.629999999</v>
      </c>
      <c r="F1371" s="503">
        <v>-1318440.49</v>
      </c>
      <c r="G1371" s="503">
        <v>7140167.3399999999</v>
      </c>
    </row>
    <row r="1372" spans="2:7" x14ac:dyDescent="0.25">
      <c r="B1372" s="501" t="s">
        <v>1416</v>
      </c>
      <c r="C1372" s="501" t="s">
        <v>1417</v>
      </c>
      <c r="D1372" s="501">
        <v>0</v>
      </c>
      <c r="E1372" s="501">
        <v>0</v>
      </c>
      <c r="F1372" s="503">
        <v>21016886.039999999</v>
      </c>
      <c r="G1372" s="503">
        <v>41143296.149999999</v>
      </c>
    </row>
    <row r="1373" spans="2:7" x14ac:dyDescent="0.25">
      <c r="B1373" s="501" t="s">
        <v>1418</v>
      </c>
      <c r="C1373" s="501" t="s">
        <v>1419</v>
      </c>
      <c r="D1373" s="501">
        <v>0</v>
      </c>
      <c r="E1373" s="501">
        <v>0</v>
      </c>
      <c r="F1373" s="501">
        <v>0</v>
      </c>
      <c r="G1373" s="503">
        <v>-77725.41</v>
      </c>
    </row>
    <row r="1374" spans="2:7" x14ac:dyDescent="0.25">
      <c r="B1374" s="501" t="s">
        <v>1428</v>
      </c>
      <c r="C1374" s="501" t="s">
        <v>1429</v>
      </c>
      <c r="D1374" s="501">
        <v>0</v>
      </c>
      <c r="E1374" s="503">
        <v>128001.27</v>
      </c>
      <c r="F1374" s="501">
        <v>590.91</v>
      </c>
      <c r="G1374" s="503">
        <v>391206.83</v>
      </c>
    </row>
    <row r="1375" spans="2:7" x14ac:dyDescent="0.25">
      <c r="B1375" s="501" t="s">
        <v>1430</v>
      </c>
      <c r="C1375" s="501" t="s">
        <v>1431</v>
      </c>
      <c r="D1375" s="501">
        <v>0</v>
      </c>
      <c r="E1375" s="501">
        <v>0</v>
      </c>
      <c r="F1375" s="503">
        <v>9655.57</v>
      </c>
      <c r="G1375" s="503">
        <v>3588296.43</v>
      </c>
    </row>
    <row r="1376" spans="2:7" x14ac:dyDescent="0.25">
      <c r="B1376" s="501" t="s">
        <v>1441</v>
      </c>
      <c r="C1376" s="501" t="s">
        <v>1442</v>
      </c>
      <c r="D1376" s="501">
        <v>0</v>
      </c>
      <c r="E1376" s="501">
        <v>0</v>
      </c>
      <c r="F1376" s="503">
        <v>126874</v>
      </c>
      <c r="G1376" s="503">
        <v>1777.2</v>
      </c>
    </row>
    <row r="1377" spans="2:7" x14ac:dyDescent="0.25">
      <c r="B1377" s="501" t="s">
        <v>1445</v>
      </c>
      <c r="C1377" s="501" t="s">
        <v>1446</v>
      </c>
      <c r="D1377" s="501">
        <v>0</v>
      </c>
      <c r="E1377" s="503">
        <v>-960052.4</v>
      </c>
      <c r="F1377" s="503">
        <v>336604.1</v>
      </c>
      <c r="G1377" s="503">
        <v>3235530.9</v>
      </c>
    </row>
    <row r="1378" spans="2:7" x14ac:dyDescent="0.25">
      <c r="B1378" s="501"/>
      <c r="C1378" s="501"/>
      <c r="D1378" s="501"/>
      <c r="E1378" s="501"/>
      <c r="F1378" s="501"/>
      <c r="G1378" s="501"/>
    </row>
    <row r="1379" spans="2:7" x14ac:dyDescent="0.25">
      <c r="B1379" s="501"/>
      <c r="C1379" s="501" t="s">
        <v>1457</v>
      </c>
      <c r="D1379" s="503">
        <v>-10230879.49</v>
      </c>
      <c r="E1379" s="503">
        <v>-27393775.670000002</v>
      </c>
      <c r="F1379" s="503">
        <v>25018635.98</v>
      </c>
      <c r="G1379" s="503">
        <v>119444321.90000001</v>
      </c>
    </row>
    <row r="1380" spans="2:7" x14ac:dyDescent="0.25">
      <c r="B1380" s="501" t="s">
        <v>1458</v>
      </c>
      <c r="C1380" s="501" t="s">
        <v>1391</v>
      </c>
      <c r="D1380" s="503">
        <v>3210.62</v>
      </c>
      <c r="E1380" s="503">
        <v>15430.76</v>
      </c>
      <c r="F1380" s="501">
        <v>0</v>
      </c>
      <c r="G1380" s="501">
        <v>0</v>
      </c>
    </row>
    <row r="1381" spans="2:7" x14ac:dyDescent="0.25">
      <c r="B1381" s="501" t="s">
        <v>1459</v>
      </c>
      <c r="C1381" s="501" t="s">
        <v>1408</v>
      </c>
      <c r="D1381" s="503">
        <v>7115027.7400000002</v>
      </c>
      <c r="E1381" s="503">
        <v>86630333.030000001</v>
      </c>
      <c r="F1381" s="501">
        <v>0</v>
      </c>
      <c r="G1381" s="501">
        <v>0</v>
      </c>
    </row>
    <row r="1382" spans="2:7" x14ac:dyDescent="0.25">
      <c r="B1382" s="501" t="s">
        <v>1460</v>
      </c>
      <c r="C1382" s="501" t="s">
        <v>1410</v>
      </c>
      <c r="D1382" s="503">
        <v>36095.129999999997</v>
      </c>
      <c r="E1382" s="503">
        <v>352696.61</v>
      </c>
      <c r="F1382" s="501">
        <v>0</v>
      </c>
      <c r="G1382" s="501">
        <v>0</v>
      </c>
    </row>
    <row r="1383" spans="2:7" x14ac:dyDescent="0.25">
      <c r="B1383" s="501" t="s">
        <v>1461</v>
      </c>
      <c r="C1383" s="501" t="s">
        <v>1413</v>
      </c>
      <c r="D1383" s="503">
        <v>-21698.53</v>
      </c>
      <c r="E1383" s="503">
        <v>619861.06000000006</v>
      </c>
      <c r="F1383" s="501">
        <v>0</v>
      </c>
      <c r="G1383" s="501">
        <v>0</v>
      </c>
    </row>
    <row r="1384" spans="2:7" x14ac:dyDescent="0.25">
      <c r="B1384" s="501" t="s">
        <v>1462</v>
      </c>
      <c r="C1384" s="501" t="s">
        <v>1415</v>
      </c>
      <c r="D1384" s="503">
        <v>1806009.83</v>
      </c>
      <c r="E1384" s="503">
        <v>23592347.66</v>
      </c>
      <c r="F1384" s="501">
        <v>0</v>
      </c>
      <c r="G1384" s="501">
        <v>0</v>
      </c>
    </row>
    <row r="1385" spans="2:7" x14ac:dyDescent="0.25">
      <c r="B1385" s="501" t="s">
        <v>1463</v>
      </c>
      <c r="C1385" s="501" t="s">
        <v>1464</v>
      </c>
      <c r="D1385" s="503">
        <v>1144525.29</v>
      </c>
      <c r="E1385" s="503">
        <v>18338393.219999999</v>
      </c>
      <c r="F1385" s="503">
        <v>2273105.94</v>
      </c>
      <c r="G1385" s="503">
        <v>12946406.08</v>
      </c>
    </row>
    <row r="1386" spans="2:7" x14ac:dyDescent="0.25">
      <c r="B1386" s="501" t="s">
        <v>1465</v>
      </c>
      <c r="C1386" s="501" t="s">
        <v>1466</v>
      </c>
      <c r="D1386" s="501">
        <v>0</v>
      </c>
      <c r="E1386" s="501">
        <v>0</v>
      </c>
      <c r="F1386" s="503">
        <v>6000</v>
      </c>
      <c r="G1386" s="503">
        <v>18000</v>
      </c>
    </row>
    <row r="1387" spans="2:7" x14ac:dyDescent="0.25">
      <c r="B1387" s="501" t="s">
        <v>1467</v>
      </c>
      <c r="C1387" s="501" t="s">
        <v>1468</v>
      </c>
      <c r="D1387" s="503">
        <v>10230879.49</v>
      </c>
      <c r="E1387" s="503">
        <v>24050168.739999998</v>
      </c>
      <c r="F1387" s="503">
        <v>3646620.1</v>
      </c>
      <c r="G1387" s="503">
        <v>13538898.279999999</v>
      </c>
    </row>
    <row r="1388" spans="2:7" x14ac:dyDescent="0.25">
      <c r="B1388" s="501" t="s">
        <v>1469</v>
      </c>
      <c r="C1388" s="501" t="s">
        <v>1470</v>
      </c>
      <c r="D1388" s="503">
        <v>-10230879.49</v>
      </c>
      <c r="E1388" s="503">
        <v>-24050168.739999998</v>
      </c>
      <c r="F1388" s="503">
        <v>-3646620.1</v>
      </c>
      <c r="G1388" s="503">
        <v>-13538898.279999999</v>
      </c>
    </row>
    <row r="1389" spans="2:7" x14ac:dyDescent="0.25">
      <c r="B1389" s="501" t="s">
        <v>1471</v>
      </c>
      <c r="C1389" s="501" t="s">
        <v>1470</v>
      </c>
      <c r="D1389" s="503">
        <v>10230879.49</v>
      </c>
      <c r="E1389" s="503">
        <v>24050168.739999998</v>
      </c>
      <c r="F1389" s="503">
        <v>3646620.1</v>
      </c>
      <c r="G1389" s="503">
        <v>13538898.279999999</v>
      </c>
    </row>
    <row r="1390" spans="2:7" x14ac:dyDescent="0.25">
      <c r="B1390" s="501" t="s">
        <v>1472</v>
      </c>
      <c r="C1390" s="501" t="s">
        <v>1417</v>
      </c>
      <c r="D1390" s="503">
        <v>3155476.89</v>
      </c>
      <c r="E1390" s="503">
        <v>26445849.02</v>
      </c>
      <c r="F1390" s="501">
        <v>0</v>
      </c>
      <c r="G1390" s="501">
        <v>0</v>
      </c>
    </row>
    <row r="1391" spans="2:7" x14ac:dyDescent="0.25">
      <c r="B1391" s="501" t="s">
        <v>1473</v>
      </c>
      <c r="C1391" s="501" t="s">
        <v>1419</v>
      </c>
      <c r="D1391" s="503">
        <v>-141654.24</v>
      </c>
      <c r="E1391" s="503">
        <v>-146863.07</v>
      </c>
      <c r="F1391" s="501">
        <v>0</v>
      </c>
      <c r="G1391" s="501">
        <v>0</v>
      </c>
    </row>
    <row r="1392" spans="2:7" x14ac:dyDescent="0.25">
      <c r="B1392" s="501" t="s">
        <v>1474</v>
      </c>
      <c r="C1392" s="501" t="s">
        <v>1429</v>
      </c>
      <c r="D1392" s="501">
        <v>-513.97</v>
      </c>
      <c r="E1392" s="503">
        <v>420587.26</v>
      </c>
      <c r="F1392" s="501">
        <v>0</v>
      </c>
      <c r="G1392" s="501">
        <v>0</v>
      </c>
    </row>
    <row r="1393" spans="2:7" x14ac:dyDescent="0.25">
      <c r="B1393" s="501" t="s">
        <v>1475</v>
      </c>
      <c r="C1393" s="501" t="s">
        <v>1431</v>
      </c>
      <c r="D1393" s="503">
        <v>20291.240000000002</v>
      </c>
      <c r="E1393" s="503">
        <v>3489054.13</v>
      </c>
      <c r="F1393" s="501">
        <v>0</v>
      </c>
      <c r="G1393" s="501">
        <v>0</v>
      </c>
    </row>
    <row r="1394" spans="2:7" x14ac:dyDescent="0.25">
      <c r="B1394" s="501" t="s">
        <v>1476</v>
      </c>
      <c r="C1394" s="501" t="s">
        <v>1477</v>
      </c>
      <c r="D1394" s="501">
        <v>0</v>
      </c>
      <c r="E1394" s="501">
        <v>0</v>
      </c>
      <c r="F1394" s="503">
        <v>1954.5</v>
      </c>
      <c r="G1394" s="503">
        <v>142421.81</v>
      </c>
    </row>
    <row r="1395" spans="2:7" x14ac:dyDescent="0.25">
      <c r="B1395" s="501" t="s">
        <v>1478</v>
      </c>
      <c r="C1395" s="501" t="s">
        <v>1479</v>
      </c>
      <c r="D1395" s="503">
        <v>315315.27</v>
      </c>
      <c r="E1395" s="503">
        <v>4774257.05</v>
      </c>
      <c r="F1395" s="501">
        <v>0</v>
      </c>
      <c r="G1395" s="501">
        <v>0</v>
      </c>
    </row>
    <row r="1396" spans="2:7" x14ac:dyDescent="0.25">
      <c r="B1396" s="501" t="s">
        <v>1480</v>
      </c>
      <c r="C1396" s="501" t="s">
        <v>1481</v>
      </c>
      <c r="D1396" s="503">
        <v>1237451.17</v>
      </c>
      <c r="E1396" s="503">
        <v>35570020.350000001</v>
      </c>
      <c r="F1396" s="501">
        <v>0</v>
      </c>
      <c r="G1396" s="501">
        <v>0</v>
      </c>
    </row>
    <row r="1397" spans="2:7" x14ac:dyDescent="0.25">
      <c r="B1397" s="501" t="s">
        <v>1482</v>
      </c>
      <c r="C1397" s="501" t="s">
        <v>1456</v>
      </c>
      <c r="D1397" s="503">
        <v>-1216816.8899999999</v>
      </c>
      <c r="E1397" s="503">
        <v>-35483285.420000002</v>
      </c>
      <c r="F1397" s="501">
        <v>0</v>
      </c>
      <c r="G1397" s="501">
        <v>0</v>
      </c>
    </row>
    <row r="1398" spans="2:7" x14ac:dyDescent="0.25">
      <c r="B1398" s="501" t="s">
        <v>1483</v>
      </c>
      <c r="C1398" s="501" t="s">
        <v>1484</v>
      </c>
      <c r="D1398" s="503">
        <v>-4465.5600000000004</v>
      </c>
      <c r="E1398" s="503">
        <v>-5387978.0199999996</v>
      </c>
      <c r="F1398" s="501">
        <v>0</v>
      </c>
      <c r="G1398" s="501">
        <v>0</v>
      </c>
    </row>
    <row r="1399" spans="2:7" x14ac:dyDescent="0.25">
      <c r="B1399" s="501"/>
      <c r="C1399" s="501"/>
      <c r="D1399" s="501"/>
      <c r="E1399" s="501"/>
      <c r="F1399" s="501"/>
      <c r="G1399" s="501"/>
    </row>
    <row r="1400" spans="2:7" x14ac:dyDescent="0.25">
      <c r="B1400" s="501"/>
      <c r="C1400" s="501" t="s">
        <v>1485</v>
      </c>
      <c r="D1400" s="503">
        <v>23679133.48</v>
      </c>
      <c r="E1400" s="503">
        <v>183280872.38</v>
      </c>
      <c r="F1400" s="503">
        <v>5927680.54</v>
      </c>
      <c r="G1400" s="503">
        <v>26645726.170000002</v>
      </c>
    </row>
    <row r="1401" spans="2:7" x14ac:dyDescent="0.25">
      <c r="B1401" s="501" t="s">
        <v>1497</v>
      </c>
      <c r="C1401" s="501" t="s">
        <v>1498</v>
      </c>
      <c r="D1401" s="501">
        <v>0</v>
      </c>
      <c r="E1401" s="501">
        <v>0</v>
      </c>
      <c r="F1401" s="503">
        <v>1214.47</v>
      </c>
      <c r="G1401" s="503">
        <v>87255.8</v>
      </c>
    </row>
    <row r="1402" spans="2:7" x14ac:dyDescent="0.25">
      <c r="B1402" s="501"/>
      <c r="C1402" s="501"/>
      <c r="D1402" s="501"/>
      <c r="E1402" s="501"/>
      <c r="F1402" s="501"/>
      <c r="G1402" s="501"/>
    </row>
    <row r="1403" spans="2:7" x14ac:dyDescent="0.25">
      <c r="B1403" s="501"/>
      <c r="C1403" s="501" t="s">
        <v>1507</v>
      </c>
      <c r="D1403" s="501">
        <v>0</v>
      </c>
      <c r="E1403" s="501">
        <v>0</v>
      </c>
      <c r="F1403" s="503">
        <v>1214.47</v>
      </c>
      <c r="G1403" s="503">
        <v>87255.8</v>
      </c>
    </row>
    <row r="1404" spans="2:7" x14ac:dyDescent="0.25">
      <c r="B1404" s="501">
        <v>699</v>
      </c>
      <c r="C1404" s="501" t="s">
        <v>1512</v>
      </c>
      <c r="D1404" s="501"/>
      <c r="E1404" s="501"/>
      <c r="F1404" s="501"/>
      <c r="G1404" s="501"/>
    </row>
    <row r="1405" spans="2:7" x14ac:dyDescent="0.25">
      <c r="B1405" s="501" t="s">
        <v>1513</v>
      </c>
      <c r="C1405" s="501" t="s">
        <v>1506</v>
      </c>
      <c r="D1405" s="501">
        <v>0</v>
      </c>
      <c r="E1405" s="503">
        <v>-229164.32</v>
      </c>
      <c r="F1405" s="503">
        <v>-20247615.100000001</v>
      </c>
      <c r="G1405" s="503">
        <v>-21792425.870000001</v>
      </c>
    </row>
    <row r="1406" spans="2:7" x14ac:dyDescent="0.25">
      <c r="B1406" s="501"/>
      <c r="C1406" s="501" t="s">
        <v>1514</v>
      </c>
      <c r="D1406" s="501">
        <v>0</v>
      </c>
      <c r="E1406" s="503">
        <v>-229164.32</v>
      </c>
      <c r="F1406" s="503">
        <v>-20247615.100000001</v>
      </c>
      <c r="G1406" s="503">
        <v>-21792425.870000001</v>
      </c>
    </row>
    <row r="1407" spans="2:7" x14ac:dyDescent="0.25">
      <c r="B1407" s="501"/>
      <c r="C1407" s="501" t="s">
        <v>1515</v>
      </c>
      <c r="D1407" s="503">
        <v>13448253.99</v>
      </c>
      <c r="E1407" s="503">
        <v>155657932.38999999</v>
      </c>
      <c r="F1407" s="503">
        <v>10699915.890000001</v>
      </c>
      <c r="G1407" s="503">
        <v>124384878</v>
      </c>
    </row>
    <row r="1408" spans="2:7" x14ac:dyDescent="0.25">
      <c r="B1408" s="501"/>
      <c r="C1408" s="501"/>
      <c r="D1408" s="501"/>
      <c r="E1408" s="501"/>
      <c r="F1408" s="501"/>
      <c r="G1408" s="501"/>
    </row>
    <row r="1409" spans="2:7" x14ac:dyDescent="0.25">
      <c r="B1409" s="501"/>
      <c r="C1409" s="501"/>
      <c r="D1409" s="501"/>
      <c r="E1409" s="501"/>
      <c r="F1409" s="501"/>
      <c r="G1409" s="501"/>
    </row>
    <row r="1410" spans="2:7" x14ac:dyDescent="0.25">
      <c r="B1410" s="501"/>
      <c r="C1410" s="501" t="s">
        <v>1516</v>
      </c>
      <c r="D1410" s="503">
        <v>13448253.99</v>
      </c>
      <c r="E1410" s="503">
        <v>155657932.38999999</v>
      </c>
      <c r="F1410" s="503">
        <v>10699915.890000001</v>
      </c>
      <c r="G1410" s="503">
        <v>124384878</v>
      </c>
    </row>
    <row r="1411" spans="2:7" x14ac:dyDescent="0.25">
      <c r="B1411" s="501"/>
      <c r="C1411" s="501"/>
      <c r="D1411" s="501"/>
      <c r="E1411" s="501"/>
      <c r="F1411" s="501"/>
      <c r="G1411" s="501"/>
    </row>
    <row r="1412" spans="2:7" x14ac:dyDescent="0.25">
      <c r="B1412" s="501" t="s">
        <v>1517</v>
      </c>
      <c r="C1412" s="501" t="s">
        <v>1518</v>
      </c>
      <c r="D1412" s="501"/>
      <c r="E1412" s="501"/>
      <c r="F1412" s="501"/>
      <c r="G1412" s="501"/>
    </row>
    <row r="1413" spans="2:7" x14ac:dyDescent="0.25">
      <c r="B1413" s="501" t="s">
        <v>1519</v>
      </c>
      <c r="C1413" s="501" t="s">
        <v>473</v>
      </c>
      <c r="D1413" s="503">
        <v>52651.7</v>
      </c>
      <c r="E1413" s="503">
        <v>57558.58</v>
      </c>
      <c r="F1413" s="501">
        <v>234.37</v>
      </c>
      <c r="G1413" s="503">
        <v>27868.48</v>
      </c>
    </row>
    <row r="1414" spans="2:7" x14ac:dyDescent="0.25">
      <c r="B1414" s="501" t="s">
        <v>1522</v>
      </c>
      <c r="C1414" s="501" t="s">
        <v>1523</v>
      </c>
      <c r="D1414" s="503">
        <v>525361.12</v>
      </c>
      <c r="E1414" s="503">
        <v>6178711.4100000001</v>
      </c>
      <c r="F1414" s="503">
        <v>472690.62</v>
      </c>
      <c r="G1414" s="503">
        <v>5361793.7</v>
      </c>
    </row>
    <row r="1415" spans="2:7" x14ac:dyDescent="0.25">
      <c r="B1415" s="501" t="s">
        <v>1524</v>
      </c>
      <c r="C1415" s="501" t="s">
        <v>1525</v>
      </c>
      <c r="D1415" s="503">
        <v>2091936.57</v>
      </c>
      <c r="E1415" s="503">
        <v>21537233.780000001</v>
      </c>
      <c r="F1415" s="503">
        <v>1224114.95</v>
      </c>
      <c r="G1415" s="503">
        <v>14274556.130000001</v>
      </c>
    </row>
    <row r="1416" spans="2:7" x14ac:dyDescent="0.25">
      <c r="B1416" s="501" t="s">
        <v>1526</v>
      </c>
      <c r="C1416" s="501" t="s">
        <v>1527</v>
      </c>
      <c r="D1416" s="503">
        <v>554846.81000000006</v>
      </c>
      <c r="E1416" s="503">
        <v>6440231.96</v>
      </c>
      <c r="F1416" s="503">
        <v>457757.84</v>
      </c>
      <c r="G1416" s="503">
        <v>5402929.6200000001</v>
      </c>
    </row>
    <row r="1417" spans="2:7" x14ac:dyDescent="0.25">
      <c r="B1417" s="501"/>
      <c r="C1417" s="501"/>
      <c r="D1417" s="501"/>
      <c r="E1417" s="501"/>
      <c r="F1417" s="501"/>
      <c r="G1417" s="501"/>
    </row>
    <row r="1418" spans="2:7" x14ac:dyDescent="0.25">
      <c r="B1418" s="501"/>
      <c r="C1418" s="501"/>
      <c r="D1418" s="501"/>
      <c r="E1418" s="501"/>
      <c r="F1418" s="501"/>
      <c r="G1418" s="501"/>
    </row>
    <row r="1419" spans="2:7" x14ac:dyDescent="0.25">
      <c r="B1419" s="501" t="s">
        <v>1240</v>
      </c>
      <c r="C1419" s="501" t="s">
        <v>1241</v>
      </c>
      <c r="D1419" s="501" t="s">
        <v>1242</v>
      </c>
      <c r="E1419" s="501" t="s">
        <v>1243</v>
      </c>
      <c r="F1419" s="501"/>
      <c r="G1419" s="501" t="s">
        <v>1942</v>
      </c>
    </row>
    <row r="1420" spans="2:7" x14ac:dyDescent="0.25">
      <c r="B1420" s="501" t="s">
        <v>1245</v>
      </c>
      <c r="C1420" s="501" t="s">
        <v>1246</v>
      </c>
      <c r="D1420" s="501" t="s">
        <v>1247</v>
      </c>
      <c r="E1420" s="501"/>
      <c r="F1420" s="501"/>
      <c r="G1420" s="501"/>
    </row>
    <row r="1421" spans="2:7" x14ac:dyDescent="0.25">
      <c r="B1421" s="501"/>
      <c r="C1421" s="501" t="s">
        <v>1248</v>
      </c>
      <c r="D1421" s="501" t="s">
        <v>1249</v>
      </c>
      <c r="E1421" s="501" t="s">
        <v>1250</v>
      </c>
      <c r="F1421" s="501" t="s">
        <v>1251</v>
      </c>
      <c r="G1421" s="501">
        <v>9</v>
      </c>
    </row>
    <row r="1422" spans="2:7" x14ac:dyDescent="0.25">
      <c r="B1422" s="501"/>
      <c r="C1422" s="501"/>
      <c r="D1422" s="501"/>
      <c r="E1422" s="501"/>
      <c r="F1422" s="501"/>
      <c r="G1422" s="501"/>
    </row>
    <row r="1423" spans="2:7" x14ac:dyDescent="0.25">
      <c r="B1423" s="504">
        <v>43469</v>
      </c>
      <c r="C1423" s="501">
        <v>104</v>
      </c>
      <c r="D1423" s="501" t="s">
        <v>1940</v>
      </c>
      <c r="E1423" s="501" t="s">
        <v>1941</v>
      </c>
      <c r="F1423" s="501"/>
      <c r="G1423" s="501" t="s">
        <v>1254</v>
      </c>
    </row>
    <row r="1424" spans="2:7" x14ac:dyDescent="0.25">
      <c r="B1424" s="501"/>
      <c r="C1424" s="501"/>
      <c r="D1424" s="501"/>
      <c r="E1424" s="501"/>
      <c r="F1424" s="501"/>
      <c r="G1424" s="501"/>
    </row>
    <row r="1425" spans="2:7" x14ac:dyDescent="0.25">
      <c r="B1425" s="501" t="s">
        <v>1255</v>
      </c>
      <c r="C1425" s="501" t="s">
        <v>1256</v>
      </c>
      <c r="D1425" s="501" t="s">
        <v>1257</v>
      </c>
      <c r="E1425" s="501" t="s">
        <v>1258</v>
      </c>
      <c r="F1425" s="501" t="s">
        <v>1259</v>
      </c>
      <c r="G1425" s="501" t="s">
        <v>1260</v>
      </c>
    </row>
    <row r="1426" spans="2:7" x14ac:dyDescent="0.25">
      <c r="B1426" s="501"/>
      <c r="C1426" s="501"/>
      <c r="D1426" s="501"/>
      <c r="E1426" s="501"/>
      <c r="F1426" s="501"/>
      <c r="G1426" s="501"/>
    </row>
    <row r="1427" spans="2:7" x14ac:dyDescent="0.25">
      <c r="B1427" s="501" t="s">
        <v>1517</v>
      </c>
      <c r="C1427" s="501" t="s">
        <v>1518</v>
      </c>
      <c r="D1427" s="501"/>
      <c r="E1427" s="501"/>
      <c r="F1427" s="501"/>
      <c r="G1427" s="501"/>
    </row>
    <row r="1428" spans="2:7" x14ac:dyDescent="0.25">
      <c r="B1428" s="501" t="s">
        <v>1528</v>
      </c>
      <c r="C1428" s="501" t="s">
        <v>1529</v>
      </c>
      <c r="D1428" s="503">
        <v>91535.94</v>
      </c>
      <c r="E1428" s="503">
        <v>978874.16</v>
      </c>
      <c r="F1428" s="503">
        <v>99577.9</v>
      </c>
      <c r="G1428" s="503">
        <v>1048746.78</v>
      </c>
    </row>
    <row r="1429" spans="2:7" x14ac:dyDescent="0.25">
      <c r="B1429" s="501" t="s">
        <v>1532</v>
      </c>
      <c r="C1429" s="501" t="s">
        <v>1533</v>
      </c>
      <c r="D1429" s="503">
        <v>50541.88</v>
      </c>
      <c r="E1429" s="503">
        <v>595685.78</v>
      </c>
      <c r="F1429" s="503">
        <v>41603.660000000003</v>
      </c>
      <c r="G1429" s="503">
        <v>631344.65</v>
      </c>
    </row>
    <row r="1430" spans="2:7" x14ac:dyDescent="0.25">
      <c r="B1430" s="501" t="s">
        <v>1536</v>
      </c>
      <c r="C1430" s="501" t="s">
        <v>1537</v>
      </c>
      <c r="D1430" s="503">
        <v>-87732.97</v>
      </c>
      <c r="E1430" s="503">
        <v>-558826.53</v>
      </c>
      <c r="F1430" s="503">
        <v>-6266.69</v>
      </c>
      <c r="G1430" s="503">
        <v>-82203.12</v>
      </c>
    </row>
    <row r="1431" spans="2:7" x14ac:dyDescent="0.25">
      <c r="B1431" s="501"/>
      <c r="C1431" s="501"/>
      <c r="D1431" s="501"/>
      <c r="E1431" s="501"/>
      <c r="F1431" s="501"/>
      <c r="G1431" s="501"/>
    </row>
    <row r="1432" spans="2:7" x14ac:dyDescent="0.25">
      <c r="B1432" s="501"/>
      <c r="C1432" s="501" t="s">
        <v>1538</v>
      </c>
      <c r="D1432" s="503">
        <v>3279141.05</v>
      </c>
      <c r="E1432" s="503">
        <v>35229469.140000001</v>
      </c>
      <c r="F1432" s="503">
        <v>2289712.65</v>
      </c>
      <c r="G1432" s="503">
        <v>26665036.239999998</v>
      </c>
    </row>
    <row r="1433" spans="2:7" x14ac:dyDescent="0.25">
      <c r="B1433" s="501" t="s">
        <v>1539</v>
      </c>
      <c r="C1433" s="501" t="s">
        <v>3</v>
      </c>
      <c r="D1433" s="503">
        <v>928555.63</v>
      </c>
      <c r="E1433" s="503">
        <v>9991110.2400000002</v>
      </c>
      <c r="F1433" s="503">
        <v>670885.91</v>
      </c>
      <c r="G1433" s="503">
        <v>7909633.3700000001</v>
      </c>
    </row>
    <row r="1434" spans="2:7" x14ac:dyDescent="0.25">
      <c r="B1434" s="501" t="s">
        <v>1577</v>
      </c>
      <c r="C1434" s="501" t="s">
        <v>1578</v>
      </c>
      <c r="D1434" s="503">
        <v>-1846.84</v>
      </c>
      <c r="E1434" s="503">
        <v>-32259.119999999999</v>
      </c>
      <c r="F1434" s="503">
        <v>-1339.75</v>
      </c>
      <c r="G1434" s="503">
        <v>-16024.83</v>
      </c>
    </row>
    <row r="1435" spans="2:7" x14ac:dyDescent="0.25">
      <c r="B1435" s="501"/>
      <c r="C1435" s="501"/>
      <c r="D1435" s="501"/>
      <c r="E1435" s="501"/>
      <c r="F1435" s="501"/>
      <c r="G1435" s="501"/>
    </row>
    <row r="1436" spans="2:7" x14ac:dyDescent="0.25">
      <c r="B1436" s="501"/>
      <c r="C1436" s="501" t="s">
        <v>1579</v>
      </c>
      <c r="D1436" s="503">
        <v>926708.79</v>
      </c>
      <c r="E1436" s="503">
        <v>9958851.1199999992</v>
      </c>
      <c r="F1436" s="503">
        <v>669546.16</v>
      </c>
      <c r="G1436" s="503">
        <v>7893608.54</v>
      </c>
    </row>
    <row r="1437" spans="2:7" x14ac:dyDescent="0.25">
      <c r="B1437" s="501" t="s">
        <v>1580</v>
      </c>
      <c r="C1437" s="501" t="s">
        <v>1581</v>
      </c>
      <c r="D1437" s="501">
        <v>0</v>
      </c>
      <c r="E1437" s="503">
        <v>2093.52</v>
      </c>
      <c r="F1437" s="501">
        <v>0</v>
      </c>
      <c r="G1437" s="503">
        <v>27093</v>
      </c>
    </row>
    <row r="1438" spans="2:7" x14ac:dyDescent="0.25">
      <c r="B1438" s="501"/>
      <c r="C1438" s="501"/>
      <c r="D1438" s="501"/>
      <c r="E1438" s="501"/>
      <c r="F1438" s="501"/>
      <c r="G1438" s="501"/>
    </row>
    <row r="1439" spans="2:7" x14ac:dyDescent="0.25">
      <c r="B1439" s="501"/>
      <c r="C1439" s="501" t="s">
        <v>1582</v>
      </c>
      <c r="D1439" s="501">
        <v>0</v>
      </c>
      <c r="E1439" s="503">
        <v>2093.52</v>
      </c>
      <c r="F1439" s="501">
        <v>0</v>
      </c>
      <c r="G1439" s="503">
        <v>27093</v>
      </c>
    </row>
    <row r="1440" spans="2:7" x14ac:dyDescent="0.25">
      <c r="B1440" s="501" t="s">
        <v>1589</v>
      </c>
      <c r="C1440" s="501" t="s">
        <v>1590</v>
      </c>
      <c r="D1440" s="501">
        <v>867.52</v>
      </c>
      <c r="E1440" s="503">
        <v>41675.160000000003</v>
      </c>
      <c r="F1440" s="501">
        <v>0</v>
      </c>
      <c r="G1440" s="503">
        <v>38912.68</v>
      </c>
    </row>
    <row r="1441" spans="2:7" x14ac:dyDescent="0.25">
      <c r="B1441" s="501" t="s">
        <v>1595</v>
      </c>
      <c r="C1441" s="501" t="s">
        <v>1596</v>
      </c>
      <c r="D1441" s="503">
        <v>33246.81</v>
      </c>
      <c r="E1441" s="503">
        <v>490102.16</v>
      </c>
      <c r="F1441" s="503">
        <v>79507.509999999995</v>
      </c>
      <c r="G1441" s="503">
        <v>621501.47</v>
      </c>
    </row>
    <row r="1442" spans="2:7" x14ac:dyDescent="0.25">
      <c r="B1442" s="501" t="s">
        <v>1597</v>
      </c>
      <c r="C1442" s="501" t="s">
        <v>1598</v>
      </c>
      <c r="D1442" s="503">
        <v>25983.75</v>
      </c>
      <c r="E1442" s="503">
        <v>110920.97</v>
      </c>
      <c r="F1442" s="503">
        <v>5770.05</v>
      </c>
      <c r="G1442" s="503">
        <v>75633.789999999994</v>
      </c>
    </row>
    <row r="1443" spans="2:7" x14ac:dyDescent="0.25">
      <c r="B1443" s="501" t="s">
        <v>1629</v>
      </c>
      <c r="C1443" s="501" t="s">
        <v>1630</v>
      </c>
      <c r="D1443" s="503">
        <v>2409.08</v>
      </c>
      <c r="E1443" s="503">
        <v>21819.98</v>
      </c>
      <c r="F1443" s="503">
        <v>-15197.32</v>
      </c>
      <c r="G1443" s="503">
        <v>25194.33</v>
      </c>
    </row>
    <row r="1444" spans="2:7" x14ac:dyDescent="0.25">
      <c r="B1444" s="501"/>
      <c r="C1444" s="501"/>
      <c r="D1444" s="501"/>
      <c r="E1444" s="501"/>
      <c r="F1444" s="501"/>
      <c r="G1444" s="501"/>
    </row>
    <row r="1445" spans="2:7" x14ac:dyDescent="0.25">
      <c r="B1445" s="501"/>
      <c r="C1445" s="501" t="s">
        <v>1631</v>
      </c>
      <c r="D1445" s="503">
        <v>62507.16</v>
      </c>
      <c r="E1445" s="503">
        <v>664518.27</v>
      </c>
      <c r="F1445" s="503">
        <v>70080.240000000005</v>
      </c>
      <c r="G1445" s="503">
        <v>761242.27</v>
      </c>
    </row>
    <row r="1446" spans="2:7" x14ac:dyDescent="0.25">
      <c r="B1446" s="501" t="s">
        <v>1632</v>
      </c>
      <c r="C1446" s="501" t="s">
        <v>1633</v>
      </c>
      <c r="D1446" s="503">
        <v>2299.1799999999998</v>
      </c>
      <c r="E1446" s="503">
        <v>17508.189999999999</v>
      </c>
      <c r="F1446" s="503">
        <v>1690.27</v>
      </c>
      <c r="G1446" s="503">
        <v>7776.18</v>
      </c>
    </row>
    <row r="1447" spans="2:7" x14ac:dyDescent="0.25">
      <c r="B1447" s="501" t="s">
        <v>1634</v>
      </c>
      <c r="C1447" s="501" t="s">
        <v>1635</v>
      </c>
      <c r="D1447" s="501">
        <v>0</v>
      </c>
      <c r="E1447" s="503">
        <v>2186.92</v>
      </c>
      <c r="F1447" s="501">
        <v>0</v>
      </c>
      <c r="G1447" s="503">
        <v>1656.79</v>
      </c>
    </row>
    <row r="1448" spans="2:7" x14ac:dyDescent="0.25">
      <c r="B1448" s="501" t="s">
        <v>1638</v>
      </c>
      <c r="C1448" s="501" t="s">
        <v>1639</v>
      </c>
      <c r="D1448" s="501">
        <v>0</v>
      </c>
      <c r="E1448" s="501">
        <v>83.68</v>
      </c>
      <c r="F1448" s="501">
        <v>0</v>
      </c>
      <c r="G1448" s="501">
        <v>0</v>
      </c>
    </row>
    <row r="1449" spans="2:7" x14ac:dyDescent="0.25">
      <c r="B1449" s="501" t="s">
        <v>1640</v>
      </c>
      <c r="C1449" s="501" t="s">
        <v>1641</v>
      </c>
      <c r="D1449" s="503">
        <v>69449.53</v>
      </c>
      <c r="E1449" s="503">
        <v>300120.51</v>
      </c>
      <c r="F1449" s="503">
        <v>7386.77</v>
      </c>
      <c r="G1449" s="503">
        <v>182489.18</v>
      </c>
    </row>
    <row r="1450" spans="2:7" x14ac:dyDescent="0.25">
      <c r="B1450" s="501" t="s">
        <v>1642</v>
      </c>
      <c r="C1450" s="501" t="s">
        <v>1643</v>
      </c>
      <c r="D1450" s="503">
        <v>8746.25</v>
      </c>
      <c r="E1450" s="503">
        <v>108958.72</v>
      </c>
      <c r="F1450" s="503">
        <v>14153.5</v>
      </c>
      <c r="G1450" s="503">
        <v>100425.46</v>
      </c>
    </row>
    <row r="1451" spans="2:7" x14ac:dyDescent="0.25">
      <c r="B1451" s="501" t="s">
        <v>1644</v>
      </c>
      <c r="C1451" s="501" t="s">
        <v>1645</v>
      </c>
      <c r="D1451" s="503">
        <v>1081767.8899999999</v>
      </c>
      <c r="E1451" s="503">
        <v>9235765.0199999996</v>
      </c>
      <c r="F1451" s="503">
        <v>716980.37</v>
      </c>
      <c r="G1451" s="503">
        <v>6851543.9100000001</v>
      </c>
    </row>
    <row r="1452" spans="2:7" x14ac:dyDescent="0.25">
      <c r="B1452" s="501" t="s">
        <v>1646</v>
      </c>
      <c r="C1452" s="501" t="s">
        <v>1647</v>
      </c>
      <c r="D1452" s="503">
        <v>1596.03</v>
      </c>
      <c r="E1452" s="503">
        <v>16289.1</v>
      </c>
      <c r="F1452" s="501">
        <v>376.46</v>
      </c>
      <c r="G1452" s="503">
        <v>17993.93</v>
      </c>
    </row>
    <row r="1453" spans="2:7" x14ac:dyDescent="0.25">
      <c r="B1453" s="501" t="s">
        <v>1648</v>
      </c>
      <c r="C1453" s="501" t="s">
        <v>1649</v>
      </c>
      <c r="D1453" s="503">
        <v>37185.230000000003</v>
      </c>
      <c r="E1453" s="503">
        <v>290643.5</v>
      </c>
      <c r="F1453" s="503">
        <v>50713.48</v>
      </c>
      <c r="G1453" s="503">
        <v>276608.53999999998</v>
      </c>
    </row>
    <row r="1454" spans="2:7" x14ac:dyDescent="0.25">
      <c r="B1454" s="501" t="s">
        <v>1650</v>
      </c>
      <c r="C1454" s="501" t="s">
        <v>1651</v>
      </c>
      <c r="D1454" s="501">
        <v>347.59</v>
      </c>
      <c r="E1454" s="503">
        <v>4953.07</v>
      </c>
      <c r="F1454" s="501">
        <v>332.65</v>
      </c>
      <c r="G1454" s="503">
        <v>3855.06</v>
      </c>
    </row>
    <row r="1455" spans="2:7" x14ac:dyDescent="0.25">
      <c r="B1455" s="501"/>
      <c r="C1455" s="501"/>
      <c r="D1455" s="501"/>
      <c r="E1455" s="501"/>
      <c r="F1455" s="501"/>
      <c r="G1455" s="501"/>
    </row>
    <row r="1456" spans="2:7" x14ac:dyDescent="0.25">
      <c r="B1456" s="501"/>
      <c r="C1456" s="501" t="s">
        <v>1653</v>
      </c>
      <c r="D1456" s="503">
        <v>1201391.7</v>
      </c>
      <c r="E1456" s="503">
        <v>9976508.7100000009</v>
      </c>
      <c r="F1456" s="503">
        <v>791633.5</v>
      </c>
      <c r="G1456" s="503">
        <v>7442349.0499999998</v>
      </c>
    </row>
    <row r="1457" spans="2:7" x14ac:dyDescent="0.25">
      <c r="B1457" s="501" t="s">
        <v>1662</v>
      </c>
      <c r="C1457" s="501" t="s">
        <v>1663</v>
      </c>
      <c r="D1457" s="503">
        <v>1222.55</v>
      </c>
      <c r="E1457" s="503">
        <v>20204.04</v>
      </c>
      <c r="F1457" s="501">
        <v>532.59</v>
      </c>
      <c r="G1457" s="503">
        <v>16937.3</v>
      </c>
    </row>
    <row r="1458" spans="2:7" x14ac:dyDescent="0.25">
      <c r="B1458" s="501"/>
      <c r="C1458" s="501"/>
      <c r="D1458" s="501"/>
      <c r="E1458" s="501"/>
      <c r="F1458" s="501"/>
      <c r="G1458" s="501"/>
    </row>
    <row r="1459" spans="2:7" x14ac:dyDescent="0.25">
      <c r="B1459" s="501"/>
      <c r="C1459" s="501" t="s">
        <v>1666</v>
      </c>
      <c r="D1459" s="503">
        <v>1222.55</v>
      </c>
      <c r="E1459" s="503">
        <v>20204.04</v>
      </c>
      <c r="F1459" s="501">
        <v>532.59</v>
      </c>
      <c r="G1459" s="503">
        <v>16937.3</v>
      </c>
    </row>
    <row r="1460" spans="2:7" x14ac:dyDescent="0.25">
      <c r="B1460" s="501">
        <v>760</v>
      </c>
      <c r="C1460" s="501" t="s">
        <v>1667</v>
      </c>
      <c r="D1460" s="501"/>
      <c r="E1460" s="501"/>
      <c r="F1460" s="501"/>
      <c r="G1460" s="501"/>
    </row>
    <row r="1461" spans="2:7" x14ac:dyDescent="0.25">
      <c r="B1461" s="501" t="s">
        <v>1668</v>
      </c>
      <c r="C1461" s="501" t="s">
        <v>1669</v>
      </c>
      <c r="D1461" s="503">
        <v>1002.76</v>
      </c>
      <c r="E1461" s="503">
        <v>34716.94</v>
      </c>
      <c r="F1461" s="503">
        <v>2114.04</v>
      </c>
      <c r="G1461" s="503">
        <v>12219.79</v>
      </c>
    </row>
    <row r="1462" spans="2:7" x14ac:dyDescent="0.25">
      <c r="B1462" s="501" t="s">
        <v>1676</v>
      </c>
      <c r="C1462" s="501" t="s">
        <v>1677</v>
      </c>
      <c r="D1462" s="501">
        <v>0</v>
      </c>
      <c r="E1462" s="503">
        <v>3236.06</v>
      </c>
      <c r="F1462" s="501">
        <v>0</v>
      </c>
      <c r="G1462" s="501">
        <v>241.02</v>
      </c>
    </row>
    <row r="1463" spans="2:7" x14ac:dyDescent="0.25">
      <c r="B1463" s="501"/>
      <c r="C1463" s="501"/>
      <c r="D1463" s="501"/>
      <c r="E1463" s="501"/>
      <c r="F1463" s="501"/>
      <c r="G1463" s="501"/>
    </row>
    <row r="1464" spans="2:7" x14ac:dyDescent="0.25">
      <c r="B1464" s="501"/>
      <c r="C1464" s="501" t="s">
        <v>1682</v>
      </c>
      <c r="D1464" s="503">
        <v>1002.76</v>
      </c>
      <c r="E1464" s="503">
        <v>37953</v>
      </c>
      <c r="F1464" s="503">
        <v>2114.04</v>
      </c>
      <c r="G1464" s="503">
        <v>12460.81</v>
      </c>
    </row>
    <row r="1465" spans="2:7" x14ac:dyDescent="0.25">
      <c r="B1465" s="501" t="s">
        <v>1685</v>
      </c>
      <c r="C1465" s="501" t="s">
        <v>1686</v>
      </c>
      <c r="D1465" s="503">
        <v>1602687.24</v>
      </c>
      <c r="E1465" s="503">
        <v>19051056.420000002</v>
      </c>
      <c r="F1465" s="503">
        <v>1479465.62</v>
      </c>
      <c r="G1465" s="503">
        <v>16447825.210000001</v>
      </c>
    </row>
    <row r="1466" spans="2:7" x14ac:dyDescent="0.25">
      <c r="B1466" s="501" t="s">
        <v>1687</v>
      </c>
      <c r="C1466" s="501" t="s">
        <v>1688</v>
      </c>
      <c r="D1466" s="503">
        <v>18894</v>
      </c>
      <c r="E1466" s="503">
        <v>795083.61</v>
      </c>
      <c r="F1466" s="503">
        <v>22843.87</v>
      </c>
      <c r="G1466" s="503">
        <v>303598.46000000002</v>
      </c>
    </row>
    <row r="1467" spans="2:7" x14ac:dyDescent="0.25">
      <c r="B1467" s="501" t="s">
        <v>1695</v>
      </c>
      <c r="C1467" s="501" t="s">
        <v>1696</v>
      </c>
      <c r="D1467" s="503">
        <v>2068920.06</v>
      </c>
      <c r="E1467" s="503">
        <v>21235228.870000001</v>
      </c>
      <c r="F1467" s="503">
        <v>1689469.03</v>
      </c>
      <c r="G1467" s="503">
        <v>17319328.48</v>
      </c>
    </row>
    <row r="1468" spans="2:7" x14ac:dyDescent="0.25">
      <c r="B1468" s="501" t="s">
        <v>1700</v>
      </c>
      <c r="C1468" s="501" t="s">
        <v>1701</v>
      </c>
      <c r="D1468" s="503">
        <v>962297.87</v>
      </c>
      <c r="E1468" s="503">
        <v>7606827.3099999996</v>
      </c>
      <c r="F1468" s="503">
        <v>1075061.26</v>
      </c>
      <c r="G1468" s="503">
        <v>7973817.3799999999</v>
      </c>
    </row>
    <row r="1469" spans="2:7" x14ac:dyDescent="0.25">
      <c r="B1469" s="501" t="s">
        <v>1706</v>
      </c>
      <c r="C1469" s="501" t="s">
        <v>1707</v>
      </c>
      <c r="D1469" s="503">
        <v>403842.64</v>
      </c>
      <c r="E1469" s="503">
        <v>7466964.71</v>
      </c>
      <c r="F1469" s="503">
        <v>519514.1</v>
      </c>
      <c r="G1469" s="503">
        <v>7161959.5599999996</v>
      </c>
    </row>
    <row r="1470" spans="2:7" x14ac:dyDescent="0.25">
      <c r="B1470" s="501" t="s">
        <v>1708</v>
      </c>
      <c r="C1470" s="501" t="s">
        <v>1709</v>
      </c>
      <c r="D1470" s="503">
        <v>-30148.11</v>
      </c>
      <c r="E1470" s="503">
        <v>-71524.740000000005</v>
      </c>
      <c r="F1470" s="503">
        <v>-5995.5</v>
      </c>
      <c r="G1470" s="503">
        <v>-156534.42000000001</v>
      </c>
    </row>
    <row r="1471" spans="2:7" x14ac:dyDescent="0.25">
      <c r="B1471" s="501"/>
      <c r="C1471" s="501"/>
      <c r="D1471" s="501"/>
      <c r="E1471" s="501"/>
      <c r="F1471" s="501"/>
      <c r="G1471" s="501"/>
    </row>
    <row r="1472" spans="2:7" x14ac:dyDescent="0.25">
      <c r="B1472" s="501"/>
      <c r="C1472" s="501" t="s">
        <v>1712</v>
      </c>
      <c r="D1472" s="503">
        <v>5026493.7</v>
      </c>
      <c r="E1472" s="503">
        <v>56083636.18</v>
      </c>
      <c r="F1472" s="503">
        <v>4780358.38</v>
      </c>
      <c r="G1472" s="503">
        <v>49049994.670000002</v>
      </c>
    </row>
    <row r="1473" spans="2:7" x14ac:dyDescent="0.25">
      <c r="B1473" s="501"/>
      <c r="C1473" s="501"/>
      <c r="D1473" s="501"/>
      <c r="E1473" s="501"/>
      <c r="F1473" s="501"/>
      <c r="G1473" s="501"/>
    </row>
    <row r="1474" spans="2:7" x14ac:dyDescent="0.25">
      <c r="B1474" s="501" t="s">
        <v>1728</v>
      </c>
      <c r="C1474" s="501" t="s">
        <v>1729</v>
      </c>
      <c r="D1474" s="501">
        <v>329</v>
      </c>
      <c r="E1474" s="503">
        <v>6494.32</v>
      </c>
      <c r="F1474" s="501">
        <v>0</v>
      </c>
      <c r="G1474" s="503">
        <v>6097</v>
      </c>
    </row>
    <row r="1475" spans="2:7" x14ac:dyDescent="0.25">
      <c r="B1475" s="501" t="s">
        <v>1747</v>
      </c>
      <c r="C1475" s="501" t="s">
        <v>1748</v>
      </c>
      <c r="D1475" s="501">
        <v>0</v>
      </c>
      <c r="E1475" s="503">
        <v>55050</v>
      </c>
      <c r="F1475" s="501">
        <v>0</v>
      </c>
      <c r="G1475" s="503">
        <v>57713.71</v>
      </c>
    </row>
    <row r="1476" spans="2:7" x14ac:dyDescent="0.25">
      <c r="B1476" s="501"/>
      <c r="C1476" s="501"/>
      <c r="D1476" s="501"/>
      <c r="E1476" s="501"/>
      <c r="F1476" s="501"/>
      <c r="G1476" s="501"/>
    </row>
    <row r="1477" spans="2:7" x14ac:dyDescent="0.25">
      <c r="B1477" s="501"/>
      <c r="C1477" s="501" t="s">
        <v>1751</v>
      </c>
      <c r="D1477" s="501">
        <v>329</v>
      </c>
      <c r="E1477" s="503">
        <v>61544.32</v>
      </c>
      <c r="F1477" s="501">
        <v>0</v>
      </c>
      <c r="G1477" s="503">
        <v>63810.71</v>
      </c>
    </row>
    <row r="1478" spans="2:7" x14ac:dyDescent="0.25">
      <c r="B1478" s="501"/>
      <c r="C1478" s="501"/>
      <c r="D1478" s="501"/>
      <c r="E1478" s="501"/>
      <c r="F1478" s="501"/>
      <c r="G1478" s="501"/>
    </row>
    <row r="1479" spans="2:7" x14ac:dyDescent="0.25">
      <c r="B1479" s="501"/>
      <c r="C1479" s="501"/>
      <c r="D1479" s="501"/>
      <c r="E1479" s="501"/>
      <c r="F1479" s="501"/>
      <c r="G1479" s="501"/>
    </row>
    <row r="1480" spans="2:7" x14ac:dyDescent="0.25">
      <c r="B1480" s="501"/>
      <c r="C1480" s="501"/>
      <c r="D1480" s="501"/>
      <c r="E1480" s="501"/>
      <c r="F1480" s="501"/>
      <c r="G1480" s="501"/>
    </row>
    <row r="1481" spans="2:7" x14ac:dyDescent="0.25">
      <c r="B1481" s="501" t="s">
        <v>1240</v>
      </c>
      <c r="C1481" s="501" t="s">
        <v>1241</v>
      </c>
      <c r="D1481" s="501" t="s">
        <v>1242</v>
      </c>
      <c r="E1481" s="501" t="s">
        <v>1243</v>
      </c>
      <c r="F1481" s="501"/>
      <c r="G1481" s="501" t="s">
        <v>1943</v>
      </c>
    </row>
    <row r="1482" spans="2:7" x14ac:dyDescent="0.25">
      <c r="B1482" s="501" t="s">
        <v>1245</v>
      </c>
      <c r="C1482" s="501" t="s">
        <v>1246</v>
      </c>
      <c r="D1482" s="501" t="s">
        <v>1247</v>
      </c>
      <c r="E1482" s="501"/>
      <c r="F1482" s="501"/>
      <c r="G1482" s="501"/>
    </row>
    <row r="1483" spans="2:7" x14ac:dyDescent="0.25">
      <c r="B1483" s="501"/>
      <c r="C1483" s="501" t="s">
        <v>1248</v>
      </c>
      <c r="D1483" s="501" t="s">
        <v>1249</v>
      </c>
      <c r="E1483" s="501" t="s">
        <v>1250</v>
      </c>
      <c r="F1483" s="501" t="s">
        <v>1251</v>
      </c>
      <c r="G1483" s="501">
        <v>9</v>
      </c>
    </row>
    <row r="1484" spans="2:7" x14ac:dyDescent="0.25">
      <c r="B1484" s="501"/>
      <c r="C1484" s="501"/>
      <c r="D1484" s="501"/>
      <c r="E1484" s="501"/>
      <c r="F1484" s="501"/>
      <c r="G1484" s="501"/>
    </row>
    <row r="1485" spans="2:7" x14ac:dyDescent="0.25">
      <c r="B1485" s="504">
        <v>43469</v>
      </c>
      <c r="C1485" s="501">
        <v>104</v>
      </c>
      <c r="D1485" s="501" t="s">
        <v>1940</v>
      </c>
      <c r="E1485" s="501" t="s">
        <v>1941</v>
      </c>
      <c r="F1485" s="501"/>
      <c r="G1485" s="501" t="s">
        <v>1254</v>
      </c>
    </row>
    <row r="1486" spans="2:7" x14ac:dyDescent="0.25">
      <c r="B1486" s="501"/>
      <c r="C1486" s="501"/>
      <c r="D1486" s="501"/>
      <c r="E1486" s="501"/>
      <c r="F1486" s="501"/>
      <c r="G1486" s="501"/>
    </row>
    <row r="1487" spans="2:7" x14ac:dyDescent="0.25">
      <c r="B1487" s="501" t="s">
        <v>1255</v>
      </c>
      <c r="C1487" s="501" t="s">
        <v>1256</v>
      </c>
      <c r="D1487" s="501" t="s">
        <v>1257</v>
      </c>
      <c r="E1487" s="501" t="s">
        <v>1258</v>
      </c>
      <c r="F1487" s="501" t="s">
        <v>1259</v>
      </c>
      <c r="G1487" s="501" t="s">
        <v>1260</v>
      </c>
    </row>
    <row r="1488" spans="2:7" x14ac:dyDescent="0.25">
      <c r="B1488" s="501"/>
      <c r="C1488" s="501"/>
      <c r="D1488" s="501"/>
      <c r="E1488" s="501"/>
      <c r="F1488" s="501"/>
      <c r="G1488" s="501"/>
    </row>
    <row r="1489" spans="2:7" x14ac:dyDescent="0.25">
      <c r="B1489" s="501"/>
      <c r="C1489" s="501"/>
      <c r="D1489" s="501"/>
      <c r="E1489" s="501"/>
      <c r="F1489" s="501"/>
      <c r="G1489" s="501"/>
    </row>
    <row r="1490" spans="2:7" x14ac:dyDescent="0.25">
      <c r="B1490" s="501"/>
      <c r="C1490" s="501" t="s">
        <v>1752</v>
      </c>
      <c r="D1490" s="501">
        <v>329</v>
      </c>
      <c r="E1490" s="503">
        <v>61544.32</v>
      </c>
      <c r="F1490" s="501">
        <v>0</v>
      </c>
      <c r="G1490" s="503">
        <v>63810.71</v>
      </c>
    </row>
    <row r="1491" spans="2:7" x14ac:dyDescent="0.25">
      <c r="B1491" s="501" t="s">
        <v>1753</v>
      </c>
      <c r="C1491" s="501" t="s">
        <v>1754</v>
      </c>
      <c r="D1491" s="503">
        <v>10426.629999999999</v>
      </c>
      <c r="E1491" s="503">
        <v>172678.1</v>
      </c>
      <c r="F1491" s="503">
        <v>23905.31</v>
      </c>
      <c r="G1491" s="503">
        <v>120692.83</v>
      </c>
    </row>
    <row r="1492" spans="2:7" x14ac:dyDescent="0.25">
      <c r="B1492" s="501" t="s">
        <v>1759</v>
      </c>
      <c r="C1492" s="501" t="s">
        <v>447</v>
      </c>
      <c r="D1492" s="501">
        <v>0</v>
      </c>
      <c r="E1492" s="501">
        <v>0</v>
      </c>
      <c r="F1492" s="501">
        <v>0</v>
      </c>
      <c r="G1492" s="503">
        <v>35790.75</v>
      </c>
    </row>
    <row r="1493" spans="2:7" x14ac:dyDescent="0.25">
      <c r="B1493" s="501" t="s">
        <v>1770</v>
      </c>
      <c r="C1493" s="501" t="s">
        <v>1771</v>
      </c>
      <c r="D1493" s="503">
        <v>88064.54</v>
      </c>
      <c r="E1493" s="503">
        <v>3286749.62</v>
      </c>
      <c r="F1493" s="503">
        <v>109353.59</v>
      </c>
      <c r="G1493" s="503">
        <v>3439250.93</v>
      </c>
    </row>
    <row r="1494" spans="2:7" x14ac:dyDescent="0.25">
      <c r="B1494" s="501" t="s">
        <v>1784</v>
      </c>
      <c r="C1494" s="501" t="s">
        <v>1785</v>
      </c>
      <c r="D1494" s="503">
        <v>4686.05</v>
      </c>
      <c r="E1494" s="503">
        <v>209694.73</v>
      </c>
      <c r="F1494" s="503">
        <v>5653.57</v>
      </c>
      <c r="G1494" s="503">
        <v>151563.03</v>
      </c>
    </row>
    <row r="1495" spans="2:7" x14ac:dyDescent="0.25">
      <c r="B1495" s="501" t="s">
        <v>1786</v>
      </c>
      <c r="C1495" s="501" t="s">
        <v>1787</v>
      </c>
      <c r="D1495" s="503">
        <v>7485.36</v>
      </c>
      <c r="E1495" s="503">
        <v>67379.360000000001</v>
      </c>
      <c r="F1495" s="503">
        <v>2035.95</v>
      </c>
      <c r="G1495" s="503">
        <v>70205.05</v>
      </c>
    </row>
    <row r="1496" spans="2:7" x14ac:dyDescent="0.25">
      <c r="B1496" s="501" t="s">
        <v>1788</v>
      </c>
      <c r="C1496" s="501" t="s">
        <v>1789</v>
      </c>
      <c r="D1496" s="503">
        <v>40305.71</v>
      </c>
      <c r="E1496" s="503">
        <v>341534.66</v>
      </c>
      <c r="F1496" s="503">
        <v>44821.75</v>
      </c>
      <c r="G1496" s="503">
        <v>288111.15999999997</v>
      </c>
    </row>
    <row r="1497" spans="2:7" x14ac:dyDescent="0.25">
      <c r="B1497" s="501" t="s">
        <v>1790</v>
      </c>
      <c r="C1497" s="501" t="s">
        <v>1791</v>
      </c>
      <c r="D1497" s="503">
        <v>75841.3</v>
      </c>
      <c r="E1497" s="503">
        <v>466911.97</v>
      </c>
      <c r="F1497" s="503">
        <v>50840.87</v>
      </c>
      <c r="G1497" s="503">
        <v>366960.86</v>
      </c>
    </row>
    <row r="1498" spans="2:7" x14ac:dyDescent="0.25">
      <c r="B1498" s="501" t="s">
        <v>1792</v>
      </c>
      <c r="C1498" s="501" t="s">
        <v>1793</v>
      </c>
      <c r="D1498" s="503">
        <v>15238.24</v>
      </c>
      <c r="E1498" s="503">
        <v>150220.76999999999</v>
      </c>
      <c r="F1498" s="503">
        <v>22498.68</v>
      </c>
      <c r="G1498" s="503">
        <v>142374.09</v>
      </c>
    </row>
    <row r="1499" spans="2:7" x14ac:dyDescent="0.25">
      <c r="B1499" s="501" t="s">
        <v>1794</v>
      </c>
      <c r="C1499" s="501" t="s">
        <v>1795</v>
      </c>
      <c r="D1499" s="503">
        <v>30997.63</v>
      </c>
      <c r="E1499" s="503">
        <v>144412.46</v>
      </c>
      <c r="F1499" s="503">
        <v>17706.830000000002</v>
      </c>
      <c r="G1499" s="503">
        <v>141439.82</v>
      </c>
    </row>
    <row r="1500" spans="2:7" x14ac:dyDescent="0.25">
      <c r="B1500" s="501" t="s">
        <v>1796</v>
      </c>
      <c r="C1500" s="501" t="s">
        <v>1797</v>
      </c>
      <c r="D1500" s="503">
        <v>4615.7299999999996</v>
      </c>
      <c r="E1500" s="503">
        <v>70000.61</v>
      </c>
      <c r="F1500" s="503">
        <v>12803.32</v>
      </c>
      <c r="G1500" s="503">
        <v>92322.17</v>
      </c>
    </row>
    <row r="1501" spans="2:7" x14ac:dyDescent="0.25">
      <c r="B1501" s="501" t="s">
        <v>1798</v>
      </c>
      <c r="C1501" s="501" t="s">
        <v>1799</v>
      </c>
      <c r="D1501" s="503">
        <v>8754.75</v>
      </c>
      <c r="E1501" s="503">
        <v>114012.74</v>
      </c>
      <c r="F1501" s="503">
        <v>5691.69</v>
      </c>
      <c r="G1501" s="503">
        <v>59006.720000000001</v>
      </c>
    </row>
    <row r="1502" spans="2:7" x14ac:dyDescent="0.25">
      <c r="B1502" s="501" t="s">
        <v>1800</v>
      </c>
      <c r="C1502" s="501" t="s">
        <v>1801</v>
      </c>
      <c r="D1502" s="503">
        <v>2060</v>
      </c>
      <c r="E1502" s="503">
        <v>28911.34</v>
      </c>
      <c r="F1502" s="503">
        <v>1440.05</v>
      </c>
      <c r="G1502" s="503">
        <v>18029.37</v>
      </c>
    </row>
    <row r="1503" spans="2:7" x14ac:dyDescent="0.25">
      <c r="B1503" s="501" t="s">
        <v>1802</v>
      </c>
      <c r="C1503" s="501" t="s">
        <v>1803</v>
      </c>
      <c r="D1503" s="501">
        <v>974.06</v>
      </c>
      <c r="E1503" s="503">
        <v>11783.34</v>
      </c>
      <c r="F1503" s="501">
        <v>726.05</v>
      </c>
      <c r="G1503" s="503">
        <v>7219.97</v>
      </c>
    </row>
    <row r="1504" spans="2:7" x14ac:dyDescent="0.25">
      <c r="B1504" s="501" t="s">
        <v>1810</v>
      </c>
      <c r="C1504" s="501" t="s">
        <v>1811</v>
      </c>
      <c r="D1504" s="503">
        <v>3124862.34</v>
      </c>
      <c r="E1504" s="503">
        <v>39148018.020000003</v>
      </c>
      <c r="F1504" s="503">
        <v>2075781.22</v>
      </c>
      <c r="G1504" s="503">
        <v>28169094.170000002</v>
      </c>
    </row>
    <row r="1505" spans="2:7" x14ac:dyDescent="0.25">
      <c r="B1505" s="501" t="s">
        <v>1812</v>
      </c>
      <c r="C1505" s="501" t="s">
        <v>1813</v>
      </c>
      <c r="D1505" s="503">
        <v>-464855.06</v>
      </c>
      <c r="E1505" s="503">
        <v>-589153.63</v>
      </c>
      <c r="F1505" s="503">
        <v>-277320.55</v>
      </c>
      <c r="G1505" s="503">
        <v>-649715.51</v>
      </c>
    </row>
    <row r="1506" spans="2:7" x14ac:dyDescent="0.25">
      <c r="B1506" s="501"/>
      <c r="C1506" s="501"/>
      <c r="D1506" s="501"/>
      <c r="E1506" s="501"/>
      <c r="F1506" s="501"/>
      <c r="G1506" s="501"/>
    </row>
    <row r="1507" spans="2:7" x14ac:dyDescent="0.25">
      <c r="B1507" s="501"/>
      <c r="C1507" s="501" t="s">
        <v>1814</v>
      </c>
      <c r="D1507" s="503">
        <v>2949457.28</v>
      </c>
      <c r="E1507" s="503">
        <v>43623154.090000004</v>
      </c>
      <c r="F1507" s="503">
        <v>2095938.33</v>
      </c>
      <c r="G1507" s="503">
        <v>32452345.41</v>
      </c>
    </row>
    <row r="1508" spans="2:7" x14ac:dyDescent="0.25">
      <c r="B1508" s="501"/>
      <c r="C1508" s="501"/>
      <c r="D1508" s="501"/>
      <c r="E1508" s="501"/>
      <c r="F1508" s="501"/>
      <c r="G1508" s="501"/>
    </row>
    <row r="1509" spans="2:7" x14ac:dyDescent="0.25">
      <c r="B1509" s="501"/>
      <c r="C1509" s="501" t="s">
        <v>1842</v>
      </c>
      <c r="D1509" s="503">
        <v>13448253.99</v>
      </c>
      <c r="E1509" s="503">
        <v>155657932.38999999</v>
      </c>
      <c r="F1509" s="503">
        <v>10699915.890000001</v>
      </c>
      <c r="G1509" s="503">
        <v>124384878</v>
      </c>
    </row>
    <row r="1510" spans="2:7" x14ac:dyDescent="0.25">
      <c r="B1510" s="501"/>
      <c r="C1510" s="501"/>
      <c r="D1510" s="501"/>
      <c r="E1510" s="501"/>
      <c r="F1510" s="501"/>
      <c r="G1510" s="501"/>
    </row>
    <row r="1511" spans="2:7" x14ac:dyDescent="0.25">
      <c r="B1511" s="501"/>
      <c r="C1511" s="501"/>
      <c r="D1511" s="501"/>
      <c r="E1511" s="501"/>
      <c r="F1511" s="501"/>
      <c r="G1511" s="501"/>
    </row>
    <row r="1512" spans="2:7" x14ac:dyDescent="0.25">
      <c r="B1512" s="501"/>
      <c r="C1512" s="501" t="s">
        <v>1916</v>
      </c>
      <c r="D1512" s="501">
        <v>0</v>
      </c>
      <c r="E1512" s="501">
        <v>0</v>
      </c>
      <c r="F1512" s="501">
        <v>0</v>
      </c>
      <c r="G1512" s="501">
        <v>0</v>
      </c>
    </row>
    <row r="1513" spans="2:7" x14ac:dyDescent="0.25">
      <c r="B1513" s="501"/>
      <c r="C1513" s="501" t="s">
        <v>1917</v>
      </c>
      <c r="D1513" s="501" t="s">
        <v>1918</v>
      </c>
      <c r="E1513" s="501" t="s">
        <v>1919</v>
      </c>
      <c r="F1513" s="501" t="s">
        <v>1919</v>
      </c>
      <c r="G1513" s="501" t="s">
        <v>1919</v>
      </c>
    </row>
    <row r="1514" spans="2:7" x14ac:dyDescent="0.25">
      <c r="B1514" s="501"/>
      <c r="C1514" s="501"/>
      <c r="D1514" s="501"/>
      <c r="E1514" s="501"/>
      <c r="F1514" s="501"/>
      <c r="G1514" s="501"/>
    </row>
    <row r="1515" spans="2:7" x14ac:dyDescent="0.25">
      <c r="B1515" s="501"/>
      <c r="C1515" s="501"/>
      <c r="D1515" s="501"/>
      <c r="E1515" s="501"/>
      <c r="F1515" s="501"/>
      <c r="G1515" s="501"/>
    </row>
    <row r="1516" spans="2:7" x14ac:dyDescent="0.25">
      <c r="B1516" s="501" t="s">
        <v>1240</v>
      </c>
      <c r="C1516" s="501" t="s">
        <v>1241</v>
      </c>
      <c r="D1516" s="501" t="s">
        <v>1242</v>
      </c>
      <c r="E1516" s="501" t="s">
        <v>1243</v>
      </c>
      <c r="F1516" s="501"/>
      <c r="G1516" s="501" t="s">
        <v>1944</v>
      </c>
    </row>
    <row r="1517" spans="2:7" x14ac:dyDescent="0.25">
      <c r="B1517" s="501" t="s">
        <v>1245</v>
      </c>
      <c r="C1517" s="501" t="s">
        <v>1246</v>
      </c>
      <c r="D1517" s="501" t="s">
        <v>1247</v>
      </c>
      <c r="E1517" s="501"/>
      <c r="F1517" s="501"/>
      <c r="G1517" s="501"/>
    </row>
    <row r="1518" spans="2:7" x14ac:dyDescent="0.25">
      <c r="B1518" s="501"/>
      <c r="C1518" s="501" t="s">
        <v>1248</v>
      </c>
      <c r="D1518" s="501" t="s">
        <v>1249</v>
      </c>
      <c r="E1518" s="501" t="s">
        <v>1250</v>
      </c>
      <c r="F1518" s="501" t="s">
        <v>1251</v>
      </c>
      <c r="G1518" s="501">
        <v>9</v>
      </c>
    </row>
    <row r="1519" spans="2:7" x14ac:dyDescent="0.25">
      <c r="B1519" s="501"/>
      <c r="C1519" s="501"/>
      <c r="D1519" s="501"/>
      <c r="E1519" s="501"/>
      <c r="F1519" s="501"/>
      <c r="G1519" s="501"/>
    </row>
    <row r="1520" spans="2:7" x14ac:dyDescent="0.25">
      <c r="B1520" s="504">
        <v>43470</v>
      </c>
      <c r="C1520" s="501">
        <v>105</v>
      </c>
      <c r="D1520" s="501" t="s">
        <v>1945</v>
      </c>
      <c r="E1520" s="501" t="s">
        <v>1946</v>
      </c>
      <c r="F1520" s="501"/>
      <c r="G1520" s="501" t="s">
        <v>1254</v>
      </c>
    </row>
    <row r="1521" spans="2:7" x14ac:dyDescent="0.25">
      <c r="B1521" s="501"/>
      <c r="C1521" s="501"/>
      <c r="D1521" s="501"/>
      <c r="E1521" s="501"/>
      <c r="F1521" s="501"/>
      <c r="G1521" s="501"/>
    </row>
    <row r="1522" spans="2:7" x14ac:dyDescent="0.25">
      <c r="B1522" s="501" t="s">
        <v>1255</v>
      </c>
      <c r="C1522" s="501" t="s">
        <v>1256</v>
      </c>
      <c r="D1522" s="501" t="s">
        <v>1257</v>
      </c>
      <c r="E1522" s="501" t="s">
        <v>1258</v>
      </c>
      <c r="F1522" s="501" t="s">
        <v>1259</v>
      </c>
      <c r="G1522" s="501" t="s">
        <v>1260</v>
      </c>
    </row>
    <row r="1523" spans="2:7" x14ac:dyDescent="0.25">
      <c r="B1523" s="501"/>
      <c r="C1523" s="501"/>
      <c r="D1523" s="501"/>
      <c r="E1523" s="501"/>
      <c r="F1523" s="501"/>
      <c r="G1523" s="501"/>
    </row>
    <row r="1524" spans="2:7" x14ac:dyDescent="0.25">
      <c r="B1524" s="501"/>
      <c r="C1524" s="501"/>
      <c r="D1524" s="501"/>
      <c r="E1524" s="501"/>
      <c r="F1524" s="501"/>
      <c r="G1524" s="501"/>
    </row>
    <row r="1525" spans="2:7" x14ac:dyDescent="0.25">
      <c r="B1525" s="501" t="s">
        <v>1383</v>
      </c>
      <c r="C1525" s="501" t="s">
        <v>1384</v>
      </c>
      <c r="D1525" s="501"/>
      <c r="E1525" s="501"/>
      <c r="F1525" s="501"/>
      <c r="G1525" s="501"/>
    </row>
    <row r="1526" spans="2:7" x14ac:dyDescent="0.25">
      <c r="B1526" s="501" t="s">
        <v>1390</v>
      </c>
      <c r="C1526" s="501" t="s">
        <v>1391</v>
      </c>
      <c r="D1526" s="501">
        <v>0</v>
      </c>
      <c r="E1526" s="503">
        <v>208616.95999999999</v>
      </c>
      <c r="F1526" s="503">
        <v>48892.31</v>
      </c>
      <c r="G1526" s="503">
        <v>155684.85999999999</v>
      </c>
    </row>
    <row r="1527" spans="2:7" x14ac:dyDescent="0.25">
      <c r="B1527" s="501" t="s">
        <v>1407</v>
      </c>
      <c r="C1527" s="501" t="s">
        <v>1408</v>
      </c>
      <c r="D1527" s="501">
        <v>0</v>
      </c>
      <c r="E1527" s="503">
        <v>206725</v>
      </c>
      <c r="F1527" s="503">
        <v>155958.26999999999</v>
      </c>
      <c r="G1527" s="503">
        <v>1992346.72</v>
      </c>
    </row>
    <row r="1528" spans="2:7" x14ac:dyDescent="0.25">
      <c r="B1528" s="501" t="s">
        <v>1409</v>
      </c>
      <c r="C1528" s="501" t="s">
        <v>1410</v>
      </c>
      <c r="D1528" s="501">
        <v>0</v>
      </c>
      <c r="E1528" s="503">
        <v>-134003</v>
      </c>
      <c r="F1528" s="503">
        <v>35401</v>
      </c>
      <c r="G1528" s="503">
        <v>9253601.5999999996</v>
      </c>
    </row>
    <row r="1529" spans="2:7" x14ac:dyDescent="0.25">
      <c r="B1529" s="501" t="s">
        <v>1412</v>
      </c>
      <c r="C1529" s="501" t="s">
        <v>1413</v>
      </c>
      <c r="D1529" s="501">
        <v>0</v>
      </c>
      <c r="E1529" s="501">
        <v>0</v>
      </c>
      <c r="F1529" s="501">
        <v>0</v>
      </c>
      <c r="G1529" s="503">
        <v>29420.93</v>
      </c>
    </row>
    <row r="1530" spans="2:7" x14ac:dyDescent="0.25">
      <c r="B1530" s="501" t="s">
        <v>1414</v>
      </c>
      <c r="C1530" s="501" t="s">
        <v>1415</v>
      </c>
      <c r="D1530" s="501">
        <v>0</v>
      </c>
      <c r="E1530" s="501">
        <v>0</v>
      </c>
      <c r="F1530" s="501">
        <v>0</v>
      </c>
      <c r="G1530" s="503">
        <v>252080.26</v>
      </c>
    </row>
    <row r="1531" spans="2:7" x14ac:dyDescent="0.25">
      <c r="B1531" s="501" t="s">
        <v>1416</v>
      </c>
      <c r="C1531" s="501" t="s">
        <v>1417</v>
      </c>
      <c r="D1531" s="501">
        <v>0</v>
      </c>
      <c r="E1531" s="501">
        <v>0</v>
      </c>
      <c r="F1531" s="503">
        <v>47092031.880000003</v>
      </c>
      <c r="G1531" s="503">
        <v>74099451.140000001</v>
      </c>
    </row>
    <row r="1532" spans="2:7" x14ac:dyDescent="0.25">
      <c r="B1532" s="501" t="s">
        <v>1418</v>
      </c>
      <c r="C1532" s="501" t="s">
        <v>1419</v>
      </c>
      <c r="D1532" s="501">
        <v>0</v>
      </c>
      <c r="E1532" s="501">
        <v>0</v>
      </c>
      <c r="F1532" s="501">
        <v>0</v>
      </c>
      <c r="G1532" s="503">
        <v>-892436.09</v>
      </c>
    </row>
    <row r="1533" spans="2:7" x14ac:dyDescent="0.25">
      <c r="B1533" s="501" t="s">
        <v>1420</v>
      </c>
      <c r="C1533" s="501" t="s">
        <v>1421</v>
      </c>
      <c r="D1533" s="501">
        <v>0</v>
      </c>
      <c r="E1533" s="501">
        <v>0</v>
      </c>
      <c r="F1533" s="503">
        <v>4802.04</v>
      </c>
      <c r="G1533" s="503">
        <v>63448.46</v>
      </c>
    </row>
    <row r="1534" spans="2:7" x14ac:dyDescent="0.25">
      <c r="B1534" s="501" t="s">
        <v>1428</v>
      </c>
      <c r="C1534" s="501" t="s">
        <v>1429</v>
      </c>
      <c r="D1534" s="501">
        <v>0</v>
      </c>
      <c r="E1534" s="503">
        <v>49654.83</v>
      </c>
      <c r="F1534" s="503">
        <v>780446.48</v>
      </c>
      <c r="G1534" s="503">
        <v>710850.01</v>
      </c>
    </row>
    <row r="1535" spans="2:7" x14ac:dyDescent="0.25">
      <c r="B1535" s="501" t="s">
        <v>1430</v>
      </c>
      <c r="C1535" s="501" t="s">
        <v>1431</v>
      </c>
      <c r="D1535" s="501">
        <v>0</v>
      </c>
      <c r="E1535" s="501">
        <v>0</v>
      </c>
      <c r="F1535" s="503">
        <v>4082.52</v>
      </c>
      <c r="G1535" s="503">
        <v>57542.44</v>
      </c>
    </row>
    <row r="1536" spans="2:7" x14ac:dyDescent="0.25">
      <c r="B1536" s="501" t="s">
        <v>1437</v>
      </c>
      <c r="C1536" s="501" t="s">
        <v>1438</v>
      </c>
      <c r="D1536" s="501">
        <v>0</v>
      </c>
      <c r="E1536" s="501">
        <v>0</v>
      </c>
      <c r="F1536" s="503">
        <v>-47351002.130000003</v>
      </c>
      <c r="G1536" s="503">
        <v>-66019444.670000002</v>
      </c>
    </row>
    <row r="1537" spans="2:7" x14ac:dyDescent="0.25">
      <c r="B1537" s="501" t="s">
        <v>1441</v>
      </c>
      <c r="C1537" s="501" t="s">
        <v>1442</v>
      </c>
      <c r="D1537" s="501">
        <v>0</v>
      </c>
      <c r="E1537" s="501">
        <v>0</v>
      </c>
      <c r="F1537" s="501">
        <v>0</v>
      </c>
      <c r="G1537" s="501">
        <v>4</v>
      </c>
    </row>
    <row r="1538" spans="2:7" x14ac:dyDescent="0.25">
      <c r="B1538" s="501" t="s">
        <v>1445</v>
      </c>
      <c r="C1538" s="501" t="s">
        <v>1446</v>
      </c>
      <c r="D1538" s="501">
        <v>0</v>
      </c>
      <c r="E1538" s="503">
        <v>-713297.6</v>
      </c>
      <c r="F1538" s="503">
        <v>237704.9</v>
      </c>
      <c r="G1538" s="503">
        <v>2787522.1</v>
      </c>
    </row>
    <row r="1539" spans="2:7" x14ac:dyDescent="0.25">
      <c r="B1539" s="501" t="s">
        <v>1447</v>
      </c>
      <c r="C1539" s="501" t="s">
        <v>1448</v>
      </c>
      <c r="D1539" s="501">
        <v>0</v>
      </c>
      <c r="E1539" s="501">
        <v>0</v>
      </c>
      <c r="F1539" s="503">
        <v>104045.88</v>
      </c>
      <c r="G1539" s="503">
        <v>412989.41</v>
      </c>
    </row>
    <row r="1540" spans="2:7" x14ac:dyDescent="0.25">
      <c r="B1540" s="501"/>
      <c r="C1540" s="501"/>
      <c r="D1540" s="501"/>
      <c r="E1540" s="501"/>
      <c r="F1540" s="501"/>
      <c r="G1540" s="501"/>
    </row>
    <row r="1541" spans="2:7" x14ac:dyDescent="0.25">
      <c r="B1541" s="501"/>
      <c r="C1541" s="501" t="s">
        <v>1457</v>
      </c>
      <c r="D1541" s="501">
        <v>0</v>
      </c>
      <c r="E1541" s="503">
        <v>-382303.81</v>
      </c>
      <c r="F1541" s="503">
        <v>1112363.1499999999</v>
      </c>
      <c r="G1541" s="503">
        <v>22903061.170000002</v>
      </c>
    </row>
    <row r="1542" spans="2:7" x14ac:dyDescent="0.25">
      <c r="B1542" s="501" t="s">
        <v>1476</v>
      </c>
      <c r="C1542" s="501" t="s">
        <v>1477</v>
      </c>
      <c r="D1542" s="501">
        <v>0</v>
      </c>
      <c r="E1542" s="501">
        <v>0</v>
      </c>
      <c r="F1542" s="503">
        <v>2331.0300000000002</v>
      </c>
      <c r="G1542" s="503">
        <v>-84513.66</v>
      </c>
    </row>
    <row r="1543" spans="2:7" x14ac:dyDescent="0.25">
      <c r="B1543" s="501"/>
      <c r="C1543" s="501"/>
      <c r="D1543" s="501"/>
      <c r="E1543" s="501"/>
      <c r="F1543" s="501"/>
      <c r="G1543" s="501"/>
    </row>
    <row r="1544" spans="2:7" x14ac:dyDescent="0.25">
      <c r="B1544" s="501"/>
      <c r="C1544" s="501" t="s">
        <v>1485</v>
      </c>
      <c r="D1544" s="501">
        <v>0</v>
      </c>
      <c r="E1544" s="501">
        <v>0</v>
      </c>
      <c r="F1544" s="503">
        <v>2331.0300000000002</v>
      </c>
      <c r="G1544" s="503">
        <v>-84513.66</v>
      </c>
    </row>
    <row r="1545" spans="2:7" x14ac:dyDescent="0.25">
      <c r="B1545" s="501" t="s">
        <v>1486</v>
      </c>
      <c r="C1545" s="501" t="s">
        <v>1391</v>
      </c>
      <c r="D1545" s="503">
        <v>6121.44</v>
      </c>
      <c r="E1545" s="503">
        <v>82793.7</v>
      </c>
      <c r="F1545" s="501">
        <v>0</v>
      </c>
      <c r="G1545" s="501">
        <v>0</v>
      </c>
    </row>
    <row r="1546" spans="2:7" x14ac:dyDescent="0.25">
      <c r="B1546" s="501" t="s">
        <v>1487</v>
      </c>
      <c r="C1546" s="501" t="s">
        <v>1408</v>
      </c>
      <c r="D1546" s="503">
        <v>9583.11</v>
      </c>
      <c r="E1546" s="503">
        <v>898176.71</v>
      </c>
      <c r="F1546" s="501">
        <v>0</v>
      </c>
      <c r="G1546" s="501">
        <v>0</v>
      </c>
    </row>
    <row r="1547" spans="2:7" x14ac:dyDescent="0.25">
      <c r="B1547" s="501" t="s">
        <v>1488</v>
      </c>
      <c r="C1547" s="501" t="s">
        <v>1410</v>
      </c>
      <c r="D1547" s="503">
        <v>257813.9</v>
      </c>
      <c r="E1547" s="503">
        <v>4101279.29</v>
      </c>
      <c r="F1547" s="501">
        <v>0</v>
      </c>
      <c r="G1547" s="501">
        <v>0</v>
      </c>
    </row>
    <row r="1548" spans="2:7" x14ac:dyDescent="0.25">
      <c r="B1548" s="501" t="s">
        <v>1489</v>
      </c>
      <c r="C1548" s="501" t="s">
        <v>1413</v>
      </c>
      <c r="D1548" s="503">
        <v>5572.95</v>
      </c>
      <c r="E1548" s="503">
        <v>59669.82</v>
      </c>
      <c r="F1548" s="501">
        <v>0</v>
      </c>
      <c r="G1548" s="501">
        <v>0</v>
      </c>
    </row>
    <row r="1549" spans="2:7" x14ac:dyDescent="0.25">
      <c r="B1549" s="501" t="s">
        <v>1491</v>
      </c>
      <c r="C1549" s="501" t="s">
        <v>1415</v>
      </c>
      <c r="D1549" s="503">
        <v>25219.91</v>
      </c>
      <c r="E1549" s="503">
        <v>193047.49</v>
      </c>
      <c r="F1549" s="501">
        <v>0</v>
      </c>
      <c r="G1549" s="501">
        <v>0</v>
      </c>
    </row>
    <row r="1550" spans="2:7" x14ac:dyDescent="0.25">
      <c r="B1550" s="501" t="s">
        <v>1492</v>
      </c>
      <c r="C1550" s="501" t="s">
        <v>1417</v>
      </c>
      <c r="D1550" s="503">
        <v>24516293.809999999</v>
      </c>
      <c r="E1550" s="503">
        <v>95231937.650000006</v>
      </c>
      <c r="F1550" s="501">
        <v>0</v>
      </c>
      <c r="G1550" s="501">
        <v>0</v>
      </c>
    </row>
    <row r="1551" spans="2:7" x14ac:dyDescent="0.25">
      <c r="B1551" s="501" t="s">
        <v>1493</v>
      </c>
      <c r="C1551" s="501" t="s">
        <v>1419</v>
      </c>
      <c r="D1551" s="501">
        <v>0</v>
      </c>
      <c r="E1551" s="501">
        <v>-67.75</v>
      </c>
      <c r="F1551" s="501">
        <v>0</v>
      </c>
      <c r="G1551" s="501">
        <v>0</v>
      </c>
    </row>
    <row r="1552" spans="2:7" x14ac:dyDescent="0.25">
      <c r="B1552" s="501" t="s">
        <v>1494</v>
      </c>
      <c r="C1552" s="501" t="s">
        <v>1421</v>
      </c>
      <c r="D1552" s="503">
        <v>-63322.28</v>
      </c>
      <c r="E1552" s="503">
        <v>-7730.73</v>
      </c>
      <c r="F1552" s="501">
        <v>0</v>
      </c>
      <c r="G1552" s="501">
        <v>0</v>
      </c>
    </row>
    <row r="1553" spans="2:7" x14ac:dyDescent="0.25">
      <c r="B1553" s="501" t="s">
        <v>1495</v>
      </c>
      <c r="C1553" s="501" t="s">
        <v>1429</v>
      </c>
      <c r="D1553" s="503">
        <v>662147.86</v>
      </c>
      <c r="E1553" s="503">
        <v>662272.54</v>
      </c>
      <c r="F1553" s="501">
        <v>0</v>
      </c>
      <c r="G1553" s="501">
        <v>0</v>
      </c>
    </row>
    <row r="1554" spans="2:7" x14ac:dyDescent="0.25">
      <c r="B1554" s="501" t="s">
        <v>1496</v>
      </c>
      <c r="C1554" s="501" t="s">
        <v>1431</v>
      </c>
      <c r="D1554" s="503">
        <v>9951.1200000000008</v>
      </c>
      <c r="E1554" s="503">
        <v>151674.71</v>
      </c>
      <c r="F1554" s="501">
        <v>0</v>
      </c>
      <c r="G1554" s="501">
        <v>0</v>
      </c>
    </row>
    <row r="1555" spans="2:7" x14ac:dyDescent="0.25">
      <c r="B1555" s="501" t="s">
        <v>1497</v>
      </c>
      <c r="C1555" s="501" t="s">
        <v>1498</v>
      </c>
      <c r="D1555" s="501">
        <v>0</v>
      </c>
      <c r="E1555" s="501">
        <v>0</v>
      </c>
      <c r="F1555" s="503">
        <v>-12019.14</v>
      </c>
      <c r="G1555" s="503">
        <v>-224799.73</v>
      </c>
    </row>
    <row r="1556" spans="2:7" x14ac:dyDescent="0.25">
      <c r="B1556" s="501" t="s">
        <v>1499</v>
      </c>
      <c r="C1556" s="501" t="s">
        <v>1500</v>
      </c>
      <c r="D1556" s="503">
        <v>1403310.83</v>
      </c>
      <c r="E1556" s="503">
        <v>2500000</v>
      </c>
      <c r="F1556" s="501">
        <v>0</v>
      </c>
      <c r="G1556" s="501">
        <v>0</v>
      </c>
    </row>
    <row r="1557" spans="2:7" x14ac:dyDescent="0.25">
      <c r="B1557" s="501" t="s">
        <v>1501</v>
      </c>
      <c r="C1557" s="501" t="s">
        <v>1444</v>
      </c>
      <c r="D1557" s="503">
        <v>-2419461.31</v>
      </c>
      <c r="E1557" s="503">
        <v>-12339993.99</v>
      </c>
      <c r="F1557" s="501">
        <v>0</v>
      </c>
      <c r="G1557" s="501">
        <v>0</v>
      </c>
    </row>
    <row r="1558" spans="2:7" x14ac:dyDescent="0.25">
      <c r="B1558" s="501" t="s">
        <v>1502</v>
      </c>
      <c r="C1558" s="501" t="s">
        <v>1479</v>
      </c>
      <c r="D1558" s="503">
        <v>296805.18</v>
      </c>
      <c r="E1558" s="503">
        <v>3838696.62</v>
      </c>
      <c r="F1558" s="501">
        <v>0</v>
      </c>
      <c r="G1558" s="501">
        <v>0</v>
      </c>
    </row>
    <row r="1559" spans="2:7" x14ac:dyDescent="0.25">
      <c r="B1559" s="501" t="s">
        <v>1503</v>
      </c>
      <c r="C1559" s="501" t="s">
        <v>1481</v>
      </c>
      <c r="D1559" s="503">
        <v>213403.93</v>
      </c>
      <c r="E1559" s="503">
        <v>17419729.809999999</v>
      </c>
      <c r="F1559" s="501">
        <v>0</v>
      </c>
      <c r="G1559" s="501">
        <v>0</v>
      </c>
    </row>
    <row r="1560" spans="2:7" x14ac:dyDescent="0.25">
      <c r="B1560" s="501" t="s">
        <v>1504</v>
      </c>
      <c r="C1560" s="501" t="s">
        <v>1456</v>
      </c>
      <c r="D1560" s="503">
        <v>-22736087.969999999</v>
      </c>
      <c r="E1560" s="503">
        <v>-50271234.109999999</v>
      </c>
      <c r="F1560" s="501">
        <v>0</v>
      </c>
      <c r="G1560" s="501">
        <v>0</v>
      </c>
    </row>
    <row r="1561" spans="2:7" x14ac:dyDescent="0.25">
      <c r="B1561" s="501" t="s">
        <v>1505</v>
      </c>
      <c r="C1561" s="501" t="s">
        <v>1506</v>
      </c>
      <c r="D1561" s="503">
        <v>-972475.96</v>
      </c>
      <c r="E1561" s="503">
        <v>-49432832.219999999</v>
      </c>
      <c r="F1561" s="501">
        <v>0</v>
      </c>
      <c r="G1561" s="501">
        <v>0</v>
      </c>
    </row>
    <row r="1562" spans="2:7" x14ac:dyDescent="0.25">
      <c r="B1562" s="501"/>
      <c r="C1562" s="501"/>
      <c r="D1562" s="501"/>
      <c r="E1562" s="501"/>
      <c r="F1562" s="501"/>
      <c r="G1562" s="501"/>
    </row>
    <row r="1563" spans="2:7" x14ac:dyDescent="0.25">
      <c r="B1563" s="501"/>
      <c r="C1563" s="501" t="s">
        <v>1507</v>
      </c>
      <c r="D1563" s="503">
        <v>1214876.52</v>
      </c>
      <c r="E1563" s="503">
        <v>13087419.539999999</v>
      </c>
      <c r="F1563" s="503">
        <v>-12019.14</v>
      </c>
      <c r="G1563" s="503">
        <v>-224799.73</v>
      </c>
    </row>
    <row r="1564" spans="2:7" x14ac:dyDescent="0.25">
      <c r="B1564" s="501">
        <v>699</v>
      </c>
      <c r="C1564" s="501" t="s">
        <v>1512</v>
      </c>
      <c r="D1564" s="501"/>
      <c r="E1564" s="501"/>
      <c r="F1564" s="501"/>
      <c r="G1564" s="501"/>
    </row>
    <row r="1565" spans="2:7" x14ac:dyDescent="0.25">
      <c r="B1565" s="501" t="s">
        <v>1513</v>
      </c>
      <c r="C1565" s="501" t="s">
        <v>1506</v>
      </c>
      <c r="D1565" s="501">
        <v>0</v>
      </c>
      <c r="E1565" s="503">
        <v>42796</v>
      </c>
      <c r="F1565" s="503">
        <v>986484.55</v>
      </c>
      <c r="G1565" s="503">
        <v>-5848697.3700000001</v>
      </c>
    </row>
    <row r="1566" spans="2:7" x14ac:dyDescent="0.25">
      <c r="B1566" s="501"/>
      <c r="C1566" s="501" t="s">
        <v>1514</v>
      </c>
      <c r="D1566" s="501">
        <v>0</v>
      </c>
      <c r="E1566" s="503">
        <v>42796</v>
      </c>
      <c r="F1566" s="503">
        <v>986484.55</v>
      </c>
      <c r="G1566" s="503">
        <v>-5848697.3700000001</v>
      </c>
    </row>
    <row r="1567" spans="2:7" x14ac:dyDescent="0.25">
      <c r="B1567" s="501"/>
      <c r="C1567" s="501" t="s">
        <v>1515</v>
      </c>
      <c r="D1567" s="503">
        <v>1214876.52</v>
      </c>
      <c r="E1567" s="503">
        <v>12747911.73</v>
      </c>
      <c r="F1567" s="503">
        <v>2089159.59</v>
      </c>
      <c r="G1567" s="503">
        <v>16745050.41</v>
      </c>
    </row>
    <row r="1568" spans="2:7" x14ac:dyDescent="0.25">
      <c r="B1568" s="501"/>
      <c r="C1568" s="501"/>
      <c r="D1568" s="501"/>
      <c r="E1568" s="501"/>
      <c r="F1568" s="501"/>
      <c r="G1568" s="501"/>
    </row>
    <row r="1569" spans="2:7" x14ac:dyDescent="0.25">
      <c r="B1569" s="501"/>
      <c r="C1569" s="501"/>
      <c r="D1569" s="501"/>
      <c r="E1569" s="501"/>
      <c r="F1569" s="501"/>
      <c r="G1569" s="501"/>
    </row>
    <row r="1570" spans="2:7" x14ac:dyDescent="0.25">
      <c r="B1570" s="501"/>
      <c r="C1570" s="501" t="s">
        <v>1516</v>
      </c>
      <c r="D1570" s="503">
        <v>1214876.52</v>
      </c>
      <c r="E1570" s="503">
        <v>12747911.73</v>
      </c>
      <c r="F1570" s="503">
        <v>2089159.59</v>
      </c>
      <c r="G1570" s="503">
        <v>16745050.41</v>
      </c>
    </row>
    <row r="1571" spans="2:7" x14ac:dyDescent="0.25">
      <c r="B1571" s="501"/>
      <c r="C1571" s="501"/>
      <c r="D1571" s="501"/>
      <c r="E1571" s="501"/>
      <c r="F1571" s="501"/>
      <c r="G1571" s="501"/>
    </row>
    <row r="1572" spans="2:7" x14ac:dyDescent="0.25">
      <c r="B1572" s="501" t="s">
        <v>1517</v>
      </c>
      <c r="C1572" s="501" t="s">
        <v>1518</v>
      </c>
      <c r="D1572" s="501"/>
      <c r="E1572" s="501"/>
      <c r="F1572" s="501"/>
      <c r="G1572" s="501"/>
    </row>
    <row r="1573" spans="2:7" x14ac:dyDescent="0.25">
      <c r="B1573" s="501" t="s">
        <v>1519</v>
      </c>
      <c r="C1573" s="501" t="s">
        <v>473</v>
      </c>
      <c r="D1573" s="503">
        <v>-51997.82</v>
      </c>
      <c r="E1573" s="503">
        <v>-51353.25</v>
      </c>
      <c r="F1573" s="503">
        <v>14730.65</v>
      </c>
      <c r="G1573" s="503">
        <v>14730.65</v>
      </c>
    </row>
    <row r="1574" spans="2:7" x14ac:dyDescent="0.25">
      <c r="B1574" s="501" t="s">
        <v>1522</v>
      </c>
      <c r="C1574" s="501" t="s">
        <v>1523</v>
      </c>
      <c r="D1574" s="503">
        <v>74929.850000000006</v>
      </c>
      <c r="E1574" s="503">
        <v>1072708.8600000001</v>
      </c>
      <c r="F1574" s="503">
        <v>113625.05</v>
      </c>
      <c r="G1574" s="503">
        <v>1308995.29</v>
      </c>
    </row>
    <row r="1575" spans="2:7" x14ac:dyDescent="0.25">
      <c r="B1575" s="501" t="s">
        <v>1524</v>
      </c>
      <c r="C1575" s="501" t="s">
        <v>1525</v>
      </c>
      <c r="D1575" s="503">
        <v>281138.24</v>
      </c>
      <c r="E1575" s="503">
        <v>3105263.13</v>
      </c>
      <c r="F1575" s="503">
        <v>219927.4</v>
      </c>
      <c r="G1575" s="503">
        <v>2751823.37</v>
      </c>
    </row>
    <row r="1576" spans="2:7" x14ac:dyDescent="0.25">
      <c r="B1576" s="501"/>
      <c r="C1576" s="501"/>
      <c r="D1576" s="501"/>
      <c r="E1576" s="501"/>
      <c r="F1576" s="501"/>
      <c r="G1576" s="501"/>
    </row>
    <row r="1577" spans="2:7" x14ac:dyDescent="0.25">
      <c r="B1577" s="501"/>
      <c r="C1577" s="501"/>
      <c r="D1577" s="501"/>
      <c r="E1577" s="501"/>
      <c r="F1577" s="501"/>
      <c r="G1577" s="501"/>
    </row>
    <row r="1578" spans="2:7" x14ac:dyDescent="0.25">
      <c r="B1578" s="501" t="s">
        <v>1240</v>
      </c>
      <c r="C1578" s="501" t="s">
        <v>1241</v>
      </c>
      <c r="D1578" s="501" t="s">
        <v>1242</v>
      </c>
      <c r="E1578" s="501" t="s">
        <v>1243</v>
      </c>
      <c r="F1578" s="501"/>
      <c r="G1578" s="501" t="s">
        <v>1947</v>
      </c>
    </row>
    <row r="1579" spans="2:7" x14ac:dyDescent="0.25">
      <c r="B1579" s="501" t="s">
        <v>1245</v>
      </c>
      <c r="C1579" s="501" t="s">
        <v>1246</v>
      </c>
      <c r="D1579" s="501" t="s">
        <v>1247</v>
      </c>
      <c r="E1579" s="501"/>
      <c r="F1579" s="501"/>
      <c r="G1579" s="501"/>
    </row>
    <row r="1580" spans="2:7" x14ac:dyDescent="0.25">
      <c r="B1580" s="501"/>
      <c r="C1580" s="501" t="s">
        <v>1248</v>
      </c>
      <c r="D1580" s="501" t="s">
        <v>1249</v>
      </c>
      <c r="E1580" s="501" t="s">
        <v>1250</v>
      </c>
      <c r="F1580" s="501" t="s">
        <v>1251</v>
      </c>
      <c r="G1580" s="501">
        <v>9</v>
      </c>
    </row>
    <row r="1581" spans="2:7" x14ac:dyDescent="0.25">
      <c r="B1581" s="501"/>
      <c r="C1581" s="501"/>
      <c r="D1581" s="501"/>
      <c r="E1581" s="501"/>
      <c r="F1581" s="501"/>
      <c r="G1581" s="501"/>
    </row>
    <row r="1582" spans="2:7" x14ac:dyDescent="0.25">
      <c r="B1582" s="504">
        <v>43470</v>
      </c>
      <c r="C1582" s="501">
        <v>105</v>
      </c>
      <c r="D1582" s="501" t="s">
        <v>1945</v>
      </c>
      <c r="E1582" s="501" t="s">
        <v>1946</v>
      </c>
      <c r="F1582" s="501"/>
      <c r="G1582" s="501" t="s">
        <v>1254</v>
      </c>
    </row>
    <row r="1583" spans="2:7" x14ac:dyDescent="0.25">
      <c r="B1583" s="501"/>
      <c r="C1583" s="501"/>
      <c r="D1583" s="501"/>
      <c r="E1583" s="501"/>
      <c r="F1583" s="501"/>
      <c r="G1583" s="501"/>
    </row>
    <row r="1584" spans="2:7" x14ac:dyDescent="0.25">
      <c r="B1584" s="501" t="s">
        <v>1255</v>
      </c>
      <c r="C1584" s="501" t="s">
        <v>1256</v>
      </c>
      <c r="D1584" s="501" t="s">
        <v>1257</v>
      </c>
      <c r="E1584" s="501" t="s">
        <v>1258</v>
      </c>
      <c r="F1584" s="501" t="s">
        <v>1259</v>
      </c>
      <c r="G1584" s="501" t="s">
        <v>1260</v>
      </c>
    </row>
    <row r="1585" spans="2:7" x14ac:dyDescent="0.25">
      <c r="B1585" s="501"/>
      <c r="C1585" s="501"/>
      <c r="D1585" s="501"/>
      <c r="E1585" s="501"/>
      <c r="F1585" s="501"/>
      <c r="G1585" s="501"/>
    </row>
    <row r="1586" spans="2:7" x14ac:dyDescent="0.25">
      <c r="B1586" s="501" t="s">
        <v>1517</v>
      </c>
      <c r="C1586" s="501" t="s">
        <v>1518</v>
      </c>
      <c r="D1586" s="501"/>
      <c r="E1586" s="501"/>
      <c r="F1586" s="501"/>
      <c r="G1586" s="501"/>
    </row>
    <row r="1587" spans="2:7" x14ac:dyDescent="0.25">
      <c r="B1587" s="501" t="s">
        <v>1526</v>
      </c>
      <c r="C1587" s="501" t="s">
        <v>1527</v>
      </c>
      <c r="D1587" s="503">
        <v>17929.39</v>
      </c>
      <c r="E1587" s="503">
        <v>234658.03</v>
      </c>
      <c r="F1587" s="503">
        <v>12799.35</v>
      </c>
      <c r="G1587" s="503">
        <v>170881.22</v>
      </c>
    </row>
    <row r="1588" spans="2:7" x14ac:dyDescent="0.25">
      <c r="B1588" s="501" t="s">
        <v>1528</v>
      </c>
      <c r="C1588" s="501" t="s">
        <v>1529</v>
      </c>
      <c r="D1588" s="503">
        <v>37705.43</v>
      </c>
      <c r="E1588" s="503">
        <v>458829.67</v>
      </c>
      <c r="F1588" s="503">
        <v>33599.339999999997</v>
      </c>
      <c r="G1588" s="503">
        <v>457328.33</v>
      </c>
    </row>
    <row r="1589" spans="2:7" x14ac:dyDescent="0.25">
      <c r="B1589" s="501" t="s">
        <v>1530</v>
      </c>
      <c r="C1589" s="501" t="s">
        <v>1531</v>
      </c>
      <c r="D1589" s="501">
        <v>157.96</v>
      </c>
      <c r="E1589" s="503">
        <v>6008.93</v>
      </c>
      <c r="F1589" s="501">
        <v>689.93</v>
      </c>
      <c r="G1589" s="503">
        <v>19015.740000000002</v>
      </c>
    </row>
    <row r="1590" spans="2:7" x14ac:dyDescent="0.25">
      <c r="B1590" s="501" t="s">
        <v>1532</v>
      </c>
      <c r="C1590" s="501" t="s">
        <v>1533</v>
      </c>
      <c r="D1590" s="503">
        <v>59865.36</v>
      </c>
      <c r="E1590" s="503">
        <v>753103.84</v>
      </c>
      <c r="F1590" s="503">
        <v>48219.54</v>
      </c>
      <c r="G1590" s="503">
        <v>692864.24</v>
      </c>
    </row>
    <row r="1591" spans="2:7" x14ac:dyDescent="0.25">
      <c r="B1591" s="501" t="s">
        <v>1536</v>
      </c>
      <c r="C1591" s="501" t="s">
        <v>1537</v>
      </c>
      <c r="D1591" s="503">
        <v>-52735.65</v>
      </c>
      <c r="E1591" s="503">
        <v>-482175.9</v>
      </c>
      <c r="F1591" s="503">
        <v>-59488.07</v>
      </c>
      <c r="G1591" s="503">
        <v>-435746.55</v>
      </c>
    </row>
    <row r="1592" spans="2:7" x14ac:dyDescent="0.25">
      <c r="B1592" s="501"/>
      <c r="C1592" s="501"/>
      <c r="D1592" s="501"/>
      <c r="E1592" s="501"/>
      <c r="F1592" s="501"/>
      <c r="G1592" s="501"/>
    </row>
    <row r="1593" spans="2:7" x14ac:dyDescent="0.25">
      <c r="B1593" s="501"/>
      <c r="C1593" s="501" t="s">
        <v>1538</v>
      </c>
      <c r="D1593" s="503">
        <v>366992.76</v>
      </c>
      <c r="E1593" s="503">
        <v>5097043.3099999996</v>
      </c>
      <c r="F1593" s="503">
        <v>384103.19</v>
      </c>
      <c r="G1593" s="503">
        <v>4979892.29</v>
      </c>
    </row>
    <row r="1594" spans="2:7" x14ac:dyDescent="0.25">
      <c r="B1594" s="501" t="s">
        <v>1539</v>
      </c>
      <c r="C1594" s="501" t="s">
        <v>3</v>
      </c>
      <c r="D1594" s="503">
        <v>103168.82</v>
      </c>
      <c r="E1594" s="503">
        <v>1440492.84</v>
      </c>
      <c r="F1594" s="503">
        <v>97748.59</v>
      </c>
      <c r="G1594" s="503">
        <v>1471272.13</v>
      </c>
    </row>
    <row r="1595" spans="2:7" x14ac:dyDescent="0.25">
      <c r="B1595" s="501" t="s">
        <v>1577</v>
      </c>
      <c r="C1595" s="501" t="s">
        <v>1578</v>
      </c>
      <c r="D1595" s="501">
        <v>0</v>
      </c>
      <c r="E1595" s="501">
        <v>0</v>
      </c>
      <c r="F1595" s="503">
        <v>19123.75</v>
      </c>
      <c r="G1595" s="503">
        <v>19123.75</v>
      </c>
    </row>
    <row r="1596" spans="2:7" x14ac:dyDescent="0.25">
      <c r="B1596" s="501"/>
      <c r="C1596" s="501"/>
      <c r="D1596" s="501"/>
      <c r="E1596" s="501"/>
      <c r="F1596" s="501"/>
      <c r="G1596" s="501"/>
    </row>
    <row r="1597" spans="2:7" x14ac:dyDescent="0.25">
      <c r="B1597" s="501"/>
      <c r="C1597" s="501" t="s">
        <v>1579</v>
      </c>
      <c r="D1597" s="503">
        <v>103168.82</v>
      </c>
      <c r="E1597" s="503">
        <v>1440492.84</v>
      </c>
      <c r="F1597" s="503">
        <v>116872.34</v>
      </c>
      <c r="G1597" s="503">
        <v>1490395.88</v>
      </c>
    </row>
    <row r="1598" spans="2:7" x14ac:dyDescent="0.25">
      <c r="B1598" s="501" t="s">
        <v>1580</v>
      </c>
      <c r="C1598" s="501" t="s">
        <v>1581</v>
      </c>
      <c r="D1598" s="501">
        <v>0</v>
      </c>
      <c r="E1598" s="503">
        <v>4712</v>
      </c>
      <c r="F1598" s="501">
        <v>0</v>
      </c>
      <c r="G1598" s="503">
        <v>2440</v>
      </c>
    </row>
    <row r="1599" spans="2:7" x14ac:dyDescent="0.25">
      <c r="B1599" s="501"/>
      <c r="C1599" s="501"/>
      <c r="D1599" s="501"/>
      <c r="E1599" s="501"/>
      <c r="F1599" s="501"/>
      <c r="G1599" s="501"/>
    </row>
    <row r="1600" spans="2:7" x14ac:dyDescent="0.25">
      <c r="B1600" s="501"/>
      <c r="C1600" s="501" t="s">
        <v>1582</v>
      </c>
      <c r="D1600" s="501">
        <v>0</v>
      </c>
      <c r="E1600" s="503">
        <v>4712</v>
      </c>
      <c r="F1600" s="501">
        <v>0</v>
      </c>
      <c r="G1600" s="503">
        <v>2440</v>
      </c>
    </row>
    <row r="1601" spans="2:7" x14ac:dyDescent="0.25">
      <c r="B1601" s="501" t="s">
        <v>1591</v>
      </c>
      <c r="C1601" s="501" t="s">
        <v>1592</v>
      </c>
      <c r="D1601" s="501">
        <v>0</v>
      </c>
      <c r="E1601" s="503">
        <v>28842.71</v>
      </c>
      <c r="F1601" s="503">
        <v>20238.25</v>
      </c>
      <c r="G1601" s="503">
        <v>78375.850000000006</v>
      </c>
    </row>
    <row r="1602" spans="2:7" x14ac:dyDescent="0.25">
      <c r="B1602" s="501" t="s">
        <v>1595</v>
      </c>
      <c r="C1602" s="501" t="s">
        <v>1596</v>
      </c>
      <c r="D1602" s="501">
        <v>0</v>
      </c>
      <c r="E1602" s="501">
        <v>500</v>
      </c>
      <c r="F1602" s="501">
        <v>0</v>
      </c>
      <c r="G1602" s="503">
        <v>1500</v>
      </c>
    </row>
    <row r="1603" spans="2:7" x14ac:dyDescent="0.25">
      <c r="B1603" s="501" t="s">
        <v>1597</v>
      </c>
      <c r="C1603" s="501" t="s">
        <v>1598</v>
      </c>
      <c r="D1603" s="503">
        <v>3215.91</v>
      </c>
      <c r="E1603" s="503">
        <v>103058.57</v>
      </c>
      <c r="F1603" s="503">
        <v>17080.349999999999</v>
      </c>
      <c r="G1603" s="503">
        <v>101573.03</v>
      </c>
    </row>
    <row r="1604" spans="2:7" x14ac:dyDescent="0.25">
      <c r="B1604" s="501" t="s">
        <v>1629</v>
      </c>
      <c r="C1604" s="501" t="s">
        <v>1630</v>
      </c>
      <c r="D1604" s="501">
        <v>0</v>
      </c>
      <c r="E1604" s="501">
        <v>0</v>
      </c>
      <c r="F1604" s="503">
        <v>1117.3699999999999</v>
      </c>
      <c r="G1604" s="503">
        <v>1117.3699999999999</v>
      </c>
    </row>
    <row r="1605" spans="2:7" x14ac:dyDescent="0.25">
      <c r="B1605" s="501"/>
      <c r="C1605" s="501"/>
      <c r="D1605" s="501"/>
      <c r="E1605" s="501"/>
      <c r="F1605" s="501"/>
      <c r="G1605" s="501"/>
    </row>
    <row r="1606" spans="2:7" x14ac:dyDescent="0.25">
      <c r="B1606" s="501"/>
      <c r="C1606" s="501" t="s">
        <v>1631</v>
      </c>
      <c r="D1606" s="503">
        <v>3215.91</v>
      </c>
      <c r="E1606" s="503">
        <v>132401.28</v>
      </c>
      <c r="F1606" s="503">
        <v>38435.97</v>
      </c>
      <c r="G1606" s="503">
        <v>182566.25</v>
      </c>
    </row>
    <row r="1607" spans="2:7" x14ac:dyDescent="0.25">
      <c r="B1607" s="501" t="s">
        <v>1632</v>
      </c>
      <c r="C1607" s="501" t="s">
        <v>1633</v>
      </c>
      <c r="D1607" s="503">
        <v>12122.64</v>
      </c>
      <c r="E1607" s="503">
        <v>117999.81</v>
      </c>
      <c r="F1607" s="503">
        <v>12934.22</v>
      </c>
      <c r="G1607" s="503">
        <v>76476.899999999994</v>
      </c>
    </row>
    <row r="1608" spans="2:7" x14ac:dyDescent="0.25">
      <c r="B1608" s="501" t="s">
        <v>1634</v>
      </c>
      <c r="C1608" s="501" t="s">
        <v>1635</v>
      </c>
      <c r="D1608" s="501">
        <v>919.41</v>
      </c>
      <c r="E1608" s="503">
        <v>22678.32</v>
      </c>
      <c r="F1608" s="503">
        <v>2558.4699999999998</v>
      </c>
      <c r="G1608" s="503">
        <v>25330.1</v>
      </c>
    </row>
    <row r="1609" spans="2:7" x14ac:dyDescent="0.25">
      <c r="B1609" s="501" t="s">
        <v>1638</v>
      </c>
      <c r="C1609" s="501" t="s">
        <v>1639</v>
      </c>
      <c r="D1609" s="501">
        <v>0</v>
      </c>
      <c r="E1609" s="501">
        <v>770.4</v>
      </c>
      <c r="F1609" s="501">
        <v>0</v>
      </c>
      <c r="G1609" s="501">
        <v>300.27999999999997</v>
      </c>
    </row>
    <row r="1610" spans="2:7" x14ac:dyDescent="0.25">
      <c r="B1610" s="501" t="s">
        <v>1640</v>
      </c>
      <c r="C1610" s="501" t="s">
        <v>1641</v>
      </c>
      <c r="D1610" s="501">
        <v>0</v>
      </c>
      <c r="E1610" s="503">
        <v>33931.360000000001</v>
      </c>
      <c r="F1610" s="503">
        <v>821541.6</v>
      </c>
      <c r="G1610" s="503">
        <v>842401.39</v>
      </c>
    </row>
    <row r="1611" spans="2:7" x14ac:dyDescent="0.25">
      <c r="B1611" s="501" t="s">
        <v>1642</v>
      </c>
      <c r="C1611" s="501" t="s">
        <v>1643</v>
      </c>
      <c r="D1611" s="503">
        <v>16280.57</v>
      </c>
      <c r="E1611" s="503">
        <v>39047.85</v>
      </c>
      <c r="F1611" s="501">
        <v>0</v>
      </c>
      <c r="G1611" s="503">
        <v>13547.43</v>
      </c>
    </row>
    <row r="1612" spans="2:7" x14ac:dyDescent="0.25">
      <c r="B1612" s="501" t="s">
        <v>1644</v>
      </c>
      <c r="C1612" s="501" t="s">
        <v>1645</v>
      </c>
      <c r="D1612" s="503">
        <v>58988.71</v>
      </c>
      <c r="E1612" s="503">
        <v>414354.52</v>
      </c>
      <c r="F1612" s="503">
        <v>48184.55</v>
      </c>
      <c r="G1612" s="503">
        <v>306290.55</v>
      </c>
    </row>
    <row r="1613" spans="2:7" x14ac:dyDescent="0.25">
      <c r="B1613" s="501" t="s">
        <v>1646</v>
      </c>
      <c r="C1613" s="501" t="s">
        <v>1647</v>
      </c>
      <c r="D1613" s="501">
        <v>411.28</v>
      </c>
      <c r="E1613" s="503">
        <v>6561.43</v>
      </c>
      <c r="F1613" s="501">
        <v>491.39</v>
      </c>
      <c r="G1613" s="503">
        <v>9178.36</v>
      </c>
    </row>
    <row r="1614" spans="2:7" x14ac:dyDescent="0.25">
      <c r="B1614" s="501" t="s">
        <v>1648</v>
      </c>
      <c r="C1614" s="501" t="s">
        <v>1649</v>
      </c>
      <c r="D1614" s="503">
        <v>1102.72</v>
      </c>
      <c r="E1614" s="503">
        <v>6438.24</v>
      </c>
      <c r="F1614" s="503">
        <v>1129.05</v>
      </c>
      <c r="G1614" s="503">
        <v>5629.6</v>
      </c>
    </row>
    <row r="1615" spans="2:7" x14ac:dyDescent="0.25">
      <c r="B1615" s="501" t="s">
        <v>1650</v>
      </c>
      <c r="C1615" s="501" t="s">
        <v>1651</v>
      </c>
      <c r="D1615" s="503">
        <v>8465.5300000000007</v>
      </c>
      <c r="E1615" s="503">
        <v>119321.93</v>
      </c>
      <c r="F1615" s="503">
        <v>6419.36</v>
      </c>
      <c r="G1615" s="503">
        <v>79733.69</v>
      </c>
    </row>
    <row r="1616" spans="2:7" x14ac:dyDescent="0.25">
      <c r="B1616" s="501"/>
      <c r="C1616" s="501"/>
      <c r="D1616" s="501"/>
      <c r="E1616" s="501"/>
      <c r="F1616" s="501"/>
      <c r="G1616" s="501"/>
    </row>
    <row r="1617" spans="2:7" x14ac:dyDescent="0.25">
      <c r="B1617" s="501"/>
      <c r="C1617" s="501" t="s">
        <v>1653</v>
      </c>
      <c r="D1617" s="503">
        <v>98290.86</v>
      </c>
      <c r="E1617" s="503">
        <v>761103.86</v>
      </c>
      <c r="F1617" s="503">
        <v>893258.64</v>
      </c>
      <c r="G1617" s="503">
        <v>1358888.3</v>
      </c>
    </row>
    <row r="1618" spans="2:7" x14ac:dyDescent="0.25">
      <c r="B1618" s="501" t="s">
        <v>1662</v>
      </c>
      <c r="C1618" s="501" t="s">
        <v>1663</v>
      </c>
      <c r="D1618" s="501">
        <v>616.62</v>
      </c>
      <c r="E1618" s="503">
        <v>3022.37</v>
      </c>
      <c r="F1618" s="501">
        <v>121.35</v>
      </c>
      <c r="G1618" s="503">
        <v>2847.44</v>
      </c>
    </row>
    <row r="1619" spans="2:7" x14ac:dyDescent="0.25">
      <c r="B1619" s="501"/>
      <c r="C1619" s="501"/>
      <c r="D1619" s="501"/>
      <c r="E1619" s="501"/>
      <c r="F1619" s="501"/>
      <c r="G1619" s="501"/>
    </row>
    <row r="1620" spans="2:7" x14ac:dyDescent="0.25">
      <c r="B1620" s="501"/>
      <c r="C1620" s="501" t="s">
        <v>1666</v>
      </c>
      <c r="D1620" s="501">
        <v>616.62</v>
      </c>
      <c r="E1620" s="503">
        <v>3022.37</v>
      </c>
      <c r="F1620" s="501">
        <v>121.35</v>
      </c>
      <c r="G1620" s="503">
        <v>2847.44</v>
      </c>
    </row>
    <row r="1621" spans="2:7" x14ac:dyDescent="0.25">
      <c r="B1621" s="501">
        <v>760</v>
      </c>
      <c r="C1621" s="501" t="s">
        <v>1667</v>
      </c>
      <c r="D1621" s="501"/>
      <c r="E1621" s="501"/>
      <c r="F1621" s="501"/>
      <c r="G1621" s="501"/>
    </row>
    <row r="1622" spans="2:7" x14ac:dyDescent="0.25">
      <c r="B1622" s="501" t="s">
        <v>1668</v>
      </c>
      <c r="C1622" s="501" t="s">
        <v>1669</v>
      </c>
      <c r="D1622" s="503">
        <v>23769.01</v>
      </c>
      <c r="E1622" s="503">
        <v>33133.39</v>
      </c>
      <c r="F1622" s="503">
        <v>2292.6999999999998</v>
      </c>
      <c r="G1622" s="503">
        <v>3461.34</v>
      </c>
    </row>
    <row r="1623" spans="2:7" x14ac:dyDescent="0.25">
      <c r="B1623" s="501" t="s">
        <v>1676</v>
      </c>
      <c r="C1623" s="501" t="s">
        <v>1677</v>
      </c>
      <c r="D1623" s="501">
        <v>0</v>
      </c>
      <c r="E1623" s="503">
        <v>4426.6400000000003</v>
      </c>
      <c r="F1623" s="501">
        <v>0</v>
      </c>
      <c r="G1623" s="503">
        <v>3522.1</v>
      </c>
    </row>
    <row r="1624" spans="2:7" x14ac:dyDescent="0.25">
      <c r="B1624" s="501"/>
      <c r="C1624" s="501"/>
      <c r="D1624" s="501"/>
      <c r="E1624" s="501"/>
      <c r="F1624" s="501"/>
      <c r="G1624" s="501"/>
    </row>
    <row r="1625" spans="2:7" x14ac:dyDescent="0.25">
      <c r="B1625" s="501"/>
      <c r="C1625" s="501" t="s">
        <v>1682</v>
      </c>
      <c r="D1625" s="503">
        <v>23769.01</v>
      </c>
      <c r="E1625" s="503">
        <v>37560.03</v>
      </c>
      <c r="F1625" s="503">
        <v>2292.6999999999998</v>
      </c>
      <c r="G1625" s="503">
        <v>6983.44</v>
      </c>
    </row>
    <row r="1626" spans="2:7" x14ac:dyDescent="0.25">
      <c r="B1626" s="501" t="s">
        <v>1685</v>
      </c>
      <c r="C1626" s="501" t="s">
        <v>1686</v>
      </c>
      <c r="D1626" s="503">
        <v>145219.03</v>
      </c>
      <c r="E1626" s="503">
        <v>2063801.19</v>
      </c>
      <c r="F1626" s="503">
        <v>248538.67</v>
      </c>
      <c r="G1626" s="503">
        <v>1913588.32</v>
      </c>
    </row>
    <row r="1627" spans="2:7" x14ac:dyDescent="0.25">
      <c r="B1627" s="501" t="s">
        <v>1687</v>
      </c>
      <c r="C1627" s="501" t="s">
        <v>1688</v>
      </c>
      <c r="D1627" s="503">
        <v>15158.63</v>
      </c>
      <c r="E1627" s="503">
        <v>111994.55</v>
      </c>
      <c r="F1627" s="503">
        <v>7761.87</v>
      </c>
      <c r="G1627" s="503">
        <v>590808.11</v>
      </c>
    </row>
    <row r="1628" spans="2:7" x14ac:dyDescent="0.25">
      <c r="B1628" s="501" t="s">
        <v>1695</v>
      </c>
      <c r="C1628" s="501" t="s">
        <v>1696</v>
      </c>
      <c r="D1628" s="501">
        <v>0</v>
      </c>
      <c r="E1628" s="503">
        <v>14052.2</v>
      </c>
      <c r="F1628" s="501">
        <v>0</v>
      </c>
      <c r="G1628" s="503">
        <v>225929.68</v>
      </c>
    </row>
    <row r="1629" spans="2:7" x14ac:dyDescent="0.25">
      <c r="B1629" s="501" t="s">
        <v>1700</v>
      </c>
      <c r="C1629" s="501" t="s">
        <v>1701</v>
      </c>
      <c r="D1629" s="503">
        <v>119228.65</v>
      </c>
      <c r="E1629" s="503">
        <v>876776.51</v>
      </c>
      <c r="F1629" s="503">
        <v>67699.91</v>
      </c>
      <c r="G1629" s="503">
        <v>740093.72</v>
      </c>
    </row>
    <row r="1630" spans="2:7" x14ac:dyDescent="0.25">
      <c r="B1630" s="501" t="s">
        <v>1706</v>
      </c>
      <c r="C1630" s="501" t="s">
        <v>1707</v>
      </c>
      <c r="D1630" s="501">
        <v>467.5</v>
      </c>
      <c r="E1630" s="503">
        <v>5173</v>
      </c>
      <c r="F1630" s="501">
        <v>213</v>
      </c>
      <c r="G1630" s="503">
        <v>10278.5</v>
      </c>
    </row>
    <row r="1631" spans="2:7" x14ac:dyDescent="0.25">
      <c r="B1631" s="501"/>
      <c r="C1631" s="501"/>
      <c r="D1631" s="501"/>
      <c r="E1631" s="501"/>
      <c r="F1631" s="501"/>
      <c r="G1631" s="501"/>
    </row>
    <row r="1632" spans="2:7" x14ac:dyDescent="0.25">
      <c r="B1632" s="501"/>
      <c r="C1632" s="501" t="s">
        <v>1712</v>
      </c>
      <c r="D1632" s="503">
        <v>280073.81</v>
      </c>
      <c r="E1632" s="503">
        <v>3071797.45</v>
      </c>
      <c r="F1632" s="503">
        <v>324213.45</v>
      </c>
      <c r="G1632" s="503">
        <v>3480698.33</v>
      </c>
    </row>
    <row r="1633" spans="2:7" x14ac:dyDescent="0.25">
      <c r="B1633" s="501"/>
      <c r="C1633" s="501"/>
      <c r="D1633" s="501"/>
      <c r="E1633" s="501"/>
      <c r="F1633" s="501"/>
      <c r="G1633" s="501"/>
    </row>
    <row r="1634" spans="2:7" x14ac:dyDescent="0.25">
      <c r="B1634" s="501" t="s">
        <v>1728</v>
      </c>
      <c r="C1634" s="501" t="s">
        <v>1729</v>
      </c>
      <c r="D1634" s="503">
        <v>3353.7</v>
      </c>
      <c r="E1634" s="503">
        <v>42879.4</v>
      </c>
      <c r="F1634" s="503">
        <v>3353.7</v>
      </c>
      <c r="G1634" s="503">
        <v>41754.839999999997</v>
      </c>
    </row>
    <row r="1635" spans="2:7" x14ac:dyDescent="0.25">
      <c r="B1635" s="501" t="s">
        <v>1747</v>
      </c>
      <c r="C1635" s="501" t="s">
        <v>1748</v>
      </c>
      <c r="D1635" s="503">
        <v>2293.75</v>
      </c>
      <c r="E1635" s="503">
        <v>6670.83</v>
      </c>
      <c r="F1635" s="501">
        <v>0</v>
      </c>
      <c r="G1635" s="501">
        <v>100</v>
      </c>
    </row>
    <row r="1636" spans="2:7" x14ac:dyDescent="0.25">
      <c r="B1636" s="501" t="s">
        <v>1749</v>
      </c>
      <c r="C1636" s="501" t="s">
        <v>1750</v>
      </c>
      <c r="D1636" s="501">
        <v>0</v>
      </c>
      <c r="E1636" s="501">
        <v>0</v>
      </c>
      <c r="F1636" s="501">
        <v>0</v>
      </c>
      <c r="G1636" s="503">
        <v>2582.04</v>
      </c>
    </row>
    <row r="1637" spans="2:7" x14ac:dyDescent="0.25">
      <c r="B1637" s="501"/>
      <c r="C1637" s="501"/>
      <c r="D1637" s="501"/>
      <c r="E1637" s="501"/>
      <c r="F1637" s="501"/>
      <c r="G1637" s="501"/>
    </row>
    <row r="1638" spans="2:7" x14ac:dyDescent="0.25">
      <c r="B1638" s="501"/>
      <c r="C1638" s="501"/>
      <c r="D1638" s="501"/>
      <c r="E1638" s="501"/>
      <c r="F1638" s="501"/>
      <c r="G1638" s="501"/>
    </row>
    <row r="1639" spans="2:7" x14ac:dyDescent="0.25">
      <c r="B1639" s="501"/>
      <c r="C1639" s="501"/>
      <c r="D1639" s="501"/>
      <c r="E1639" s="501"/>
      <c r="F1639" s="501"/>
      <c r="G1639" s="501"/>
    </row>
    <row r="1640" spans="2:7" x14ac:dyDescent="0.25">
      <c r="B1640" s="501" t="s">
        <v>1240</v>
      </c>
      <c r="C1640" s="501" t="s">
        <v>1241</v>
      </c>
      <c r="D1640" s="501" t="s">
        <v>1242</v>
      </c>
      <c r="E1640" s="501" t="s">
        <v>1243</v>
      </c>
      <c r="F1640" s="501"/>
      <c r="G1640" s="501" t="s">
        <v>1948</v>
      </c>
    </row>
    <row r="1641" spans="2:7" x14ac:dyDescent="0.25">
      <c r="B1641" s="501" t="s">
        <v>1245</v>
      </c>
      <c r="C1641" s="501" t="s">
        <v>1246</v>
      </c>
      <c r="D1641" s="501" t="s">
        <v>1247</v>
      </c>
      <c r="E1641" s="501"/>
      <c r="F1641" s="501"/>
      <c r="G1641" s="501"/>
    </row>
    <row r="1642" spans="2:7" x14ac:dyDescent="0.25">
      <c r="B1642" s="501"/>
      <c r="C1642" s="501" t="s">
        <v>1248</v>
      </c>
      <c r="D1642" s="501" t="s">
        <v>1249</v>
      </c>
      <c r="E1642" s="501" t="s">
        <v>1250</v>
      </c>
      <c r="F1642" s="501" t="s">
        <v>1251</v>
      </c>
      <c r="G1642" s="501">
        <v>9</v>
      </c>
    </row>
    <row r="1643" spans="2:7" x14ac:dyDescent="0.25">
      <c r="B1643" s="501"/>
      <c r="C1643" s="501"/>
      <c r="D1643" s="501"/>
      <c r="E1643" s="501"/>
      <c r="F1643" s="501"/>
      <c r="G1643" s="501"/>
    </row>
    <row r="1644" spans="2:7" x14ac:dyDescent="0.25">
      <c r="B1644" s="504">
        <v>43470</v>
      </c>
      <c r="C1644" s="501">
        <v>105</v>
      </c>
      <c r="D1644" s="501" t="s">
        <v>1945</v>
      </c>
      <c r="E1644" s="501" t="s">
        <v>1946</v>
      </c>
      <c r="F1644" s="501"/>
      <c r="G1644" s="501" t="s">
        <v>1254</v>
      </c>
    </row>
    <row r="1645" spans="2:7" x14ac:dyDescent="0.25">
      <c r="B1645" s="501"/>
      <c r="C1645" s="501"/>
      <c r="D1645" s="501"/>
      <c r="E1645" s="501"/>
      <c r="F1645" s="501"/>
      <c r="G1645" s="501"/>
    </row>
    <row r="1646" spans="2:7" x14ac:dyDescent="0.25">
      <c r="B1646" s="501" t="s">
        <v>1255</v>
      </c>
      <c r="C1646" s="501" t="s">
        <v>1256</v>
      </c>
      <c r="D1646" s="501" t="s">
        <v>1257</v>
      </c>
      <c r="E1646" s="501" t="s">
        <v>1258</v>
      </c>
      <c r="F1646" s="501" t="s">
        <v>1259</v>
      </c>
      <c r="G1646" s="501" t="s">
        <v>1260</v>
      </c>
    </row>
    <row r="1647" spans="2:7" x14ac:dyDescent="0.25">
      <c r="B1647" s="501"/>
      <c r="C1647" s="501"/>
      <c r="D1647" s="501"/>
      <c r="E1647" s="501"/>
      <c r="F1647" s="501"/>
      <c r="G1647" s="501"/>
    </row>
    <row r="1648" spans="2:7" x14ac:dyDescent="0.25">
      <c r="B1648" s="501"/>
      <c r="C1648" s="501"/>
      <c r="D1648" s="501"/>
      <c r="E1648" s="501"/>
      <c r="F1648" s="501"/>
      <c r="G1648" s="501"/>
    </row>
    <row r="1649" spans="2:7" x14ac:dyDescent="0.25">
      <c r="B1649" s="501"/>
      <c r="C1649" s="501" t="s">
        <v>1751</v>
      </c>
      <c r="D1649" s="503">
        <v>5647.45</v>
      </c>
      <c r="E1649" s="503">
        <v>49550.23</v>
      </c>
      <c r="F1649" s="503">
        <v>3353.7</v>
      </c>
      <c r="G1649" s="503">
        <v>44436.88</v>
      </c>
    </row>
    <row r="1650" spans="2:7" x14ac:dyDescent="0.25">
      <c r="B1650" s="501"/>
      <c r="C1650" s="501"/>
      <c r="D1650" s="501"/>
      <c r="E1650" s="501"/>
      <c r="F1650" s="501"/>
      <c r="G1650" s="501"/>
    </row>
    <row r="1651" spans="2:7" x14ac:dyDescent="0.25">
      <c r="B1651" s="501"/>
      <c r="C1651" s="501" t="s">
        <v>1752</v>
      </c>
      <c r="D1651" s="503">
        <v>5647.45</v>
      </c>
      <c r="E1651" s="503">
        <v>49550.23</v>
      </c>
      <c r="F1651" s="503">
        <v>3353.7</v>
      </c>
      <c r="G1651" s="503">
        <v>44436.88</v>
      </c>
    </row>
    <row r="1652" spans="2:7" x14ac:dyDescent="0.25">
      <c r="B1652" s="501" t="s">
        <v>1753</v>
      </c>
      <c r="C1652" s="501" t="s">
        <v>1754</v>
      </c>
      <c r="D1652" s="501">
        <v>0</v>
      </c>
      <c r="E1652" s="503">
        <v>14375.59</v>
      </c>
      <c r="F1652" s="503">
        <v>2314.83</v>
      </c>
      <c r="G1652" s="503">
        <v>6984.28</v>
      </c>
    </row>
    <row r="1653" spans="2:7" x14ac:dyDescent="0.25">
      <c r="B1653" s="501" t="s">
        <v>1759</v>
      </c>
      <c r="C1653" s="501" t="s">
        <v>447</v>
      </c>
      <c r="D1653" s="501">
        <v>412.75</v>
      </c>
      <c r="E1653" s="503">
        <v>4577.43</v>
      </c>
      <c r="F1653" s="501">
        <v>371.02</v>
      </c>
      <c r="G1653" s="503">
        <v>5197.9799999999996</v>
      </c>
    </row>
    <row r="1654" spans="2:7" x14ac:dyDescent="0.25">
      <c r="B1654" s="501" t="s">
        <v>1770</v>
      </c>
      <c r="C1654" s="501" t="s">
        <v>1771</v>
      </c>
      <c r="D1654" s="503">
        <v>84088.48</v>
      </c>
      <c r="E1654" s="503">
        <v>820880.3</v>
      </c>
      <c r="F1654" s="503">
        <v>112953.64</v>
      </c>
      <c r="G1654" s="503">
        <v>1202012.93</v>
      </c>
    </row>
    <row r="1655" spans="2:7" x14ac:dyDescent="0.25">
      <c r="B1655" s="501" t="s">
        <v>1784</v>
      </c>
      <c r="C1655" s="501" t="s">
        <v>1785</v>
      </c>
      <c r="D1655" s="503">
        <v>39926.06</v>
      </c>
      <c r="E1655" s="503">
        <v>159568.68</v>
      </c>
      <c r="F1655" s="503">
        <v>10063.25</v>
      </c>
      <c r="G1655" s="503">
        <v>109319.62</v>
      </c>
    </row>
    <row r="1656" spans="2:7" x14ac:dyDescent="0.25">
      <c r="B1656" s="501" t="s">
        <v>1786</v>
      </c>
      <c r="C1656" s="501" t="s">
        <v>1787</v>
      </c>
      <c r="D1656" s="503">
        <v>8102.42</v>
      </c>
      <c r="E1656" s="503">
        <v>137192.49</v>
      </c>
      <c r="F1656" s="503">
        <v>14711.77</v>
      </c>
      <c r="G1656" s="503">
        <v>48124.7</v>
      </c>
    </row>
    <row r="1657" spans="2:7" x14ac:dyDescent="0.25">
      <c r="B1657" s="501" t="s">
        <v>1788</v>
      </c>
      <c r="C1657" s="501" t="s">
        <v>1789</v>
      </c>
      <c r="D1657" s="503">
        <v>25868.32</v>
      </c>
      <c r="E1657" s="503">
        <v>129773.56</v>
      </c>
      <c r="F1657" s="503">
        <v>12875.46</v>
      </c>
      <c r="G1657" s="503">
        <v>89970.67</v>
      </c>
    </row>
    <row r="1658" spans="2:7" x14ac:dyDescent="0.25">
      <c r="B1658" s="501" t="s">
        <v>1790</v>
      </c>
      <c r="C1658" s="501" t="s">
        <v>1791</v>
      </c>
      <c r="D1658" s="503">
        <v>26172.33</v>
      </c>
      <c r="E1658" s="503">
        <v>269938.59000000003</v>
      </c>
      <c r="F1658" s="503">
        <v>28604.82</v>
      </c>
      <c r="G1658" s="503">
        <v>221303.01</v>
      </c>
    </row>
    <row r="1659" spans="2:7" x14ac:dyDescent="0.25">
      <c r="B1659" s="501" t="s">
        <v>1792</v>
      </c>
      <c r="C1659" s="501" t="s">
        <v>1793</v>
      </c>
      <c r="D1659" s="503">
        <v>11721.2</v>
      </c>
      <c r="E1659" s="503">
        <v>121303.06</v>
      </c>
      <c r="F1659" s="503">
        <v>8627.73</v>
      </c>
      <c r="G1659" s="503">
        <v>91597.95</v>
      </c>
    </row>
    <row r="1660" spans="2:7" x14ac:dyDescent="0.25">
      <c r="B1660" s="501" t="s">
        <v>1794</v>
      </c>
      <c r="C1660" s="501" t="s">
        <v>1795</v>
      </c>
      <c r="D1660" s="503">
        <v>3141.71</v>
      </c>
      <c r="E1660" s="503">
        <v>29820.75</v>
      </c>
      <c r="F1660" s="503">
        <v>7070.98</v>
      </c>
      <c r="G1660" s="503">
        <v>24614.14</v>
      </c>
    </row>
    <row r="1661" spans="2:7" x14ac:dyDescent="0.25">
      <c r="B1661" s="501" t="s">
        <v>1796</v>
      </c>
      <c r="C1661" s="501" t="s">
        <v>1797</v>
      </c>
      <c r="D1661" s="503">
        <v>33987.43</v>
      </c>
      <c r="E1661" s="503">
        <v>71039.08</v>
      </c>
      <c r="F1661" s="503">
        <v>3473.24</v>
      </c>
      <c r="G1661" s="503">
        <v>22097.51</v>
      </c>
    </row>
    <row r="1662" spans="2:7" x14ac:dyDescent="0.25">
      <c r="B1662" s="501" t="s">
        <v>1798</v>
      </c>
      <c r="C1662" s="501" t="s">
        <v>1799</v>
      </c>
      <c r="D1662" s="503">
        <v>28904.61</v>
      </c>
      <c r="E1662" s="503">
        <v>45924.35</v>
      </c>
      <c r="F1662" s="503">
        <v>2448.4499999999998</v>
      </c>
      <c r="G1662" s="503">
        <v>27351.52</v>
      </c>
    </row>
    <row r="1663" spans="2:7" x14ac:dyDescent="0.25">
      <c r="B1663" s="501" t="s">
        <v>1800</v>
      </c>
      <c r="C1663" s="501" t="s">
        <v>1801</v>
      </c>
      <c r="D1663" s="501">
        <v>368</v>
      </c>
      <c r="E1663" s="503">
        <v>6613.5</v>
      </c>
      <c r="F1663" s="501">
        <v>199.99</v>
      </c>
      <c r="G1663" s="503">
        <v>6902.2</v>
      </c>
    </row>
    <row r="1664" spans="2:7" x14ac:dyDescent="0.25">
      <c r="B1664" s="501" t="s">
        <v>1802</v>
      </c>
      <c r="C1664" s="501" t="s">
        <v>1803</v>
      </c>
      <c r="D1664" s="501">
        <v>414.63</v>
      </c>
      <c r="E1664" s="503">
        <v>19685.82</v>
      </c>
      <c r="F1664" s="501">
        <v>233.88</v>
      </c>
      <c r="G1664" s="503">
        <v>1538.39</v>
      </c>
    </row>
    <row r="1665" spans="2:7" x14ac:dyDescent="0.25">
      <c r="B1665" s="501" t="s">
        <v>1808</v>
      </c>
      <c r="C1665" s="501" t="s">
        <v>1809</v>
      </c>
      <c r="D1665" s="501">
        <v>0</v>
      </c>
      <c r="E1665" s="503">
        <v>212543.62</v>
      </c>
      <c r="F1665" s="503">
        <v>28328.880000000001</v>
      </c>
      <c r="G1665" s="503">
        <v>183104.66</v>
      </c>
    </row>
    <row r="1666" spans="2:7" x14ac:dyDescent="0.25">
      <c r="B1666" s="501" t="s">
        <v>1810</v>
      </c>
      <c r="C1666" s="501" t="s">
        <v>1811</v>
      </c>
      <c r="D1666" s="503">
        <v>-1925.27</v>
      </c>
      <c r="E1666" s="503">
        <v>128379.46</v>
      </c>
      <c r="F1666" s="503">
        <v>13057.65</v>
      </c>
      <c r="G1666" s="503">
        <v>203604.47</v>
      </c>
    </row>
    <row r="1667" spans="2:7" x14ac:dyDescent="0.25">
      <c r="B1667" s="501" t="s">
        <v>1812</v>
      </c>
      <c r="C1667" s="501" t="s">
        <v>1813</v>
      </c>
      <c r="D1667" s="503">
        <v>-5067.46</v>
      </c>
      <c r="E1667" s="503">
        <v>-21387.9</v>
      </c>
      <c r="F1667" s="503">
        <v>-5898.72</v>
      </c>
      <c r="G1667" s="503">
        <v>2936196.12</v>
      </c>
    </row>
    <row r="1668" spans="2:7" x14ac:dyDescent="0.25">
      <c r="B1668" s="501"/>
      <c r="C1668" s="501"/>
      <c r="D1668" s="501"/>
      <c r="E1668" s="501"/>
      <c r="F1668" s="501"/>
      <c r="G1668" s="501"/>
    </row>
    <row r="1669" spans="2:7" x14ac:dyDescent="0.25">
      <c r="B1669" s="501"/>
      <c r="C1669" s="501" t="s">
        <v>1814</v>
      </c>
      <c r="D1669" s="503">
        <v>256115.21</v>
      </c>
      <c r="E1669" s="503">
        <v>2150228.38</v>
      </c>
      <c r="F1669" s="503">
        <v>239436.87</v>
      </c>
      <c r="G1669" s="503">
        <v>5179920.1500000004</v>
      </c>
    </row>
    <row r="1670" spans="2:7" x14ac:dyDescent="0.25">
      <c r="B1670" s="501"/>
      <c r="C1670" s="501"/>
      <c r="D1670" s="501"/>
      <c r="E1670" s="501"/>
      <c r="F1670" s="501"/>
      <c r="G1670" s="501"/>
    </row>
    <row r="1671" spans="2:7" x14ac:dyDescent="0.25">
      <c r="B1671" s="501"/>
      <c r="C1671" s="501" t="s">
        <v>1842</v>
      </c>
      <c r="D1671" s="503">
        <v>1137890.45</v>
      </c>
      <c r="E1671" s="503">
        <v>12747911.75</v>
      </c>
      <c r="F1671" s="503">
        <v>2002088.21</v>
      </c>
      <c r="G1671" s="503">
        <v>16729068.960000001</v>
      </c>
    </row>
    <row r="1672" spans="2:7" x14ac:dyDescent="0.25">
      <c r="B1672" s="501"/>
      <c r="C1672" s="501"/>
      <c r="D1672" s="501"/>
      <c r="E1672" s="501"/>
      <c r="F1672" s="501"/>
      <c r="G1672" s="501"/>
    </row>
    <row r="1673" spans="2:7" x14ac:dyDescent="0.25">
      <c r="B1673" s="501"/>
      <c r="C1673" s="501"/>
      <c r="D1673" s="501"/>
      <c r="E1673" s="501"/>
      <c r="F1673" s="501"/>
      <c r="G1673" s="501"/>
    </row>
    <row r="1674" spans="2:7" x14ac:dyDescent="0.25">
      <c r="B1674" s="501"/>
      <c r="C1674" s="501" t="s">
        <v>1843</v>
      </c>
      <c r="D1674" s="503">
        <v>76986.070000000007</v>
      </c>
      <c r="E1674" s="501">
        <v>-0.02</v>
      </c>
      <c r="F1674" s="503">
        <v>87071.38</v>
      </c>
      <c r="G1674" s="503">
        <v>15981.45</v>
      </c>
    </row>
    <row r="1675" spans="2:7" x14ac:dyDescent="0.25">
      <c r="B1675" s="501"/>
      <c r="C1675" s="501"/>
      <c r="D1675" s="501"/>
      <c r="E1675" s="501"/>
      <c r="F1675" s="501"/>
      <c r="G1675" s="501"/>
    </row>
    <row r="1676" spans="2:7" x14ac:dyDescent="0.25">
      <c r="B1676" s="501"/>
      <c r="C1676" s="501" t="s">
        <v>1916</v>
      </c>
      <c r="D1676" s="503">
        <v>76986.070000000007</v>
      </c>
      <c r="E1676" s="501">
        <v>-0.02</v>
      </c>
      <c r="F1676" s="503">
        <v>87071.38</v>
      </c>
      <c r="G1676" s="503">
        <v>15981.45</v>
      </c>
    </row>
    <row r="1677" spans="2:7" x14ac:dyDescent="0.25">
      <c r="B1677" s="501"/>
      <c r="C1677" s="501" t="s">
        <v>1917</v>
      </c>
      <c r="D1677" s="501" t="s">
        <v>1918</v>
      </c>
      <c r="E1677" s="501" t="s">
        <v>1919</v>
      </c>
      <c r="F1677" s="501" t="s">
        <v>1919</v>
      </c>
      <c r="G1677" s="501" t="s">
        <v>1919</v>
      </c>
    </row>
    <row r="1678" spans="2:7" x14ac:dyDescent="0.25">
      <c r="B1678" s="501"/>
      <c r="C1678" s="501"/>
      <c r="D1678" s="501"/>
      <c r="E1678" s="501"/>
      <c r="F1678" s="501"/>
      <c r="G1678" s="501"/>
    </row>
    <row r="1679" spans="2:7" x14ac:dyDescent="0.25">
      <c r="B1679" s="501"/>
      <c r="C1679" s="501"/>
      <c r="D1679" s="501"/>
      <c r="E1679" s="501"/>
      <c r="F1679" s="501"/>
      <c r="G1679" s="501"/>
    </row>
    <row r="1680" spans="2:7" x14ac:dyDescent="0.25">
      <c r="B1680" s="501"/>
      <c r="C1680" s="501"/>
      <c r="D1680" s="501"/>
      <c r="E1680" s="501"/>
      <c r="F1680" s="501"/>
      <c r="G1680" s="501"/>
    </row>
    <row r="1681" spans="2:7" x14ac:dyDescent="0.25">
      <c r="B1681" s="501"/>
      <c r="C1681" s="501"/>
      <c r="D1681" s="501"/>
      <c r="E1681" s="501"/>
      <c r="F1681" s="501"/>
      <c r="G1681" s="501"/>
    </row>
    <row r="1682" spans="2:7" x14ac:dyDescent="0.25">
      <c r="B1682" s="501"/>
      <c r="C1682" s="501"/>
      <c r="D1682" s="501"/>
      <c r="E1682" s="501"/>
      <c r="F1682" s="501"/>
      <c r="G1682" s="501"/>
    </row>
    <row r="1683" spans="2:7" x14ac:dyDescent="0.25">
      <c r="B1683" s="501"/>
      <c r="C1683" s="501"/>
      <c r="D1683" s="501"/>
      <c r="E1683" s="501"/>
      <c r="F1683" s="501"/>
      <c r="G1683" s="501"/>
    </row>
    <row r="1684" spans="2:7" x14ac:dyDescent="0.25">
      <c r="B1684" s="501"/>
      <c r="C1684" s="501"/>
      <c r="D1684" s="501"/>
      <c r="E1684" s="501"/>
      <c r="F1684" s="501"/>
      <c r="G1684" s="501"/>
    </row>
    <row r="1685" spans="2:7" x14ac:dyDescent="0.25">
      <c r="B1685" s="501"/>
      <c r="C1685" s="501"/>
      <c r="D1685" s="501"/>
      <c r="E1685" s="501"/>
      <c r="F1685" s="501"/>
      <c r="G1685" s="501"/>
    </row>
    <row r="1686" spans="2:7" x14ac:dyDescent="0.25">
      <c r="B1686" s="501"/>
      <c r="C1686" s="501"/>
      <c r="D1686" s="501"/>
      <c r="E1686" s="501"/>
      <c r="F1686" s="501"/>
      <c r="G1686" s="501"/>
    </row>
    <row r="1687" spans="2:7" x14ac:dyDescent="0.25">
      <c r="B1687" s="501"/>
      <c r="C1687" s="501"/>
      <c r="D1687" s="501"/>
      <c r="E1687" s="501"/>
      <c r="F1687" s="501"/>
      <c r="G1687" s="501"/>
    </row>
    <row r="1688" spans="2:7" x14ac:dyDescent="0.25">
      <c r="B1688" s="501"/>
      <c r="C1688" s="501"/>
      <c r="D1688" s="501"/>
      <c r="E1688" s="501"/>
      <c r="F1688" s="501"/>
      <c r="G1688" s="501"/>
    </row>
    <row r="1689" spans="2:7" x14ac:dyDescent="0.25">
      <c r="B1689" s="501"/>
      <c r="C1689" s="501"/>
      <c r="D1689" s="501"/>
      <c r="E1689" s="501"/>
      <c r="F1689" s="501"/>
      <c r="G1689" s="501"/>
    </row>
    <row r="1690" spans="2:7" x14ac:dyDescent="0.25">
      <c r="B1690" s="501"/>
      <c r="C1690" s="501"/>
      <c r="D1690" s="501"/>
      <c r="E1690" s="501"/>
      <c r="F1690" s="501"/>
      <c r="G1690" s="501"/>
    </row>
    <row r="1691" spans="2:7" x14ac:dyDescent="0.25">
      <c r="B1691" s="501"/>
      <c r="C1691" s="501"/>
      <c r="D1691" s="501"/>
      <c r="E1691" s="501"/>
      <c r="F1691" s="501"/>
      <c r="G1691" s="501"/>
    </row>
    <row r="1692" spans="2:7" x14ac:dyDescent="0.25">
      <c r="B1692" s="501"/>
      <c r="C1692" s="501"/>
      <c r="D1692" s="501"/>
      <c r="E1692" s="501"/>
      <c r="F1692" s="501"/>
      <c r="G1692" s="501"/>
    </row>
    <row r="1693" spans="2:7" x14ac:dyDescent="0.25">
      <c r="B1693" s="501"/>
      <c r="C1693" s="501"/>
      <c r="D1693" s="501"/>
      <c r="E1693" s="501"/>
      <c r="F1693" s="501"/>
      <c r="G1693" s="501"/>
    </row>
    <row r="1694" spans="2:7" x14ac:dyDescent="0.25">
      <c r="B1694" s="501"/>
      <c r="C1694" s="501"/>
      <c r="D1694" s="501"/>
      <c r="E1694" s="501"/>
      <c r="F1694" s="501"/>
      <c r="G1694" s="501"/>
    </row>
    <row r="1695" spans="2:7" x14ac:dyDescent="0.25">
      <c r="B1695" s="501"/>
      <c r="C1695" s="501"/>
      <c r="D1695" s="501"/>
      <c r="E1695" s="501"/>
      <c r="F1695" s="501"/>
      <c r="G1695" s="501"/>
    </row>
    <row r="1696" spans="2:7" x14ac:dyDescent="0.25">
      <c r="B1696" s="501"/>
      <c r="C1696" s="501"/>
      <c r="D1696" s="501"/>
      <c r="E1696" s="501"/>
      <c r="F1696" s="501"/>
      <c r="G1696" s="501"/>
    </row>
    <row r="1697" spans="2:7" x14ac:dyDescent="0.25">
      <c r="B1697" s="501"/>
      <c r="C1697" s="501"/>
      <c r="D1697" s="501"/>
      <c r="E1697" s="501"/>
      <c r="F1697" s="501"/>
      <c r="G1697" s="501"/>
    </row>
    <row r="1698" spans="2:7" x14ac:dyDescent="0.25">
      <c r="B1698" s="501"/>
      <c r="C1698" s="501"/>
      <c r="D1698" s="501"/>
      <c r="E1698" s="501"/>
      <c r="F1698" s="501"/>
      <c r="G1698" s="501"/>
    </row>
    <row r="1699" spans="2:7" x14ac:dyDescent="0.25">
      <c r="B1699" s="501"/>
      <c r="C1699" s="501"/>
      <c r="D1699" s="501"/>
      <c r="E1699" s="501"/>
      <c r="F1699" s="501"/>
      <c r="G1699" s="501"/>
    </row>
    <row r="1700" spans="2:7" x14ac:dyDescent="0.25">
      <c r="B1700" s="501"/>
      <c r="C1700" s="501"/>
      <c r="D1700" s="501"/>
      <c r="E1700" s="501"/>
      <c r="F1700" s="501"/>
      <c r="G1700" s="501"/>
    </row>
    <row r="1701" spans="2:7" x14ac:dyDescent="0.25">
      <c r="B1701" s="501"/>
      <c r="C1701" s="501"/>
      <c r="D1701" s="501"/>
      <c r="E1701" s="501"/>
      <c r="F1701" s="501"/>
      <c r="G1701" s="501"/>
    </row>
    <row r="1702" spans="2:7" x14ac:dyDescent="0.25">
      <c r="B1702" s="501"/>
      <c r="C1702" s="501"/>
      <c r="D1702" s="501"/>
      <c r="E1702" s="501"/>
      <c r="F1702" s="501"/>
      <c r="G1702" s="501"/>
    </row>
    <row r="1703" spans="2:7" x14ac:dyDescent="0.25">
      <c r="B1703" s="501"/>
      <c r="C1703" s="501"/>
      <c r="D1703" s="501"/>
      <c r="E1703" s="501"/>
      <c r="F1703" s="501"/>
      <c r="G1703" s="501"/>
    </row>
    <row r="1704" spans="2:7" x14ac:dyDescent="0.25">
      <c r="B1704" s="501"/>
      <c r="C1704" s="501"/>
      <c r="D1704" s="501"/>
      <c r="E1704" s="501"/>
      <c r="F1704" s="501"/>
      <c r="G1704" s="501"/>
    </row>
    <row r="1705" spans="2:7" x14ac:dyDescent="0.25">
      <c r="B1705" s="501"/>
      <c r="C1705" s="501"/>
      <c r="D1705" s="501"/>
      <c r="E1705" s="501"/>
      <c r="F1705" s="501"/>
      <c r="G1705" s="501"/>
    </row>
    <row r="1706" spans="2:7" x14ac:dyDescent="0.25">
      <c r="B1706" s="501"/>
      <c r="C1706" s="501"/>
      <c r="D1706" s="501"/>
      <c r="E1706" s="501"/>
      <c r="F1706" s="501"/>
      <c r="G1706" s="501"/>
    </row>
    <row r="1707" spans="2:7" x14ac:dyDescent="0.25">
      <c r="B1707" s="501"/>
      <c r="C1707" s="501"/>
      <c r="D1707" s="501"/>
      <c r="E1707" s="501"/>
      <c r="F1707" s="501"/>
      <c r="G1707" s="501"/>
    </row>
    <row r="1708" spans="2:7" x14ac:dyDescent="0.25">
      <c r="B1708" s="501"/>
      <c r="C1708" s="501"/>
      <c r="D1708" s="501"/>
      <c r="E1708" s="501"/>
      <c r="F1708" s="501"/>
      <c r="G1708" s="501"/>
    </row>
    <row r="1709" spans="2:7" x14ac:dyDescent="0.25">
      <c r="B1709" s="501"/>
      <c r="C1709" s="501"/>
      <c r="D1709" s="501"/>
      <c r="E1709" s="501"/>
      <c r="F1709" s="501"/>
      <c r="G1709" s="501"/>
    </row>
    <row r="1710" spans="2:7" x14ac:dyDescent="0.25">
      <c r="B1710" s="501"/>
      <c r="C1710" s="501"/>
      <c r="D1710" s="501"/>
      <c r="E1710" s="501"/>
      <c r="F1710" s="501"/>
      <c r="G1710" s="501"/>
    </row>
    <row r="1711" spans="2:7" x14ac:dyDescent="0.25">
      <c r="B1711" s="501"/>
      <c r="C1711" s="501"/>
      <c r="D1711" s="501"/>
      <c r="E1711" s="501"/>
      <c r="F1711" s="501"/>
      <c r="G1711" s="501"/>
    </row>
    <row r="1712" spans="2:7" x14ac:dyDescent="0.25">
      <c r="B1712" s="501"/>
      <c r="C1712" s="501"/>
      <c r="D1712" s="501"/>
      <c r="E1712" s="501"/>
      <c r="F1712" s="501"/>
      <c r="G1712" s="501"/>
    </row>
    <row r="1713" spans="2:7" x14ac:dyDescent="0.25">
      <c r="B1713" s="501"/>
      <c r="C1713" s="501"/>
      <c r="D1713" s="501"/>
      <c r="E1713" s="501"/>
      <c r="F1713" s="501"/>
      <c r="G1713" s="501"/>
    </row>
    <row r="1714" spans="2:7" x14ac:dyDescent="0.25">
      <c r="B1714" s="501"/>
      <c r="C1714" s="501"/>
      <c r="D1714" s="501"/>
      <c r="E1714" s="501"/>
      <c r="F1714" s="501"/>
      <c r="G1714" s="501"/>
    </row>
    <row r="1715" spans="2:7" x14ac:dyDescent="0.25">
      <c r="B1715" s="501"/>
      <c r="C1715" s="501"/>
      <c r="D1715" s="501"/>
      <c r="E1715" s="501"/>
      <c r="F1715" s="501"/>
      <c r="G1715" s="501"/>
    </row>
    <row r="1716" spans="2:7" x14ac:dyDescent="0.25">
      <c r="B1716" s="501"/>
      <c r="C1716" s="501"/>
      <c r="D1716" s="501"/>
      <c r="E1716" s="501"/>
      <c r="F1716" s="501"/>
      <c r="G1716" s="501"/>
    </row>
    <row r="1717" spans="2:7" x14ac:dyDescent="0.25">
      <c r="B1717" s="501"/>
      <c r="C1717" s="501"/>
      <c r="D1717" s="501"/>
      <c r="E1717" s="501"/>
      <c r="F1717" s="501"/>
      <c r="G1717" s="501"/>
    </row>
    <row r="1718" spans="2:7" x14ac:dyDescent="0.25">
      <c r="B1718" s="501"/>
      <c r="C1718" s="501"/>
      <c r="D1718" s="501"/>
      <c r="E1718" s="501"/>
      <c r="F1718" s="501"/>
      <c r="G1718" s="501"/>
    </row>
    <row r="1719" spans="2:7" x14ac:dyDescent="0.25">
      <c r="B1719" s="501"/>
      <c r="C1719" s="501"/>
      <c r="D1719" s="501"/>
      <c r="E1719" s="501"/>
      <c r="F1719" s="501"/>
      <c r="G1719" s="501"/>
    </row>
    <row r="1720" spans="2:7" x14ac:dyDescent="0.25">
      <c r="B1720" s="501"/>
      <c r="C1720" s="501"/>
      <c r="D1720" s="501"/>
      <c r="E1720" s="501"/>
      <c r="F1720" s="501"/>
      <c r="G1720" s="501"/>
    </row>
    <row r="1721" spans="2:7" x14ac:dyDescent="0.25">
      <c r="B1721" s="501"/>
      <c r="C1721" s="501"/>
      <c r="D1721" s="501"/>
      <c r="E1721" s="501"/>
      <c r="F1721" s="501"/>
      <c r="G1721" s="501"/>
    </row>
    <row r="1722" spans="2:7" x14ac:dyDescent="0.25">
      <c r="B1722" s="501"/>
      <c r="C1722" s="501"/>
      <c r="D1722" s="501"/>
      <c r="E1722" s="501"/>
      <c r="F1722" s="501"/>
      <c r="G1722" s="501"/>
    </row>
    <row r="1723" spans="2:7" x14ac:dyDescent="0.25">
      <c r="B1723" s="501"/>
      <c r="C1723" s="501"/>
      <c r="D1723" s="501"/>
      <c r="E1723" s="501"/>
      <c r="F1723" s="501"/>
      <c r="G1723" s="501"/>
    </row>
    <row r="1724" spans="2:7" x14ac:dyDescent="0.25">
      <c r="B1724" s="501"/>
      <c r="C1724" s="501"/>
      <c r="D1724" s="501"/>
      <c r="E1724" s="501"/>
      <c r="F1724" s="501"/>
      <c r="G1724" s="501"/>
    </row>
    <row r="1725" spans="2:7" x14ac:dyDescent="0.25">
      <c r="B1725" s="501"/>
      <c r="C1725" s="501"/>
      <c r="D1725" s="501"/>
      <c r="E1725" s="501"/>
      <c r="F1725" s="501"/>
      <c r="G1725" s="501"/>
    </row>
    <row r="1726" spans="2:7" x14ac:dyDescent="0.25">
      <c r="B1726" s="501"/>
      <c r="C1726" s="501"/>
      <c r="D1726" s="501"/>
      <c r="E1726" s="501"/>
      <c r="F1726" s="501"/>
      <c r="G1726" s="501"/>
    </row>
    <row r="1727" spans="2:7" x14ac:dyDescent="0.25">
      <c r="B1727" s="501"/>
      <c r="C1727" s="501"/>
      <c r="D1727" s="501"/>
      <c r="E1727" s="501"/>
      <c r="F1727" s="501"/>
      <c r="G1727" s="501"/>
    </row>
    <row r="1728" spans="2:7" x14ac:dyDescent="0.25">
      <c r="B1728" s="501"/>
      <c r="C1728" s="501"/>
      <c r="D1728" s="501"/>
      <c r="E1728" s="501"/>
      <c r="F1728" s="501"/>
      <c r="G1728" s="501"/>
    </row>
    <row r="1729" spans="2:7" x14ac:dyDescent="0.25">
      <c r="B1729" s="501"/>
      <c r="C1729" s="501"/>
      <c r="D1729" s="501"/>
      <c r="E1729" s="501"/>
      <c r="F1729" s="501"/>
      <c r="G1729" s="501"/>
    </row>
    <row r="1730" spans="2:7" x14ac:dyDescent="0.25">
      <c r="B1730" s="501"/>
      <c r="C1730" s="501"/>
      <c r="D1730" s="501"/>
      <c r="E1730" s="501"/>
      <c r="F1730" s="501"/>
      <c r="G1730" s="501"/>
    </row>
    <row r="1731" spans="2:7" x14ac:dyDescent="0.25">
      <c r="B1731" s="501"/>
      <c r="C1731" s="501"/>
      <c r="D1731" s="501"/>
      <c r="E1731" s="501"/>
      <c r="F1731" s="501"/>
      <c r="G1731" s="501"/>
    </row>
    <row r="1732" spans="2:7" x14ac:dyDescent="0.25">
      <c r="B1732" s="501"/>
      <c r="C1732" s="501"/>
      <c r="D1732" s="501"/>
      <c r="E1732" s="501"/>
      <c r="F1732" s="501"/>
      <c r="G1732" s="501"/>
    </row>
    <row r="1733" spans="2:7" x14ac:dyDescent="0.25">
      <c r="B1733" s="501"/>
      <c r="C1733" s="501"/>
      <c r="D1733" s="501"/>
      <c r="E1733" s="501"/>
      <c r="F1733" s="501"/>
      <c r="G1733" s="501"/>
    </row>
    <row r="1734" spans="2:7" x14ac:dyDescent="0.25">
      <c r="B1734" s="501"/>
      <c r="C1734" s="501"/>
      <c r="D1734" s="501"/>
      <c r="E1734" s="501"/>
      <c r="F1734" s="501"/>
      <c r="G1734" s="501"/>
    </row>
    <row r="1735" spans="2:7" x14ac:dyDescent="0.25">
      <c r="B1735" s="501"/>
      <c r="C1735" s="501"/>
      <c r="D1735" s="501"/>
      <c r="E1735" s="501"/>
      <c r="F1735" s="501"/>
      <c r="G1735" s="501"/>
    </row>
    <row r="1736" spans="2:7" x14ac:dyDescent="0.25">
      <c r="B1736" s="501"/>
      <c r="C1736" s="501"/>
      <c r="D1736" s="501"/>
      <c r="E1736" s="501"/>
      <c r="F1736" s="501"/>
      <c r="G1736" s="501"/>
    </row>
    <row r="1737" spans="2:7" x14ac:dyDescent="0.25">
      <c r="B1737" s="501"/>
      <c r="C1737" s="501"/>
      <c r="D1737" s="501"/>
      <c r="E1737" s="501"/>
      <c r="F1737" s="501"/>
      <c r="G1737" s="501"/>
    </row>
    <row r="1738" spans="2:7" x14ac:dyDescent="0.25">
      <c r="B1738" s="501"/>
      <c r="C1738" s="501"/>
      <c r="D1738" s="501"/>
      <c r="E1738" s="501"/>
      <c r="F1738" s="501"/>
      <c r="G1738" s="501"/>
    </row>
    <row r="1739" spans="2:7" x14ac:dyDescent="0.25">
      <c r="B1739" s="501"/>
      <c r="C1739" s="501"/>
      <c r="D1739" s="501"/>
      <c r="E1739" s="501"/>
      <c r="F1739" s="501"/>
      <c r="G1739" s="501"/>
    </row>
    <row r="1740" spans="2:7" x14ac:dyDescent="0.25">
      <c r="B1740" s="501"/>
      <c r="C1740" s="501"/>
      <c r="D1740" s="501"/>
      <c r="E1740" s="501"/>
      <c r="F1740" s="501"/>
      <c r="G1740" s="501"/>
    </row>
    <row r="1741" spans="2:7" x14ac:dyDescent="0.25">
      <c r="B1741" s="501"/>
      <c r="C1741" s="501"/>
      <c r="D1741" s="501"/>
      <c r="E1741" s="501"/>
      <c r="F1741" s="501"/>
      <c r="G1741" s="501"/>
    </row>
    <row r="1742" spans="2:7" x14ac:dyDescent="0.25">
      <c r="B1742" s="501"/>
      <c r="C1742" s="501"/>
      <c r="D1742" s="501"/>
      <c r="E1742" s="501"/>
      <c r="F1742" s="501"/>
      <c r="G1742" s="501"/>
    </row>
    <row r="1743" spans="2:7" x14ac:dyDescent="0.25">
      <c r="B1743" s="501"/>
      <c r="C1743" s="501"/>
      <c r="D1743" s="501"/>
      <c r="E1743" s="501"/>
      <c r="F1743" s="501"/>
      <c r="G1743" s="501"/>
    </row>
    <row r="1744" spans="2:7" x14ac:dyDescent="0.25">
      <c r="B1744" s="501"/>
      <c r="C1744" s="501"/>
      <c r="D1744" s="501"/>
      <c r="E1744" s="501"/>
      <c r="F1744" s="501"/>
      <c r="G1744" s="501"/>
    </row>
    <row r="1745" spans="2:7" x14ac:dyDescent="0.25">
      <c r="B1745" s="501"/>
      <c r="C1745" s="501"/>
      <c r="D1745" s="501"/>
      <c r="E1745" s="501"/>
      <c r="F1745" s="501"/>
      <c r="G1745" s="501"/>
    </row>
    <row r="1746" spans="2:7" x14ac:dyDescent="0.25">
      <c r="B1746" s="501"/>
      <c r="C1746" s="501"/>
      <c r="D1746" s="501"/>
      <c r="E1746" s="501"/>
      <c r="F1746" s="501"/>
      <c r="G1746" s="501"/>
    </row>
    <row r="1747" spans="2:7" x14ac:dyDescent="0.25">
      <c r="B1747" s="501"/>
      <c r="C1747" s="501"/>
      <c r="D1747" s="501"/>
      <c r="E1747" s="501"/>
      <c r="F1747" s="501"/>
      <c r="G1747" s="501"/>
    </row>
    <row r="1748" spans="2:7" x14ac:dyDescent="0.25">
      <c r="B1748" s="501"/>
      <c r="C1748" s="501"/>
      <c r="D1748" s="501"/>
      <c r="E1748" s="501"/>
      <c r="F1748" s="501"/>
      <c r="G1748" s="501"/>
    </row>
    <row r="1749" spans="2:7" x14ac:dyDescent="0.25">
      <c r="B1749" s="501"/>
      <c r="C1749" s="501"/>
      <c r="D1749" s="501"/>
      <c r="E1749" s="501"/>
      <c r="F1749" s="501"/>
      <c r="G1749" s="501"/>
    </row>
    <row r="1750" spans="2:7" x14ac:dyDescent="0.25">
      <c r="B1750" s="501"/>
      <c r="C1750" s="501"/>
      <c r="D1750" s="501"/>
      <c r="E1750" s="501"/>
      <c r="F1750" s="501"/>
      <c r="G1750" s="501"/>
    </row>
    <row r="1751" spans="2:7" x14ac:dyDescent="0.25">
      <c r="B1751" s="501"/>
      <c r="C1751" s="501"/>
      <c r="D1751" s="501"/>
      <c r="E1751" s="501"/>
      <c r="F1751" s="501"/>
      <c r="G1751" s="501"/>
    </row>
    <row r="1752" spans="2:7" x14ac:dyDescent="0.25">
      <c r="B1752" s="501"/>
      <c r="C1752" s="501"/>
      <c r="D1752" s="501"/>
      <c r="E1752" s="501"/>
      <c r="F1752" s="501"/>
      <c r="G1752" s="501"/>
    </row>
    <row r="1753" spans="2:7" x14ac:dyDescent="0.25">
      <c r="B1753" s="501"/>
      <c r="C1753" s="501"/>
      <c r="D1753" s="501"/>
      <c r="E1753" s="501"/>
      <c r="F1753" s="501"/>
      <c r="G1753" s="501"/>
    </row>
    <row r="1754" spans="2:7" x14ac:dyDescent="0.25">
      <c r="B1754" s="501"/>
      <c r="C1754" s="501"/>
      <c r="D1754" s="501"/>
      <c r="E1754" s="501"/>
      <c r="F1754" s="501"/>
      <c r="G1754" s="501"/>
    </row>
    <row r="1755" spans="2:7" x14ac:dyDescent="0.25">
      <c r="B1755" s="501"/>
      <c r="C1755" s="501"/>
      <c r="D1755" s="501"/>
      <c r="E1755" s="501"/>
      <c r="F1755" s="501"/>
      <c r="G1755" s="501"/>
    </row>
    <row r="1756" spans="2:7" x14ac:dyDescent="0.25">
      <c r="B1756" s="501"/>
      <c r="C1756" s="501"/>
      <c r="D1756" s="501"/>
      <c r="E1756" s="501"/>
      <c r="F1756" s="501"/>
      <c r="G1756" s="501"/>
    </row>
    <row r="1757" spans="2:7" x14ac:dyDescent="0.25">
      <c r="B1757" s="501"/>
      <c r="C1757" s="501"/>
      <c r="D1757" s="501"/>
      <c r="E1757" s="501"/>
      <c r="F1757" s="501"/>
      <c r="G1757" s="501"/>
    </row>
    <row r="1758" spans="2:7" x14ac:dyDescent="0.25">
      <c r="B1758" s="501"/>
      <c r="C1758" s="501"/>
      <c r="D1758" s="501"/>
      <c r="E1758" s="501"/>
      <c r="F1758" s="501"/>
      <c r="G1758" s="501"/>
    </row>
    <row r="1759" spans="2:7" x14ac:dyDescent="0.25">
      <c r="B1759" s="501"/>
      <c r="C1759" s="501"/>
      <c r="D1759" s="501"/>
      <c r="E1759" s="501"/>
      <c r="F1759" s="501"/>
      <c r="G1759" s="501"/>
    </row>
    <row r="1760" spans="2:7" x14ac:dyDescent="0.25">
      <c r="B1760" s="501"/>
      <c r="C1760" s="501"/>
      <c r="D1760" s="501"/>
      <c r="E1760" s="501"/>
      <c r="F1760" s="501"/>
      <c r="G1760" s="501"/>
    </row>
    <row r="1761" spans="2:7" x14ac:dyDescent="0.25">
      <c r="B1761" s="501"/>
      <c r="C1761" s="501"/>
      <c r="D1761" s="501"/>
      <c r="E1761" s="501"/>
      <c r="F1761" s="501"/>
      <c r="G1761" s="501"/>
    </row>
    <row r="1762" spans="2:7" x14ac:dyDescent="0.25">
      <c r="B1762" s="501"/>
      <c r="C1762" s="501"/>
      <c r="D1762" s="501"/>
      <c r="E1762" s="501"/>
      <c r="F1762" s="501"/>
      <c r="G1762" s="501"/>
    </row>
    <row r="1763" spans="2:7" x14ac:dyDescent="0.25">
      <c r="B1763" s="501"/>
      <c r="C1763" s="501"/>
      <c r="D1763" s="501"/>
      <c r="E1763" s="501"/>
      <c r="F1763" s="501"/>
      <c r="G1763" s="501"/>
    </row>
    <row r="1764" spans="2:7" x14ac:dyDescent="0.25">
      <c r="B1764" s="501"/>
      <c r="C1764" s="501"/>
      <c r="D1764" s="501"/>
      <c r="E1764" s="501"/>
      <c r="F1764" s="501"/>
      <c r="G1764" s="501"/>
    </row>
    <row r="1765" spans="2:7" x14ac:dyDescent="0.25">
      <c r="B1765" s="501"/>
      <c r="C1765" s="501"/>
      <c r="D1765" s="501"/>
      <c r="E1765" s="501"/>
      <c r="F1765" s="501"/>
      <c r="G1765" s="501"/>
    </row>
    <row r="1766" spans="2:7" x14ac:dyDescent="0.25">
      <c r="B1766" s="501"/>
      <c r="C1766" s="501"/>
      <c r="D1766" s="501"/>
      <c r="E1766" s="501"/>
      <c r="F1766" s="501"/>
      <c r="G1766" s="501"/>
    </row>
    <row r="1767" spans="2:7" x14ac:dyDescent="0.25">
      <c r="B1767" s="501"/>
      <c r="C1767" s="501"/>
      <c r="D1767" s="501"/>
      <c r="E1767" s="501"/>
      <c r="F1767" s="501"/>
      <c r="G1767" s="501"/>
    </row>
    <row r="1768" spans="2:7" x14ac:dyDescent="0.25">
      <c r="B1768" s="501"/>
      <c r="C1768" s="501"/>
      <c r="D1768" s="501"/>
      <c r="E1768" s="501"/>
      <c r="F1768" s="501"/>
      <c r="G1768" s="501"/>
    </row>
    <row r="1769" spans="2:7" x14ac:dyDescent="0.25">
      <c r="B1769" s="501"/>
      <c r="C1769" s="501"/>
      <c r="D1769" s="501"/>
      <c r="E1769" s="501"/>
      <c r="F1769" s="501"/>
      <c r="G1769" s="501"/>
    </row>
    <row r="1770" spans="2:7" x14ac:dyDescent="0.25">
      <c r="B1770" s="501"/>
      <c r="C1770" s="501"/>
      <c r="D1770" s="501"/>
      <c r="E1770" s="501"/>
      <c r="F1770" s="501"/>
      <c r="G1770" s="501"/>
    </row>
    <row r="1771" spans="2:7" x14ac:dyDescent="0.25">
      <c r="B1771" s="501"/>
      <c r="C1771" s="501"/>
      <c r="D1771" s="501"/>
      <c r="E1771" s="501"/>
      <c r="F1771" s="501"/>
      <c r="G1771" s="501"/>
    </row>
    <row r="1772" spans="2:7" x14ac:dyDescent="0.25">
      <c r="B1772" s="501"/>
      <c r="C1772" s="501"/>
      <c r="D1772" s="501"/>
      <c r="E1772" s="501"/>
      <c r="F1772" s="501"/>
      <c r="G1772" s="501"/>
    </row>
    <row r="1773" spans="2:7" x14ac:dyDescent="0.25">
      <c r="B1773" s="501"/>
      <c r="C1773" s="501"/>
      <c r="D1773" s="501"/>
      <c r="E1773" s="501"/>
      <c r="F1773" s="501"/>
      <c r="G1773" s="501"/>
    </row>
    <row r="1774" spans="2:7" x14ac:dyDescent="0.25">
      <c r="B1774" s="501"/>
      <c r="C1774" s="501"/>
      <c r="D1774" s="501"/>
      <c r="E1774" s="501"/>
      <c r="F1774" s="501"/>
      <c r="G1774" s="501"/>
    </row>
    <row r="1775" spans="2:7" x14ac:dyDescent="0.25">
      <c r="B1775" s="501"/>
      <c r="C1775" s="501"/>
      <c r="D1775" s="501"/>
      <c r="E1775" s="501"/>
      <c r="F1775" s="501"/>
      <c r="G1775" s="501"/>
    </row>
    <row r="1776" spans="2:7" x14ac:dyDescent="0.25">
      <c r="B1776" s="501"/>
      <c r="C1776" s="501"/>
      <c r="D1776" s="501"/>
      <c r="E1776" s="501"/>
      <c r="F1776" s="501"/>
      <c r="G1776" s="501"/>
    </row>
    <row r="1777" spans="2:7" x14ac:dyDescent="0.25">
      <c r="B1777" s="501"/>
      <c r="C1777" s="501"/>
      <c r="D1777" s="501"/>
      <c r="E1777" s="501"/>
      <c r="F1777" s="501"/>
      <c r="G1777" s="501"/>
    </row>
    <row r="1778" spans="2:7" x14ac:dyDescent="0.25">
      <c r="B1778" s="501"/>
      <c r="C1778" s="501"/>
      <c r="D1778" s="501"/>
      <c r="E1778" s="501"/>
      <c r="F1778" s="501"/>
      <c r="G1778" s="501"/>
    </row>
    <row r="1779" spans="2:7" x14ac:dyDescent="0.25">
      <c r="B1779" s="501"/>
      <c r="C1779" s="501"/>
      <c r="D1779" s="501"/>
      <c r="E1779" s="501"/>
      <c r="F1779" s="501"/>
      <c r="G1779" s="501"/>
    </row>
    <row r="1780" spans="2:7" x14ac:dyDescent="0.25">
      <c r="B1780" s="501"/>
      <c r="C1780" s="501"/>
      <c r="D1780" s="501"/>
      <c r="E1780" s="501"/>
      <c r="F1780" s="501"/>
      <c r="G1780" s="501"/>
    </row>
    <row r="1781" spans="2:7" x14ac:dyDescent="0.25">
      <c r="B1781" s="501"/>
      <c r="C1781" s="501"/>
      <c r="D1781" s="501"/>
      <c r="E1781" s="501"/>
      <c r="F1781" s="501"/>
      <c r="G1781" s="501"/>
    </row>
    <row r="1782" spans="2:7" x14ac:dyDescent="0.25">
      <c r="B1782" s="501"/>
      <c r="C1782" s="501"/>
      <c r="D1782" s="501"/>
      <c r="E1782" s="501"/>
      <c r="F1782" s="501"/>
      <c r="G1782" s="501"/>
    </row>
    <row r="1783" spans="2:7" x14ac:dyDescent="0.25">
      <c r="B1783" s="501"/>
      <c r="C1783" s="501"/>
      <c r="D1783" s="501"/>
      <c r="E1783" s="501"/>
      <c r="F1783" s="501"/>
      <c r="G1783" s="501"/>
    </row>
    <row r="1784" spans="2:7" x14ac:dyDescent="0.25">
      <c r="B1784" s="501"/>
      <c r="C1784" s="501"/>
      <c r="D1784" s="501"/>
      <c r="E1784" s="501"/>
      <c r="F1784" s="501"/>
      <c r="G1784" s="501"/>
    </row>
    <row r="1785" spans="2:7" x14ac:dyDescent="0.25">
      <c r="B1785" s="501"/>
      <c r="C1785" s="501"/>
      <c r="D1785" s="501"/>
      <c r="E1785" s="501"/>
      <c r="F1785" s="501"/>
      <c r="G1785" s="501"/>
    </row>
    <row r="1786" spans="2:7" x14ac:dyDescent="0.25">
      <c r="B1786" s="501"/>
      <c r="C1786" s="501"/>
      <c r="D1786" s="501"/>
      <c r="E1786" s="501"/>
      <c r="F1786" s="501"/>
      <c r="G1786" s="501"/>
    </row>
    <row r="1787" spans="2:7" x14ac:dyDescent="0.25">
      <c r="B1787" s="501"/>
      <c r="C1787" s="501"/>
      <c r="D1787" s="501"/>
      <c r="E1787" s="501"/>
      <c r="F1787" s="501"/>
      <c r="G1787" s="501"/>
    </row>
    <row r="1788" spans="2:7" x14ac:dyDescent="0.25">
      <c r="B1788" s="501"/>
      <c r="C1788" s="501"/>
      <c r="D1788" s="501"/>
      <c r="E1788" s="501"/>
      <c r="F1788" s="501"/>
      <c r="G1788" s="501"/>
    </row>
    <row r="1789" spans="2:7" x14ac:dyDescent="0.25">
      <c r="B1789" s="501"/>
      <c r="C1789" s="501"/>
      <c r="D1789" s="501"/>
      <c r="E1789" s="501"/>
      <c r="F1789" s="501"/>
      <c r="G1789" s="501"/>
    </row>
    <row r="1790" spans="2:7" x14ac:dyDescent="0.25">
      <c r="B1790" s="501"/>
      <c r="C1790" s="501"/>
      <c r="D1790" s="501"/>
      <c r="E1790" s="501"/>
      <c r="F1790" s="501"/>
      <c r="G1790" s="501"/>
    </row>
    <row r="1791" spans="2:7" x14ac:dyDescent="0.25">
      <c r="B1791" s="501"/>
      <c r="C1791" s="501"/>
      <c r="D1791" s="501"/>
      <c r="E1791" s="501"/>
      <c r="F1791" s="501"/>
      <c r="G1791" s="501"/>
    </row>
    <row r="1792" spans="2:7" x14ac:dyDescent="0.25">
      <c r="B1792" s="501"/>
      <c r="C1792" s="501"/>
      <c r="D1792" s="501"/>
      <c r="E1792" s="501"/>
      <c r="F1792" s="501"/>
      <c r="G1792" s="501"/>
    </row>
    <row r="1793" spans="2:7" x14ac:dyDescent="0.25">
      <c r="B1793" s="501"/>
      <c r="C1793" s="501"/>
      <c r="D1793" s="501"/>
      <c r="E1793" s="501"/>
      <c r="F1793" s="501"/>
      <c r="G1793" s="501"/>
    </row>
    <row r="1794" spans="2:7" x14ac:dyDescent="0.25">
      <c r="B1794" s="501"/>
      <c r="C1794" s="501"/>
      <c r="D1794" s="501"/>
      <c r="E1794" s="501"/>
      <c r="F1794" s="501"/>
      <c r="G1794" s="501"/>
    </row>
    <row r="1795" spans="2:7" x14ac:dyDescent="0.25">
      <c r="B1795" s="501"/>
      <c r="C1795" s="501"/>
      <c r="D1795" s="501"/>
      <c r="E1795" s="501"/>
      <c r="F1795" s="501"/>
      <c r="G1795" s="501"/>
    </row>
    <row r="1796" spans="2:7" x14ac:dyDescent="0.25">
      <c r="B1796" s="501"/>
      <c r="C1796" s="501"/>
      <c r="D1796" s="501"/>
      <c r="E1796" s="501"/>
      <c r="F1796" s="501"/>
      <c r="G1796" s="501"/>
    </row>
    <row r="1797" spans="2:7" x14ac:dyDescent="0.25">
      <c r="B1797" s="501"/>
      <c r="C1797" s="501"/>
      <c r="D1797" s="501"/>
      <c r="E1797" s="501"/>
      <c r="F1797" s="501"/>
      <c r="G1797" s="501"/>
    </row>
    <row r="1798" spans="2:7" x14ac:dyDescent="0.25">
      <c r="B1798" s="501"/>
      <c r="C1798" s="501"/>
      <c r="D1798" s="501"/>
      <c r="E1798" s="501"/>
      <c r="F1798" s="501"/>
      <c r="G1798" s="501"/>
    </row>
    <row r="1799" spans="2:7" x14ac:dyDescent="0.25">
      <c r="B1799" s="501"/>
      <c r="C1799" s="501"/>
      <c r="D1799" s="501"/>
      <c r="E1799" s="501"/>
      <c r="F1799" s="501"/>
      <c r="G1799" s="501"/>
    </row>
    <row r="1800" spans="2:7" x14ac:dyDescent="0.25">
      <c r="B1800" s="501"/>
      <c r="C1800" s="501"/>
      <c r="D1800" s="501"/>
      <c r="E1800" s="501"/>
      <c r="F1800" s="501"/>
      <c r="G1800" s="501"/>
    </row>
    <row r="1801" spans="2:7" x14ac:dyDescent="0.25">
      <c r="B1801" s="501"/>
      <c r="C1801" s="501"/>
      <c r="D1801" s="501"/>
      <c r="E1801" s="501"/>
      <c r="F1801" s="501"/>
      <c r="G1801" s="501"/>
    </row>
    <row r="1802" spans="2:7" x14ac:dyDescent="0.25">
      <c r="B1802" s="501"/>
      <c r="C1802" s="501"/>
      <c r="D1802" s="501"/>
      <c r="E1802" s="501"/>
      <c r="F1802" s="501"/>
      <c r="G1802" s="501"/>
    </row>
    <row r="1803" spans="2:7" x14ac:dyDescent="0.25">
      <c r="B1803" s="501"/>
      <c r="C1803" s="501"/>
      <c r="D1803" s="501"/>
      <c r="E1803" s="501"/>
      <c r="F1803" s="501"/>
      <c r="G1803" s="501"/>
    </row>
    <row r="1804" spans="2:7" x14ac:dyDescent="0.25">
      <c r="B1804" s="501"/>
      <c r="C1804" s="501"/>
      <c r="D1804" s="501"/>
      <c r="E1804" s="501"/>
      <c r="F1804" s="501"/>
      <c r="G1804" s="501"/>
    </row>
    <row r="1805" spans="2:7" x14ac:dyDescent="0.25">
      <c r="B1805" s="501"/>
      <c r="C1805" s="501"/>
      <c r="D1805" s="501"/>
      <c r="E1805" s="501"/>
      <c r="F1805" s="501"/>
      <c r="G1805" s="501"/>
    </row>
    <row r="1806" spans="2:7" x14ac:dyDescent="0.25">
      <c r="B1806" s="501"/>
      <c r="C1806" s="501"/>
      <c r="D1806" s="501"/>
      <c r="E1806" s="501"/>
      <c r="F1806" s="501"/>
      <c r="G1806" s="501"/>
    </row>
    <row r="1807" spans="2:7" x14ac:dyDescent="0.25">
      <c r="B1807" s="501"/>
      <c r="C1807" s="501"/>
      <c r="D1807" s="501"/>
      <c r="E1807" s="501"/>
      <c r="F1807" s="501"/>
      <c r="G1807" s="501"/>
    </row>
    <row r="1808" spans="2:7" x14ac:dyDescent="0.25">
      <c r="B1808" s="501"/>
      <c r="C1808" s="501"/>
      <c r="D1808" s="501"/>
      <c r="E1808" s="501"/>
      <c r="F1808" s="501"/>
      <c r="G1808" s="501"/>
    </row>
    <row r="1809" spans="2:7" x14ac:dyDescent="0.25">
      <c r="B1809" s="501"/>
      <c r="C1809" s="501"/>
      <c r="D1809" s="501"/>
      <c r="E1809" s="501"/>
      <c r="F1809" s="501"/>
      <c r="G1809" s="501"/>
    </row>
    <row r="1810" spans="2:7" x14ac:dyDescent="0.25">
      <c r="B1810" s="501"/>
      <c r="C1810" s="501"/>
      <c r="D1810" s="501"/>
      <c r="E1810" s="501"/>
      <c r="F1810" s="501"/>
      <c r="G1810" s="501"/>
    </row>
    <row r="1811" spans="2:7" x14ac:dyDescent="0.25">
      <c r="B1811" s="501"/>
      <c r="C1811" s="501"/>
      <c r="D1811" s="501"/>
      <c r="E1811" s="501"/>
      <c r="F1811" s="501"/>
      <c r="G1811" s="501"/>
    </row>
    <row r="1812" spans="2:7" x14ac:dyDescent="0.25">
      <c r="B1812" s="501"/>
      <c r="C1812" s="501"/>
      <c r="D1812" s="501"/>
      <c r="E1812" s="501"/>
      <c r="F1812" s="501"/>
      <c r="G1812" s="501"/>
    </row>
    <row r="1813" spans="2:7" x14ac:dyDescent="0.25">
      <c r="B1813" s="501"/>
      <c r="C1813" s="501"/>
      <c r="D1813" s="501"/>
      <c r="E1813" s="501"/>
      <c r="F1813" s="501"/>
      <c r="G1813" s="501"/>
    </row>
    <row r="1814" spans="2:7" x14ac:dyDescent="0.25">
      <c r="B1814" s="501"/>
      <c r="C1814" s="501"/>
      <c r="D1814" s="501"/>
      <c r="E1814" s="501"/>
      <c r="F1814" s="501"/>
      <c r="G1814" s="501"/>
    </row>
    <row r="1815" spans="2:7" x14ac:dyDescent="0.25">
      <c r="B1815" s="501"/>
      <c r="C1815" s="501"/>
      <c r="D1815" s="501"/>
      <c r="E1815" s="501"/>
      <c r="F1815" s="501"/>
      <c r="G1815" s="501"/>
    </row>
    <row r="1816" spans="2:7" x14ac:dyDescent="0.25">
      <c r="B1816" s="501"/>
      <c r="C1816" s="501"/>
      <c r="D1816" s="501"/>
      <c r="E1816" s="501"/>
      <c r="F1816" s="501"/>
      <c r="G1816" s="501"/>
    </row>
    <row r="1817" spans="2:7" x14ac:dyDescent="0.25">
      <c r="B1817" s="501"/>
      <c r="C1817" s="501"/>
      <c r="D1817" s="501"/>
      <c r="E1817" s="501"/>
      <c r="F1817" s="501"/>
      <c r="G1817" s="501"/>
    </row>
    <row r="1818" spans="2:7" x14ac:dyDescent="0.25">
      <c r="B1818" s="501"/>
      <c r="C1818" s="501"/>
      <c r="D1818" s="501"/>
      <c r="E1818" s="501"/>
      <c r="F1818" s="501"/>
      <c r="G1818" s="501"/>
    </row>
    <row r="1819" spans="2:7" x14ac:dyDescent="0.25">
      <c r="B1819" s="501"/>
      <c r="C1819" s="501"/>
      <c r="D1819" s="501"/>
      <c r="E1819" s="501"/>
      <c r="F1819" s="501"/>
      <c r="G1819" s="501"/>
    </row>
    <row r="1820" spans="2:7" x14ac:dyDescent="0.25">
      <c r="B1820" s="501"/>
      <c r="C1820" s="501"/>
      <c r="D1820" s="501"/>
      <c r="E1820" s="501"/>
      <c r="F1820" s="501"/>
      <c r="G1820" s="501"/>
    </row>
    <row r="1821" spans="2:7" x14ac:dyDescent="0.25">
      <c r="B1821" s="501"/>
      <c r="C1821" s="501"/>
      <c r="D1821" s="501"/>
      <c r="E1821" s="501"/>
      <c r="F1821" s="501"/>
      <c r="G1821" s="501"/>
    </row>
    <row r="1822" spans="2:7" x14ac:dyDescent="0.25">
      <c r="B1822" s="501"/>
      <c r="C1822" s="501"/>
      <c r="D1822" s="501"/>
      <c r="E1822" s="501"/>
      <c r="F1822" s="501"/>
      <c r="G1822" s="501"/>
    </row>
    <row r="1823" spans="2:7" x14ac:dyDescent="0.25">
      <c r="B1823" s="501"/>
      <c r="C1823" s="501"/>
      <c r="D1823" s="501"/>
      <c r="E1823" s="501"/>
      <c r="F1823" s="501"/>
      <c r="G1823" s="501"/>
    </row>
    <row r="1824" spans="2:7" x14ac:dyDescent="0.25">
      <c r="B1824" s="501"/>
      <c r="C1824" s="501"/>
      <c r="D1824" s="501"/>
      <c r="E1824" s="501"/>
      <c r="F1824" s="501"/>
      <c r="G1824" s="501"/>
    </row>
    <row r="1825" spans="2:7" x14ac:dyDescent="0.25">
      <c r="B1825" s="501"/>
      <c r="C1825" s="501"/>
      <c r="D1825" s="501"/>
      <c r="E1825" s="501"/>
      <c r="F1825" s="501"/>
      <c r="G1825" s="501"/>
    </row>
    <row r="1826" spans="2:7" x14ac:dyDescent="0.25">
      <c r="B1826" s="501"/>
      <c r="C1826" s="501"/>
      <c r="D1826" s="501"/>
      <c r="E1826" s="501"/>
      <c r="F1826" s="501"/>
      <c r="G1826" s="501"/>
    </row>
    <row r="1827" spans="2:7" x14ac:dyDescent="0.25">
      <c r="B1827" s="501"/>
      <c r="C1827" s="501"/>
      <c r="D1827" s="501"/>
      <c r="E1827" s="501"/>
      <c r="F1827" s="501"/>
      <c r="G1827" s="501"/>
    </row>
    <row r="1828" spans="2:7" x14ac:dyDescent="0.25">
      <c r="B1828" s="501"/>
      <c r="C1828" s="501"/>
      <c r="D1828" s="501"/>
      <c r="E1828" s="501"/>
      <c r="F1828" s="501"/>
      <c r="G1828" s="501"/>
    </row>
    <row r="1829" spans="2:7" x14ac:dyDescent="0.25">
      <c r="B1829" s="501"/>
      <c r="C1829" s="501"/>
      <c r="D1829" s="501"/>
      <c r="E1829" s="501"/>
      <c r="F1829" s="501"/>
      <c r="G1829" s="501"/>
    </row>
    <row r="1830" spans="2:7" x14ac:dyDescent="0.25">
      <c r="B1830" s="501"/>
      <c r="C1830" s="501"/>
      <c r="D1830" s="501"/>
      <c r="E1830" s="501"/>
      <c r="F1830" s="501"/>
      <c r="G1830" s="501"/>
    </row>
    <row r="1831" spans="2:7" x14ac:dyDescent="0.25">
      <c r="B1831" s="501"/>
      <c r="C1831" s="501"/>
      <c r="D1831" s="501"/>
      <c r="E1831" s="501"/>
      <c r="F1831" s="501"/>
      <c r="G1831" s="501"/>
    </row>
    <row r="1832" spans="2:7" x14ac:dyDescent="0.25">
      <c r="B1832" s="501"/>
      <c r="C1832" s="501"/>
      <c r="D1832" s="501"/>
      <c r="E1832" s="501"/>
      <c r="F1832" s="501"/>
      <c r="G1832" s="501"/>
    </row>
    <row r="1833" spans="2:7" x14ac:dyDescent="0.25">
      <c r="B1833" s="501"/>
      <c r="C1833" s="501"/>
      <c r="D1833" s="501"/>
      <c r="E1833" s="501"/>
      <c r="F1833" s="501"/>
      <c r="G1833" s="501"/>
    </row>
    <row r="1834" spans="2:7" x14ac:dyDescent="0.25">
      <c r="B1834" s="501"/>
      <c r="C1834" s="501"/>
      <c r="D1834" s="501"/>
      <c r="E1834" s="501"/>
      <c r="F1834" s="501"/>
      <c r="G1834" s="501"/>
    </row>
    <row r="1835" spans="2:7" x14ac:dyDescent="0.25">
      <c r="B1835" s="501"/>
      <c r="C1835" s="501"/>
      <c r="D1835" s="501"/>
      <c r="E1835" s="501"/>
      <c r="F1835" s="501"/>
      <c r="G1835" s="501"/>
    </row>
    <row r="1836" spans="2:7" x14ac:dyDescent="0.25">
      <c r="B1836" s="501"/>
      <c r="C1836" s="501"/>
      <c r="D1836" s="501"/>
      <c r="E1836" s="501"/>
      <c r="F1836" s="501"/>
      <c r="G1836" s="501"/>
    </row>
    <row r="1837" spans="2:7" x14ac:dyDescent="0.25">
      <c r="B1837" s="501"/>
      <c r="C1837" s="501"/>
      <c r="D1837" s="501"/>
      <c r="E1837" s="501"/>
      <c r="F1837" s="501"/>
      <c r="G1837" s="501"/>
    </row>
    <row r="1838" spans="2:7" x14ac:dyDescent="0.25">
      <c r="B1838" s="501"/>
      <c r="C1838" s="501"/>
      <c r="D1838" s="501"/>
      <c r="E1838" s="501"/>
      <c r="F1838" s="501"/>
      <c r="G1838" s="501"/>
    </row>
    <row r="1839" spans="2:7" x14ac:dyDescent="0.25">
      <c r="B1839" s="501"/>
      <c r="C1839" s="501"/>
      <c r="D1839" s="501"/>
      <c r="E1839" s="501"/>
      <c r="F1839" s="501"/>
      <c r="G1839" s="501"/>
    </row>
    <row r="1840" spans="2:7" x14ac:dyDescent="0.25">
      <c r="B1840" s="501"/>
      <c r="C1840" s="501"/>
      <c r="D1840" s="501"/>
      <c r="E1840" s="501"/>
      <c r="F1840" s="501"/>
      <c r="G1840" s="501"/>
    </row>
    <row r="1841" spans="2:7" x14ac:dyDescent="0.25">
      <c r="B1841" s="501"/>
      <c r="C1841" s="501"/>
      <c r="D1841" s="501"/>
      <c r="E1841" s="501"/>
      <c r="F1841" s="501"/>
      <c r="G1841" s="501"/>
    </row>
    <row r="1842" spans="2:7" x14ac:dyDescent="0.25">
      <c r="B1842" s="501"/>
      <c r="C1842" s="501"/>
      <c r="D1842" s="501"/>
      <c r="E1842" s="501"/>
      <c r="F1842" s="501"/>
      <c r="G1842" s="501"/>
    </row>
    <row r="1843" spans="2:7" x14ac:dyDescent="0.25">
      <c r="B1843" s="501"/>
      <c r="C1843" s="501"/>
      <c r="D1843" s="501"/>
      <c r="E1843" s="501"/>
      <c r="F1843" s="501"/>
      <c r="G1843" s="501"/>
    </row>
    <row r="1844" spans="2:7" x14ac:dyDescent="0.25">
      <c r="B1844" s="501"/>
      <c r="C1844" s="501"/>
      <c r="D1844" s="501"/>
      <c r="E1844" s="501"/>
      <c r="F1844" s="501"/>
      <c r="G1844" s="501"/>
    </row>
    <row r="1845" spans="2:7" x14ac:dyDescent="0.25">
      <c r="B1845" s="501"/>
      <c r="C1845" s="501"/>
      <c r="D1845" s="501"/>
      <c r="E1845" s="501"/>
      <c r="F1845" s="501"/>
      <c r="G1845" s="501"/>
    </row>
    <row r="1846" spans="2:7" x14ac:dyDescent="0.25">
      <c r="B1846" s="501"/>
      <c r="C1846" s="501"/>
      <c r="D1846" s="501"/>
      <c r="E1846" s="501"/>
      <c r="F1846" s="501"/>
      <c r="G1846" s="501"/>
    </row>
    <row r="1847" spans="2:7" x14ac:dyDescent="0.25">
      <c r="B1847" s="501"/>
      <c r="C1847" s="501"/>
      <c r="D1847" s="501"/>
      <c r="E1847" s="501"/>
      <c r="F1847" s="501"/>
      <c r="G1847" s="501"/>
    </row>
    <row r="1848" spans="2:7" x14ac:dyDescent="0.25">
      <c r="B1848" s="501"/>
      <c r="C1848" s="501"/>
      <c r="D1848" s="501"/>
      <c r="E1848" s="501"/>
      <c r="F1848" s="501"/>
      <c r="G1848" s="501"/>
    </row>
    <row r="1849" spans="2:7" x14ac:dyDescent="0.25">
      <c r="B1849" s="501"/>
      <c r="C1849" s="501"/>
      <c r="D1849" s="501"/>
      <c r="E1849" s="501"/>
      <c r="F1849" s="501"/>
      <c r="G1849" s="501"/>
    </row>
    <row r="1850" spans="2:7" x14ac:dyDescent="0.25">
      <c r="B1850" s="501"/>
      <c r="C1850" s="501"/>
      <c r="D1850" s="501"/>
      <c r="E1850" s="501"/>
      <c r="F1850" s="501"/>
      <c r="G1850" s="501"/>
    </row>
    <row r="1851" spans="2:7" x14ac:dyDescent="0.25">
      <c r="B1851" s="501"/>
      <c r="C1851" s="501"/>
      <c r="D1851" s="501"/>
      <c r="E1851" s="501"/>
      <c r="F1851" s="501"/>
      <c r="G1851" s="501"/>
    </row>
    <row r="1852" spans="2:7" x14ac:dyDescent="0.25">
      <c r="B1852" s="501"/>
      <c r="C1852" s="501"/>
      <c r="D1852" s="501"/>
      <c r="E1852" s="501"/>
      <c r="F1852" s="501"/>
      <c r="G1852" s="501"/>
    </row>
    <row r="1853" spans="2:7" x14ac:dyDescent="0.25">
      <c r="B1853" s="501"/>
      <c r="C1853" s="501"/>
      <c r="D1853" s="501"/>
      <c r="E1853" s="501"/>
      <c r="F1853" s="501"/>
      <c r="G1853" s="501"/>
    </row>
    <row r="1854" spans="2:7" x14ac:dyDescent="0.25">
      <c r="B1854" s="501"/>
      <c r="C1854" s="501"/>
      <c r="D1854" s="501"/>
      <c r="E1854" s="501"/>
      <c r="F1854" s="501"/>
      <c r="G1854" s="501"/>
    </row>
    <row r="1855" spans="2:7" x14ac:dyDescent="0.25">
      <c r="B1855" s="501"/>
      <c r="C1855" s="501"/>
      <c r="D1855" s="501"/>
      <c r="E1855" s="501"/>
      <c r="F1855" s="501"/>
      <c r="G1855" s="501"/>
    </row>
    <row r="1856" spans="2:7" x14ac:dyDescent="0.25">
      <c r="B1856" s="501"/>
      <c r="C1856" s="501"/>
      <c r="D1856" s="501"/>
      <c r="E1856" s="501"/>
      <c r="F1856" s="501"/>
      <c r="G1856" s="501"/>
    </row>
    <row r="1857" spans="2:7" x14ac:dyDescent="0.25">
      <c r="B1857" s="501"/>
      <c r="C1857" s="501"/>
      <c r="D1857" s="501"/>
      <c r="E1857" s="501"/>
      <c r="F1857" s="501"/>
      <c r="G1857" s="501"/>
    </row>
    <row r="1858" spans="2:7" x14ac:dyDescent="0.25">
      <c r="B1858" s="501"/>
      <c r="C1858" s="501"/>
      <c r="D1858" s="501"/>
      <c r="E1858" s="501"/>
      <c r="F1858" s="501"/>
      <c r="G1858" s="501"/>
    </row>
    <row r="1859" spans="2:7" x14ac:dyDescent="0.25">
      <c r="B1859" s="501"/>
      <c r="C1859" s="501"/>
      <c r="D1859" s="501"/>
      <c r="E1859" s="501"/>
      <c r="F1859" s="501"/>
      <c r="G1859" s="501"/>
    </row>
    <row r="1860" spans="2:7" x14ac:dyDescent="0.25">
      <c r="B1860" s="501"/>
      <c r="C1860" s="501"/>
      <c r="D1860" s="501"/>
      <c r="E1860" s="501"/>
      <c r="F1860" s="501"/>
      <c r="G1860" s="501"/>
    </row>
    <row r="1861" spans="2:7" x14ac:dyDescent="0.25">
      <c r="B1861" s="501"/>
      <c r="C1861" s="501"/>
      <c r="D1861" s="501"/>
      <c r="E1861" s="501"/>
      <c r="F1861" s="501"/>
      <c r="G1861" s="501"/>
    </row>
    <row r="1862" spans="2:7" x14ac:dyDescent="0.25">
      <c r="B1862" s="501"/>
      <c r="C1862" s="501"/>
      <c r="D1862" s="501"/>
      <c r="E1862" s="501"/>
      <c r="F1862" s="501"/>
      <c r="G1862" s="501"/>
    </row>
    <row r="1863" spans="2:7" x14ac:dyDescent="0.25">
      <c r="B1863" s="501"/>
      <c r="C1863" s="501"/>
      <c r="D1863" s="501"/>
      <c r="E1863" s="501"/>
      <c r="F1863" s="501"/>
      <c r="G1863" s="501"/>
    </row>
    <row r="1864" spans="2:7" x14ac:dyDescent="0.25">
      <c r="B1864" s="501"/>
      <c r="C1864" s="501"/>
      <c r="D1864" s="501"/>
      <c r="E1864" s="501"/>
      <c r="F1864" s="501"/>
      <c r="G1864" s="501"/>
    </row>
    <row r="1865" spans="2:7" x14ac:dyDescent="0.25">
      <c r="B1865" s="501"/>
      <c r="C1865" s="501"/>
      <c r="D1865" s="501"/>
      <c r="E1865" s="501"/>
      <c r="F1865" s="501"/>
      <c r="G1865" s="501"/>
    </row>
    <row r="1866" spans="2:7" x14ac:dyDescent="0.25">
      <c r="B1866" s="501"/>
      <c r="C1866" s="501"/>
      <c r="D1866" s="501"/>
      <c r="E1866" s="501"/>
      <c r="F1866" s="501"/>
      <c r="G1866" s="501"/>
    </row>
    <row r="1867" spans="2:7" x14ac:dyDescent="0.25">
      <c r="B1867" s="501"/>
      <c r="C1867" s="501"/>
      <c r="D1867" s="501"/>
      <c r="E1867" s="501"/>
      <c r="F1867" s="501"/>
      <c r="G1867" s="501"/>
    </row>
    <row r="1868" spans="2:7" x14ac:dyDescent="0.25">
      <c r="B1868" s="501"/>
      <c r="C1868" s="501"/>
      <c r="D1868" s="501"/>
      <c r="E1868" s="501"/>
      <c r="F1868" s="501"/>
      <c r="G1868" s="501"/>
    </row>
    <row r="1869" spans="2:7" x14ac:dyDescent="0.25">
      <c r="B1869" s="501"/>
      <c r="C1869" s="501"/>
      <c r="D1869" s="501"/>
      <c r="E1869" s="501"/>
      <c r="F1869" s="501"/>
      <c r="G1869" s="501"/>
    </row>
    <row r="1870" spans="2:7" x14ac:dyDescent="0.25">
      <c r="B1870" s="501"/>
      <c r="C1870" s="501"/>
      <c r="D1870" s="501"/>
      <c r="E1870" s="501"/>
      <c r="F1870" s="501"/>
      <c r="G1870" s="501"/>
    </row>
    <row r="1871" spans="2:7" x14ac:dyDescent="0.25">
      <c r="B1871" s="501"/>
      <c r="C1871" s="501"/>
      <c r="D1871" s="501"/>
      <c r="E1871" s="501"/>
      <c r="F1871" s="501"/>
      <c r="G1871" s="501"/>
    </row>
    <row r="1872" spans="2:7" x14ac:dyDescent="0.25">
      <c r="B1872" s="501"/>
      <c r="C1872" s="501"/>
      <c r="D1872" s="501"/>
      <c r="E1872" s="501"/>
      <c r="F1872" s="501"/>
      <c r="G1872" s="501"/>
    </row>
    <row r="1873" spans="2:7" x14ac:dyDescent="0.25">
      <c r="B1873" s="501"/>
      <c r="C1873" s="501"/>
      <c r="D1873" s="501"/>
      <c r="E1873" s="501"/>
      <c r="F1873" s="501"/>
      <c r="G1873" s="501"/>
    </row>
    <row r="1874" spans="2:7" x14ac:dyDescent="0.25">
      <c r="B1874" s="501"/>
      <c r="C1874" s="501"/>
      <c r="D1874" s="501"/>
      <c r="E1874" s="501"/>
      <c r="F1874" s="501"/>
      <c r="G1874" s="501"/>
    </row>
    <row r="1875" spans="2:7" x14ac:dyDescent="0.25">
      <c r="B1875" s="501"/>
      <c r="C1875" s="501"/>
      <c r="D1875" s="501"/>
      <c r="E1875" s="501"/>
      <c r="F1875" s="501"/>
      <c r="G1875" s="501"/>
    </row>
    <row r="1876" spans="2:7" x14ac:dyDescent="0.25">
      <c r="B1876" s="501"/>
      <c r="C1876" s="501"/>
      <c r="D1876" s="501"/>
      <c r="E1876" s="501"/>
      <c r="F1876" s="501"/>
      <c r="G1876" s="501"/>
    </row>
    <row r="1877" spans="2:7" x14ac:dyDescent="0.25">
      <c r="B1877" s="501"/>
      <c r="C1877" s="501"/>
      <c r="D1877" s="501"/>
      <c r="E1877" s="501"/>
      <c r="F1877" s="501"/>
      <c r="G1877" s="501"/>
    </row>
    <row r="1878" spans="2:7" x14ac:dyDescent="0.25">
      <c r="B1878" s="501"/>
      <c r="C1878" s="501"/>
      <c r="D1878" s="501"/>
      <c r="E1878" s="501"/>
      <c r="F1878" s="501"/>
      <c r="G1878" s="501"/>
    </row>
    <row r="1879" spans="2:7" x14ac:dyDescent="0.25">
      <c r="B1879" s="501"/>
      <c r="C1879" s="501"/>
      <c r="D1879" s="501"/>
      <c r="E1879" s="501"/>
      <c r="F1879" s="501"/>
      <c r="G1879" s="501"/>
    </row>
    <row r="1880" spans="2:7" x14ac:dyDescent="0.25">
      <c r="B1880" s="501"/>
      <c r="C1880" s="501"/>
      <c r="D1880" s="501"/>
      <c r="E1880" s="501"/>
      <c r="F1880" s="501"/>
      <c r="G1880" s="501"/>
    </row>
    <row r="1881" spans="2:7" x14ac:dyDescent="0.25">
      <c r="B1881" s="501"/>
      <c r="C1881" s="501"/>
      <c r="D1881" s="501"/>
      <c r="E1881" s="501"/>
      <c r="F1881" s="501"/>
      <c r="G1881" s="501"/>
    </row>
    <row r="1882" spans="2:7" x14ac:dyDescent="0.25">
      <c r="B1882" s="501"/>
      <c r="C1882" s="501"/>
      <c r="D1882" s="501"/>
      <c r="E1882" s="501"/>
      <c r="F1882" s="501"/>
      <c r="G1882" s="501"/>
    </row>
    <row r="1883" spans="2:7" x14ac:dyDescent="0.25">
      <c r="B1883" s="501"/>
      <c r="C1883" s="501"/>
      <c r="D1883" s="501"/>
      <c r="E1883" s="501"/>
      <c r="F1883" s="501"/>
      <c r="G1883" s="501"/>
    </row>
    <row r="1884" spans="2:7" x14ac:dyDescent="0.25">
      <c r="B1884" s="501"/>
      <c r="C1884" s="501"/>
      <c r="D1884" s="501"/>
      <c r="E1884" s="501"/>
      <c r="F1884" s="501"/>
      <c r="G1884" s="501"/>
    </row>
    <row r="1885" spans="2:7" x14ac:dyDescent="0.25">
      <c r="B1885" s="501"/>
      <c r="C1885" s="501"/>
      <c r="D1885" s="501"/>
      <c r="E1885" s="501"/>
      <c r="F1885" s="501"/>
      <c r="G1885" s="501"/>
    </row>
    <row r="1886" spans="2:7" x14ac:dyDescent="0.25">
      <c r="B1886" s="501"/>
      <c r="C1886" s="501"/>
      <c r="D1886" s="501"/>
      <c r="E1886" s="501"/>
      <c r="F1886" s="501"/>
      <c r="G1886" s="501"/>
    </row>
    <row r="1887" spans="2:7" x14ac:dyDescent="0.25">
      <c r="B1887" s="501"/>
      <c r="C1887" s="501"/>
      <c r="D1887" s="501"/>
      <c r="E1887" s="501"/>
      <c r="F1887" s="501"/>
      <c r="G1887" s="501"/>
    </row>
    <row r="1888" spans="2:7" x14ac:dyDescent="0.25">
      <c r="B1888" s="501"/>
      <c r="C1888" s="501"/>
      <c r="D1888" s="501"/>
      <c r="E1888" s="501"/>
      <c r="F1888" s="501"/>
      <c r="G1888" s="501"/>
    </row>
    <row r="1889" spans="2:7" x14ac:dyDescent="0.25">
      <c r="B1889" s="501"/>
      <c r="C1889" s="501"/>
      <c r="D1889" s="501"/>
      <c r="E1889" s="501"/>
      <c r="F1889" s="501"/>
      <c r="G1889" s="501"/>
    </row>
    <row r="1890" spans="2:7" x14ac:dyDescent="0.25">
      <c r="B1890" s="501"/>
      <c r="C1890" s="501"/>
      <c r="D1890" s="501"/>
      <c r="E1890" s="501"/>
      <c r="F1890" s="501"/>
      <c r="G1890" s="501"/>
    </row>
    <row r="1891" spans="2:7" x14ac:dyDescent="0.25">
      <c r="B1891" s="501"/>
      <c r="C1891" s="501"/>
      <c r="D1891" s="501"/>
      <c r="E1891" s="501"/>
      <c r="F1891" s="501"/>
      <c r="G1891" s="501"/>
    </row>
    <row r="1892" spans="2:7" x14ac:dyDescent="0.25">
      <c r="B1892" s="501"/>
      <c r="C1892" s="501"/>
      <c r="D1892" s="501"/>
      <c r="E1892" s="501"/>
      <c r="F1892" s="501"/>
      <c r="G1892" s="501"/>
    </row>
    <row r="1893" spans="2:7" x14ac:dyDescent="0.25">
      <c r="B1893" s="501"/>
      <c r="C1893" s="501"/>
      <c r="D1893" s="501"/>
      <c r="E1893" s="501"/>
      <c r="F1893" s="501"/>
      <c r="G1893" s="501"/>
    </row>
    <row r="1894" spans="2:7" x14ac:dyDescent="0.25">
      <c r="B1894" s="501"/>
      <c r="C1894" s="501"/>
      <c r="D1894" s="501"/>
      <c r="E1894" s="501"/>
      <c r="F1894" s="501"/>
      <c r="G1894" s="501"/>
    </row>
    <row r="1895" spans="2:7" x14ac:dyDescent="0.25">
      <c r="B1895" s="501"/>
      <c r="C1895" s="501"/>
      <c r="D1895" s="501"/>
      <c r="E1895" s="501"/>
      <c r="F1895" s="501"/>
      <c r="G1895" s="501"/>
    </row>
    <row r="1896" spans="2:7" x14ac:dyDescent="0.25">
      <c r="B1896" s="501"/>
      <c r="C1896" s="501"/>
      <c r="D1896" s="501"/>
      <c r="E1896" s="501"/>
      <c r="F1896" s="501"/>
      <c r="G1896" s="501"/>
    </row>
    <row r="1897" spans="2:7" x14ac:dyDescent="0.25">
      <c r="B1897" s="501"/>
      <c r="C1897" s="501"/>
      <c r="D1897" s="501"/>
      <c r="E1897" s="501"/>
      <c r="F1897" s="501"/>
      <c r="G1897" s="501"/>
    </row>
    <row r="1898" spans="2:7" x14ac:dyDescent="0.25">
      <c r="B1898" s="501"/>
      <c r="C1898" s="501"/>
      <c r="D1898" s="501"/>
      <c r="E1898" s="501"/>
      <c r="F1898" s="501"/>
      <c r="G1898" s="501"/>
    </row>
    <row r="1899" spans="2:7" x14ac:dyDescent="0.25">
      <c r="B1899" s="501"/>
      <c r="C1899" s="501"/>
      <c r="D1899" s="501"/>
      <c r="E1899" s="501"/>
      <c r="F1899" s="501"/>
      <c r="G1899" s="501"/>
    </row>
    <row r="1900" spans="2:7" x14ac:dyDescent="0.25">
      <c r="B1900" s="501"/>
      <c r="C1900" s="501"/>
      <c r="D1900" s="501"/>
      <c r="E1900" s="501"/>
      <c r="F1900" s="501"/>
      <c r="G1900" s="501"/>
    </row>
    <row r="1901" spans="2:7" x14ac:dyDescent="0.25">
      <c r="B1901" s="501"/>
      <c r="C1901" s="501"/>
      <c r="D1901" s="501"/>
      <c r="E1901" s="501"/>
      <c r="F1901" s="501"/>
      <c r="G1901" s="501"/>
    </row>
    <row r="1902" spans="2:7" x14ac:dyDescent="0.25">
      <c r="B1902" s="501"/>
      <c r="C1902" s="501"/>
      <c r="D1902" s="501"/>
      <c r="E1902" s="501"/>
      <c r="F1902" s="501"/>
      <c r="G1902" s="501"/>
    </row>
    <row r="1903" spans="2:7" x14ac:dyDescent="0.25">
      <c r="B1903" s="501"/>
      <c r="C1903" s="501"/>
      <c r="D1903" s="501"/>
      <c r="E1903" s="501"/>
      <c r="F1903" s="501"/>
      <c r="G1903" s="501"/>
    </row>
    <row r="1904" spans="2:7" x14ac:dyDescent="0.25">
      <c r="B1904" s="501"/>
      <c r="C1904" s="501"/>
      <c r="D1904" s="501"/>
      <c r="E1904" s="501"/>
      <c r="F1904" s="501"/>
      <c r="G1904" s="501"/>
    </row>
    <row r="1905" spans="2:7" x14ac:dyDescent="0.25">
      <c r="B1905" s="501"/>
      <c r="C1905" s="501"/>
      <c r="D1905" s="501"/>
      <c r="E1905" s="501"/>
      <c r="F1905" s="501"/>
      <c r="G1905" s="501"/>
    </row>
    <row r="1906" spans="2:7" x14ac:dyDescent="0.25">
      <c r="B1906" s="501"/>
      <c r="C1906" s="501"/>
      <c r="D1906" s="501"/>
      <c r="E1906" s="501"/>
      <c r="F1906" s="501"/>
      <c r="G1906" s="501"/>
    </row>
    <row r="1907" spans="2:7" x14ac:dyDescent="0.25">
      <c r="B1907" s="501"/>
      <c r="C1907" s="501"/>
      <c r="D1907" s="501"/>
      <c r="E1907" s="501"/>
      <c r="F1907" s="501"/>
      <c r="G1907" s="501"/>
    </row>
    <row r="1908" spans="2:7" x14ac:dyDescent="0.25">
      <c r="B1908" s="501"/>
      <c r="C1908" s="501"/>
      <c r="D1908" s="501"/>
      <c r="E1908" s="501"/>
      <c r="F1908" s="501"/>
      <c r="G1908" s="501"/>
    </row>
    <row r="1909" spans="2:7" x14ac:dyDescent="0.25">
      <c r="B1909" s="501"/>
      <c r="C1909" s="501"/>
      <c r="D1909" s="501"/>
      <c r="E1909" s="501"/>
      <c r="F1909" s="501"/>
      <c r="G1909" s="501"/>
    </row>
    <row r="1910" spans="2:7" x14ac:dyDescent="0.25">
      <c r="B1910" s="501"/>
      <c r="C1910" s="501"/>
      <c r="D1910" s="501"/>
      <c r="E1910" s="501"/>
      <c r="F1910" s="501"/>
      <c r="G1910" s="501"/>
    </row>
    <row r="1911" spans="2:7" x14ac:dyDescent="0.25">
      <c r="B1911" s="501"/>
      <c r="C1911" s="501"/>
      <c r="D1911" s="501"/>
      <c r="E1911" s="501"/>
      <c r="F1911" s="501"/>
      <c r="G1911" s="501"/>
    </row>
    <row r="1912" spans="2:7" x14ac:dyDescent="0.25">
      <c r="B1912" s="501"/>
      <c r="C1912" s="501"/>
      <c r="D1912" s="501"/>
      <c r="E1912" s="501"/>
      <c r="F1912" s="501"/>
      <c r="G1912" s="501"/>
    </row>
    <row r="1913" spans="2:7" x14ac:dyDescent="0.25">
      <c r="B1913" s="501"/>
      <c r="C1913" s="501"/>
      <c r="D1913" s="501"/>
      <c r="E1913" s="501"/>
      <c r="F1913" s="501"/>
      <c r="G1913" s="501"/>
    </row>
    <row r="1914" spans="2:7" x14ac:dyDescent="0.25">
      <c r="B1914" s="501"/>
      <c r="C1914" s="501"/>
      <c r="D1914" s="501"/>
      <c r="E1914" s="501"/>
      <c r="F1914" s="501"/>
      <c r="G1914" s="501"/>
    </row>
    <row r="1915" spans="2:7" x14ac:dyDescent="0.25">
      <c r="B1915" s="501"/>
      <c r="C1915" s="501"/>
      <c r="D1915" s="501"/>
      <c r="E1915" s="501"/>
      <c r="F1915" s="501"/>
      <c r="G1915" s="501"/>
    </row>
    <row r="1916" spans="2:7" x14ac:dyDescent="0.25">
      <c r="B1916" s="501"/>
      <c r="C1916" s="501"/>
      <c r="D1916" s="501"/>
      <c r="E1916" s="501"/>
      <c r="F1916" s="501"/>
      <c r="G1916" s="501"/>
    </row>
    <row r="1917" spans="2:7" x14ac:dyDescent="0.25">
      <c r="B1917" s="501"/>
      <c r="C1917" s="501"/>
      <c r="D1917" s="501"/>
      <c r="E1917" s="501"/>
      <c r="F1917" s="501"/>
      <c r="G1917" s="501"/>
    </row>
    <row r="1918" spans="2:7" x14ac:dyDescent="0.25">
      <c r="B1918" s="501"/>
      <c r="C1918" s="501"/>
      <c r="D1918" s="501"/>
      <c r="E1918" s="501"/>
      <c r="F1918" s="501"/>
      <c r="G1918" s="501"/>
    </row>
    <row r="1919" spans="2:7" x14ac:dyDescent="0.25">
      <c r="B1919" s="501"/>
      <c r="C1919" s="501"/>
      <c r="D1919" s="501"/>
      <c r="E1919" s="501"/>
      <c r="F1919" s="501"/>
      <c r="G1919" s="501"/>
    </row>
    <row r="1920" spans="2:7" x14ac:dyDescent="0.25">
      <c r="B1920" s="501"/>
      <c r="C1920" s="501"/>
      <c r="D1920" s="501"/>
      <c r="E1920" s="501"/>
      <c r="F1920" s="501"/>
      <c r="G1920" s="501"/>
    </row>
    <row r="1921" spans="2:7" x14ac:dyDescent="0.25">
      <c r="B1921" s="501"/>
      <c r="C1921" s="501"/>
      <c r="D1921" s="501"/>
      <c r="E1921" s="501"/>
      <c r="F1921" s="501"/>
      <c r="G1921" s="501"/>
    </row>
    <row r="1922" spans="2:7" x14ac:dyDescent="0.25">
      <c r="B1922" s="501"/>
      <c r="C1922" s="501"/>
      <c r="D1922" s="501"/>
      <c r="E1922" s="501"/>
      <c r="F1922" s="501"/>
      <c r="G1922" s="501"/>
    </row>
    <row r="1923" spans="2:7" x14ac:dyDescent="0.25">
      <c r="B1923" s="501"/>
      <c r="C1923" s="501"/>
      <c r="D1923" s="501"/>
      <c r="E1923" s="501"/>
      <c r="F1923" s="501"/>
      <c r="G1923" s="501"/>
    </row>
    <row r="1924" spans="2:7" x14ac:dyDescent="0.25">
      <c r="B1924" s="501"/>
      <c r="C1924" s="501"/>
      <c r="D1924" s="501"/>
      <c r="E1924" s="501"/>
      <c r="F1924" s="501"/>
      <c r="G1924" s="501"/>
    </row>
    <row r="1925" spans="2:7" x14ac:dyDescent="0.25">
      <c r="B1925" s="501"/>
      <c r="C1925" s="501"/>
      <c r="D1925" s="501"/>
      <c r="E1925" s="501"/>
      <c r="F1925" s="501"/>
      <c r="G1925" s="501"/>
    </row>
    <row r="1926" spans="2:7" x14ac:dyDescent="0.25">
      <c r="B1926" s="501"/>
      <c r="C1926" s="501"/>
      <c r="D1926" s="501"/>
      <c r="E1926" s="501"/>
      <c r="F1926" s="501"/>
      <c r="G1926" s="501"/>
    </row>
    <row r="1927" spans="2:7" x14ac:dyDescent="0.25">
      <c r="B1927" s="501"/>
      <c r="C1927" s="501"/>
      <c r="D1927" s="501"/>
      <c r="E1927" s="501"/>
      <c r="F1927" s="501"/>
      <c r="G1927" s="501"/>
    </row>
    <row r="1928" spans="2:7" x14ac:dyDescent="0.25">
      <c r="B1928" s="501"/>
      <c r="C1928" s="501"/>
      <c r="D1928" s="501"/>
      <c r="E1928" s="501"/>
      <c r="F1928" s="501"/>
      <c r="G1928" s="501"/>
    </row>
    <row r="1929" spans="2:7" x14ac:dyDescent="0.25">
      <c r="B1929" s="501"/>
      <c r="C1929" s="501"/>
      <c r="D1929" s="501"/>
      <c r="E1929" s="501"/>
      <c r="F1929" s="501"/>
      <c r="G1929" s="501"/>
    </row>
    <row r="1930" spans="2:7" x14ac:dyDescent="0.25">
      <c r="B1930" s="501"/>
      <c r="C1930" s="501"/>
      <c r="D1930" s="501"/>
      <c r="E1930" s="501"/>
      <c r="F1930" s="501"/>
      <c r="G1930" s="501"/>
    </row>
    <row r="1931" spans="2:7" x14ac:dyDescent="0.25">
      <c r="B1931" s="501"/>
      <c r="C1931" s="501"/>
      <c r="D1931" s="501"/>
      <c r="E1931" s="501"/>
      <c r="F1931" s="501"/>
      <c r="G1931" s="501"/>
    </row>
    <row r="1932" spans="2:7" x14ac:dyDescent="0.25">
      <c r="B1932" s="501"/>
      <c r="C1932" s="501"/>
      <c r="D1932" s="501"/>
      <c r="E1932" s="501"/>
      <c r="F1932" s="501"/>
      <c r="G1932" s="501"/>
    </row>
    <row r="1933" spans="2:7" x14ac:dyDescent="0.25">
      <c r="B1933" s="501"/>
      <c r="C1933" s="501"/>
      <c r="D1933" s="501"/>
      <c r="E1933" s="501"/>
      <c r="F1933" s="501"/>
      <c r="G1933" s="501"/>
    </row>
    <row r="1934" spans="2:7" x14ac:dyDescent="0.25">
      <c r="B1934" s="501"/>
      <c r="C1934" s="501"/>
      <c r="D1934" s="501"/>
      <c r="E1934" s="501"/>
      <c r="F1934" s="501"/>
      <c r="G1934" s="501"/>
    </row>
    <row r="1935" spans="2:7" x14ac:dyDescent="0.25">
      <c r="B1935" s="501"/>
      <c r="C1935" s="501"/>
      <c r="D1935" s="501"/>
      <c r="E1935" s="501"/>
      <c r="F1935" s="501"/>
      <c r="G1935" s="501"/>
    </row>
    <row r="1936" spans="2:7" x14ac:dyDescent="0.25">
      <c r="B1936" s="501"/>
      <c r="C1936" s="501"/>
      <c r="D1936" s="501"/>
      <c r="E1936" s="501"/>
      <c r="F1936" s="501"/>
      <c r="G1936" s="501"/>
    </row>
    <row r="1937" spans="2:7" x14ac:dyDescent="0.25">
      <c r="B1937" s="501"/>
      <c r="C1937" s="501"/>
      <c r="D1937" s="501"/>
      <c r="E1937" s="501"/>
      <c r="F1937" s="501"/>
      <c r="G1937" s="501"/>
    </row>
    <row r="1938" spans="2:7" x14ac:dyDescent="0.25">
      <c r="B1938" s="501"/>
      <c r="C1938" s="501"/>
      <c r="D1938" s="501"/>
      <c r="E1938" s="501"/>
      <c r="F1938" s="501"/>
      <c r="G1938" s="501"/>
    </row>
    <row r="1939" spans="2:7" x14ac:dyDescent="0.25">
      <c r="B1939" s="501"/>
      <c r="C1939" s="501"/>
      <c r="D1939" s="501"/>
      <c r="E1939" s="501"/>
      <c r="F1939" s="501"/>
      <c r="G1939" s="501"/>
    </row>
    <row r="1940" spans="2:7" x14ac:dyDescent="0.25">
      <c r="B1940" s="501"/>
      <c r="C1940" s="501"/>
      <c r="D1940" s="501"/>
      <c r="E1940" s="501"/>
      <c r="F1940" s="501"/>
      <c r="G1940" s="501"/>
    </row>
    <row r="1941" spans="2:7" x14ac:dyDescent="0.25">
      <c r="B1941" s="501"/>
      <c r="C1941" s="501"/>
      <c r="D1941" s="501"/>
      <c r="E1941" s="501"/>
      <c r="F1941" s="501"/>
      <c r="G1941" s="501"/>
    </row>
    <row r="1942" spans="2:7" x14ac:dyDescent="0.25">
      <c r="B1942" s="501"/>
      <c r="C1942" s="501"/>
      <c r="D1942" s="501"/>
      <c r="E1942" s="501"/>
      <c r="F1942" s="501"/>
      <c r="G1942" s="501"/>
    </row>
    <row r="1943" spans="2:7" x14ac:dyDescent="0.25">
      <c r="B1943" s="501"/>
      <c r="C1943" s="501"/>
      <c r="D1943" s="501"/>
      <c r="E1943" s="501"/>
      <c r="F1943" s="501"/>
      <c r="G1943" s="501"/>
    </row>
    <row r="1944" spans="2:7" x14ac:dyDescent="0.25">
      <c r="B1944" s="501"/>
      <c r="C1944" s="501"/>
      <c r="D1944" s="501"/>
      <c r="E1944" s="501"/>
      <c r="F1944" s="501"/>
      <c r="G1944" s="501"/>
    </row>
    <row r="1945" spans="2:7" x14ac:dyDescent="0.25">
      <c r="B1945" s="501"/>
      <c r="C1945" s="501"/>
      <c r="D1945" s="501"/>
      <c r="E1945" s="501"/>
      <c r="F1945" s="501"/>
      <c r="G1945" s="501"/>
    </row>
    <row r="1946" spans="2:7" x14ac:dyDescent="0.25">
      <c r="B1946" s="501"/>
      <c r="C1946" s="501"/>
      <c r="D1946" s="501"/>
      <c r="E1946" s="501"/>
      <c r="F1946" s="501"/>
      <c r="G1946" s="501"/>
    </row>
    <row r="1947" spans="2:7" x14ac:dyDescent="0.25">
      <c r="B1947" s="501"/>
      <c r="C1947" s="501"/>
      <c r="D1947" s="501"/>
      <c r="E1947" s="501"/>
      <c r="F1947" s="501"/>
      <c r="G1947" s="501"/>
    </row>
    <row r="1948" spans="2:7" x14ac:dyDescent="0.25">
      <c r="B1948" s="501"/>
      <c r="C1948" s="501"/>
      <c r="D1948" s="501"/>
      <c r="E1948" s="501"/>
      <c r="F1948" s="501"/>
      <c r="G1948" s="501"/>
    </row>
    <row r="1949" spans="2:7" x14ac:dyDescent="0.25">
      <c r="B1949" s="501"/>
      <c r="C1949" s="501"/>
      <c r="D1949" s="501"/>
      <c r="E1949" s="501"/>
      <c r="F1949" s="501"/>
      <c r="G1949" s="501"/>
    </row>
    <row r="1950" spans="2:7" x14ac:dyDescent="0.25">
      <c r="B1950" s="501"/>
      <c r="C1950" s="501"/>
      <c r="D1950" s="501"/>
      <c r="E1950" s="501"/>
      <c r="F1950" s="501"/>
      <c r="G1950" s="501"/>
    </row>
    <row r="1951" spans="2:7" x14ac:dyDescent="0.25">
      <c r="B1951" s="501"/>
      <c r="C1951" s="501"/>
      <c r="D1951" s="501"/>
      <c r="E1951" s="501"/>
      <c r="F1951" s="501"/>
      <c r="G1951" s="501"/>
    </row>
    <row r="1952" spans="2:7" x14ac:dyDescent="0.25">
      <c r="B1952" s="501"/>
      <c r="C1952" s="501"/>
      <c r="D1952" s="501"/>
      <c r="E1952" s="501"/>
      <c r="F1952" s="501"/>
      <c r="G1952" s="501"/>
    </row>
    <row r="1953" spans="2:7" x14ac:dyDescent="0.25">
      <c r="B1953" s="501"/>
      <c r="C1953" s="501"/>
      <c r="D1953" s="501"/>
      <c r="E1953" s="501"/>
      <c r="F1953" s="501"/>
      <c r="G1953" s="501"/>
    </row>
    <row r="1954" spans="2:7" x14ac:dyDescent="0.25">
      <c r="B1954" s="501"/>
      <c r="C1954" s="501"/>
      <c r="D1954" s="501"/>
      <c r="E1954" s="501"/>
      <c r="F1954" s="501"/>
      <c r="G1954" s="501"/>
    </row>
    <row r="1955" spans="2:7" x14ac:dyDescent="0.25">
      <c r="B1955" s="501"/>
      <c r="C1955" s="501"/>
      <c r="D1955" s="501"/>
      <c r="E1955" s="501"/>
      <c r="F1955" s="501"/>
      <c r="G1955" s="501"/>
    </row>
    <row r="1956" spans="2:7" x14ac:dyDescent="0.25">
      <c r="B1956" s="501"/>
      <c r="C1956" s="501"/>
      <c r="D1956" s="501"/>
      <c r="E1956" s="501"/>
      <c r="F1956" s="501"/>
      <c r="G1956" s="501"/>
    </row>
    <row r="1957" spans="2:7" x14ac:dyDescent="0.25">
      <c r="B1957" s="501"/>
      <c r="C1957" s="501"/>
      <c r="D1957" s="501"/>
      <c r="E1957" s="501"/>
      <c r="F1957" s="501"/>
      <c r="G1957" s="501"/>
    </row>
    <row r="1958" spans="2:7" x14ac:dyDescent="0.25">
      <c r="B1958" s="501"/>
      <c r="C1958" s="501"/>
      <c r="D1958" s="501"/>
      <c r="E1958" s="501"/>
      <c r="F1958" s="501"/>
      <c r="G1958" s="501"/>
    </row>
    <row r="1959" spans="2:7" x14ac:dyDescent="0.25">
      <c r="B1959" s="501"/>
      <c r="C1959" s="501"/>
      <c r="D1959" s="501"/>
      <c r="E1959" s="501"/>
      <c r="F1959" s="501"/>
      <c r="G1959" s="501"/>
    </row>
    <row r="1960" spans="2:7" x14ac:dyDescent="0.25">
      <c r="B1960" s="501"/>
      <c r="C1960" s="501"/>
      <c r="D1960" s="501"/>
      <c r="E1960" s="501"/>
      <c r="F1960" s="501"/>
      <c r="G1960" s="501"/>
    </row>
    <row r="1961" spans="2:7" x14ac:dyDescent="0.25">
      <c r="B1961" s="501"/>
      <c r="C1961" s="501"/>
      <c r="D1961" s="501"/>
      <c r="E1961" s="501"/>
      <c r="F1961" s="501"/>
      <c r="G1961" s="501"/>
    </row>
    <row r="1962" spans="2:7" x14ac:dyDescent="0.25">
      <c r="B1962" s="501"/>
      <c r="C1962" s="501"/>
      <c r="D1962" s="501"/>
      <c r="E1962" s="501"/>
      <c r="F1962" s="501"/>
      <c r="G1962" s="501"/>
    </row>
    <row r="1963" spans="2:7" x14ac:dyDescent="0.25">
      <c r="B1963" s="501"/>
      <c r="C1963" s="501"/>
      <c r="D1963" s="501"/>
      <c r="E1963" s="501"/>
      <c r="F1963" s="501"/>
      <c r="G1963" s="501"/>
    </row>
    <row r="1964" spans="2:7" x14ac:dyDescent="0.25">
      <c r="B1964" s="501"/>
      <c r="C1964" s="501"/>
      <c r="D1964" s="501"/>
      <c r="E1964" s="501"/>
      <c r="F1964" s="501"/>
      <c r="G1964" s="501"/>
    </row>
    <row r="1965" spans="2:7" x14ac:dyDescent="0.25">
      <c r="B1965" s="501"/>
      <c r="C1965" s="501"/>
      <c r="D1965" s="501"/>
      <c r="E1965" s="501"/>
      <c r="F1965" s="501"/>
      <c r="G1965" s="501"/>
    </row>
    <row r="1966" spans="2:7" x14ac:dyDescent="0.25">
      <c r="B1966" s="501"/>
      <c r="C1966" s="501"/>
      <c r="D1966" s="501"/>
      <c r="E1966" s="501"/>
      <c r="F1966" s="501"/>
      <c r="G1966" s="501"/>
    </row>
    <row r="1967" spans="2:7" x14ac:dyDescent="0.25">
      <c r="B1967" s="501"/>
      <c r="C1967" s="501"/>
      <c r="D1967" s="501"/>
      <c r="E1967" s="501"/>
      <c r="F1967" s="501"/>
      <c r="G1967" s="501"/>
    </row>
    <row r="1968" spans="2:7" x14ac:dyDescent="0.25">
      <c r="B1968" s="501"/>
      <c r="C1968" s="501"/>
      <c r="D1968" s="501"/>
      <c r="E1968" s="501"/>
      <c r="F1968" s="501"/>
      <c r="G1968" s="501"/>
    </row>
    <row r="1969" spans="2:7" x14ac:dyDescent="0.25">
      <c r="B1969" s="501"/>
      <c r="C1969" s="501"/>
      <c r="D1969" s="501"/>
      <c r="E1969" s="501"/>
      <c r="F1969" s="501"/>
      <c r="G1969" s="501"/>
    </row>
    <row r="1970" spans="2:7" x14ac:dyDescent="0.25">
      <c r="B1970" s="501"/>
      <c r="C1970" s="501"/>
      <c r="D1970" s="501"/>
      <c r="E1970" s="501"/>
      <c r="F1970" s="501"/>
      <c r="G1970" s="501"/>
    </row>
    <row r="1971" spans="2:7" x14ac:dyDescent="0.25">
      <c r="B1971" s="501"/>
      <c r="C1971" s="501"/>
      <c r="D1971" s="501"/>
      <c r="E1971" s="501"/>
      <c r="F1971" s="501"/>
      <c r="G1971" s="501"/>
    </row>
    <row r="1972" spans="2:7" x14ac:dyDescent="0.25">
      <c r="B1972" s="501"/>
      <c r="C1972" s="501"/>
      <c r="D1972" s="501"/>
      <c r="E1972" s="501"/>
      <c r="F1972" s="501"/>
      <c r="G1972" s="501"/>
    </row>
    <row r="1973" spans="2:7" x14ac:dyDescent="0.25">
      <c r="B1973" s="501"/>
      <c r="C1973" s="501"/>
      <c r="D1973" s="501"/>
      <c r="E1973" s="501"/>
      <c r="F1973" s="501"/>
      <c r="G1973" s="501"/>
    </row>
    <row r="1974" spans="2:7" x14ac:dyDescent="0.25">
      <c r="B1974" s="501"/>
      <c r="C1974" s="501"/>
      <c r="D1974" s="501"/>
      <c r="E1974" s="501"/>
      <c r="F1974" s="501"/>
      <c r="G1974" s="501"/>
    </row>
    <row r="1975" spans="2:7" x14ac:dyDescent="0.25">
      <c r="B1975" s="501"/>
      <c r="C1975" s="501"/>
      <c r="D1975" s="501"/>
      <c r="E1975" s="501"/>
      <c r="F1975" s="501"/>
      <c r="G1975" s="501"/>
    </row>
    <row r="1976" spans="2:7" x14ac:dyDescent="0.25">
      <c r="B1976" s="501"/>
      <c r="C1976" s="501"/>
      <c r="D1976" s="501"/>
      <c r="E1976" s="501"/>
      <c r="F1976" s="501"/>
      <c r="G1976" s="501"/>
    </row>
    <row r="1977" spans="2:7" x14ac:dyDescent="0.25">
      <c r="B1977" s="501"/>
      <c r="C1977" s="501"/>
      <c r="D1977" s="501"/>
      <c r="E1977" s="501"/>
      <c r="F1977" s="501"/>
      <c r="G1977" s="501"/>
    </row>
    <row r="1978" spans="2:7" x14ac:dyDescent="0.25">
      <c r="B1978" s="501"/>
      <c r="C1978" s="501"/>
      <c r="D1978" s="501"/>
      <c r="E1978" s="501"/>
      <c r="F1978" s="501"/>
      <c r="G1978" s="501"/>
    </row>
    <row r="1979" spans="2:7" x14ac:dyDescent="0.25">
      <c r="B1979" s="501"/>
      <c r="C1979" s="501"/>
      <c r="D1979" s="501"/>
      <c r="E1979" s="501"/>
      <c r="F1979" s="501"/>
      <c r="G1979" s="501"/>
    </row>
    <row r="1980" spans="2:7" x14ac:dyDescent="0.25">
      <c r="B1980" s="501"/>
      <c r="C1980" s="501"/>
      <c r="D1980" s="501"/>
      <c r="E1980" s="501"/>
      <c r="F1980" s="501"/>
      <c r="G1980" s="501"/>
    </row>
    <row r="1981" spans="2:7" x14ac:dyDescent="0.25">
      <c r="B1981" s="501"/>
      <c r="C1981" s="501"/>
      <c r="D1981" s="501"/>
      <c r="E1981" s="501"/>
      <c r="F1981" s="501"/>
      <c r="G1981" s="501"/>
    </row>
    <row r="1982" spans="2:7" x14ac:dyDescent="0.25">
      <c r="B1982" s="501"/>
      <c r="C1982" s="501"/>
      <c r="D1982" s="501"/>
      <c r="E1982" s="501"/>
      <c r="F1982" s="501"/>
      <c r="G1982" s="501"/>
    </row>
    <row r="1983" spans="2:7" x14ac:dyDescent="0.25">
      <c r="B1983" s="501"/>
      <c r="C1983" s="501"/>
      <c r="D1983" s="501"/>
      <c r="E1983" s="501"/>
      <c r="F1983" s="501"/>
      <c r="G1983" s="501"/>
    </row>
    <row r="1984" spans="2:7" x14ac:dyDescent="0.25">
      <c r="B1984" s="501"/>
      <c r="C1984" s="501"/>
      <c r="D1984" s="501"/>
      <c r="E1984" s="501"/>
      <c r="F1984" s="501"/>
      <c r="G1984" s="501"/>
    </row>
    <row r="1985" spans="2:7" x14ac:dyDescent="0.25">
      <c r="B1985" s="501"/>
      <c r="C1985" s="501"/>
      <c r="D1985" s="501"/>
      <c r="E1985" s="501"/>
      <c r="F1985" s="501"/>
      <c r="G1985" s="501"/>
    </row>
    <row r="1986" spans="2:7" x14ac:dyDescent="0.25">
      <c r="B1986" s="501"/>
      <c r="C1986" s="501"/>
      <c r="D1986" s="501"/>
      <c r="E1986" s="501"/>
      <c r="F1986" s="501"/>
      <c r="G1986" s="501"/>
    </row>
    <row r="1987" spans="2:7" x14ac:dyDescent="0.25">
      <c r="B1987" s="501"/>
      <c r="C1987" s="501"/>
      <c r="D1987" s="501"/>
      <c r="E1987" s="501"/>
      <c r="F1987" s="501"/>
      <c r="G1987" s="501"/>
    </row>
    <row r="1988" spans="2:7" x14ac:dyDescent="0.25">
      <c r="B1988" s="501"/>
      <c r="C1988" s="501"/>
      <c r="D1988" s="501"/>
      <c r="E1988" s="501"/>
      <c r="F1988" s="501"/>
      <c r="G1988" s="501"/>
    </row>
    <row r="1989" spans="2:7" x14ac:dyDescent="0.25">
      <c r="B1989" s="501"/>
      <c r="C1989" s="501"/>
      <c r="D1989" s="501"/>
      <c r="E1989" s="501"/>
      <c r="F1989" s="501"/>
      <c r="G1989" s="501"/>
    </row>
    <row r="1990" spans="2:7" x14ac:dyDescent="0.25">
      <c r="B1990" s="501"/>
      <c r="C1990" s="501"/>
      <c r="D1990" s="501"/>
      <c r="E1990" s="501"/>
      <c r="F1990" s="501"/>
      <c r="G1990" s="501"/>
    </row>
    <row r="1991" spans="2:7" x14ac:dyDescent="0.25">
      <c r="B1991" s="501"/>
      <c r="C1991" s="501"/>
      <c r="D1991" s="501"/>
      <c r="E1991" s="501"/>
      <c r="F1991" s="501"/>
      <c r="G1991" s="501"/>
    </row>
    <row r="1992" spans="2:7" x14ac:dyDescent="0.25">
      <c r="B1992" s="501"/>
      <c r="C1992" s="501"/>
      <c r="D1992" s="501"/>
      <c r="E1992" s="501"/>
      <c r="F1992" s="501"/>
      <c r="G1992" s="501"/>
    </row>
    <row r="1993" spans="2:7" x14ac:dyDescent="0.25">
      <c r="B1993" s="501"/>
      <c r="C1993" s="501"/>
      <c r="D1993" s="501"/>
      <c r="E1993" s="501"/>
      <c r="F1993" s="501"/>
      <c r="G1993" s="501"/>
    </row>
    <row r="1994" spans="2:7" x14ac:dyDescent="0.25">
      <c r="B1994" s="501"/>
      <c r="C1994" s="501"/>
      <c r="D1994" s="501"/>
      <c r="E1994" s="501"/>
      <c r="F1994" s="501"/>
      <c r="G1994" s="501"/>
    </row>
    <row r="1995" spans="2:7" x14ac:dyDescent="0.25">
      <c r="B1995" s="501"/>
      <c r="C1995" s="501"/>
      <c r="D1995" s="501"/>
      <c r="E1995" s="501"/>
      <c r="F1995" s="501"/>
      <c r="G1995" s="501"/>
    </row>
    <row r="1996" spans="2:7" x14ac:dyDescent="0.25">
      <c r="B1996" s="501"/>
      <c r="C1996" s="501"/>
      <c r="D1996" s="501"/>
      <c r="E1996" s="501"/>
      <c r="F1996" s="501"/>
      <c r="G1996" s="501"/>
    </row>
    <row r="1997" spans="2:7" x14ac:dyDescent="0.25">
      <c r="B1997" s="501"/>
      <c r="C1997" s="501"/>
      <c r="D1997" s="501"/>
      <c r="E1997" s="501"/>
      <c r="F1997" s="501"/>
      <c r="G1997" s="501"/>
    </row>
    <row r="1998" spans="2:7" x14ac:dyDescent="0.25">
      <c r="B1998" s="501"/>
      <c r="C1998" s="501"/>
      <c r="D1998" s="501"/>
      <c r="E1998" s="501"/>
      <c r="F1998" s="501"/>
      <c r="G1998" s="501"/>
    </row>
    <row r="1999" spans="2:7" x14ac:dyDescent="0.25">
      <c r="B1999" s="501"/>
      <c r="C1999" s="501"/>
      <c r="D1999" s="501"/>
      <c r="E1999" s="501"/>
      <c r="F1999" s="501"/>
      <c r="G1999" s="501"/>
    </row>
    <row r="2000" spans="2:7" x14ac:dyDescent="0.25">
      <c r="B2000" s="501"/>
      <c r="C2000" s="501"/>
      <c r="D2000" s="501"/>
      <c r="E2000" s="501"/>
      <c r="F2000" s="501"/>
      <c r="G2000" s="501"/>
    </row>
    <row r="2001" spans="2:7" x14ac:dyDescent="0.25">
      <c r="B2001" s="501"/>
      <c r="C2001" s="501"/>
      <c r="D2001" s="501"/>
      <c r="E2001" s="501"/>
      <c r="F2001" s="501"/>
      <c r="G2001" s="501"/>
    </row>
    <row r="2002" spans="2:7" x14ac:dyDescent="0.25">
      <c r="B2002" s="501"/>
      <c r="C2002" s="501"/>
      <c r="D2002" s="501"/>
      <c r="E2002" s="501"/>
      <c r="F2002" s="501"/>
      <c r="G2002" s="501"/>
    </row>
    <row r="2003" spans="2:7" x14ac:dyDescent="0.25">
      <c r="B2003" s="501"/>
      <c r="C2003" s="501"/>
      <c r="D2003" s="501"/>
      <c r="E2003" s="501"/>
      <c r="F2003" s="501"/>
      <c r="G2003" s="501"/>
    </row>
    <row r="2004" spans="2:7" x14ac:dyDescent="0.25">
      <c r="B2004" s="501"/>
      <c r="C2004" s="501"/>
      <c r="D2004" s="501"/>
      <c r="E2004" s="501"/>
      <c r="F2004" s="501"/>
      <c r="G2004" s="501"/>
    </row>
    <row r="2005" spans="2:7" x14ac:dyDescent="0.25">
      <c r="B2005" s="501"/>
      <c r="C2005" s="501"/>
      <c r="D2005" s="501"/>
      <c r="E2005" s="501"/>
      <c r="F2005" s="501"/>
      <c r="G2005" s="501"/>
    </row>
    <row r="2006" spans="2:7" x14ac:dyDescent="0.25">
      <c r="B2006" s="501"/>
      <c r="C2006" s="501"/>
      <c r="D2006" s="501"/>
      <c r="E2006" s="501"/>
      <c r="F2006" s="501"/>
      <c r="G2006" s="501"/>
    </row>
    <row r="2007" spans="2:7" x14ac:dyDescent="0.25">
      <c r="B2007" s="501"/>
      <c r="C2007" s="501"/>
      <c r="D2007" s="501"/>
      <c r="E2007" s="501"/>
      <c r="F2007" s="501"/>
      <c r="G2007" s="501"/>
    </row>
    <row r="2008" spans="2:7" x14ac:dyDescent="0.25">
      <c r="B2008" s="501"/>
      <c r="C2008" s="501"/>
      <c r="D2008" s="501"/>
      <c r="E2008" s="501"/>
      <c r="F2008" s="501"/>
      <c r="G2008" s="501"/>
    </row>
    <row r="2009" spans="2:7" x14ac:dyDescent="0.25">
      <c r="B2009" s="501"/>
      <c r="C2009" s="501"/>
      <c r="D2009" s="501"/>
      <c r="E2009" s="501"/>
      <c r="F2009" s="501"/>
      <c r="G2009" s="501"/>
    </row>
    <row r="2010" spans="2:7" x14ac:dyDescent="0.25">
      <c r="B2010" s="501"/>
      <c r="C2010" s="501"/>
      <c r="D2010" s="501"/>
      <c r="E2010" s="501"/>
      <c r="F2010" s="501"/>
      <c r="G2010" s="501"/>
    </row>
    <row r="2011" spans="2:7" x14ac:dyDescent="0.25">
      <c r="B2011" s="501"/>
      <c r="C2011" s="501"/>
      <c r="D2011" s="501"/>
      <c r="E2011" s="501"/>
      <c r="F2011" s="501"/>
      <c r="G2011" s="501"/>
    </row>
    <row r="2012" spans="2:7" x14ac:dyDescent="0.25">
      <c r="B2012" s="501"/>
      <c r="C2012" s="501"/>
      <c r="D2012" s="501"/>
      <c r="E2012" s="501"/>
      <c r="F2012" s="501"/>
      <c r="G2012" s="501"/>
    </row>
    <row r="2013" spans="2:7" x14ac:dyDescent="0.25">
      <c r="B2013" s="501"/>
      <c r="C2013" s="501"/>
      <c r="D2013" s="501"/>
      <c r="E2013" s="501"/>
      <c r="F2013" s="501"/>
      <c r="G2013" s="501"/>
    </row>
    <row r="2014" spans="2:7" x14ac:dyDescent="0.25">
      <c r="B2014" s="501"/>
      <c r="C2014" s="501"/>
      <c r="D2014" s="501"/>
      <c r="E2014" s="501"/>
      <c r="F2014" s="501"/>
      <c r="G2014" s="501"/>
    </row>
    <row r="2015" spans="2:7" x14ac:dyDescent="0.25">
      <c r="B2015" s="501"/>
      <c r="C2015" s="501"/>
      <c r="D2015" s="501"/>
      <c r="E2015" s="501"/>
      <c r="F2015" s="501"/>
      <c r="G2015" s="501"/>
    </row>
    <row r="2016" spans="2:7" x14ac:dyDescent="0.25">
      <c r="B2016" s="501"/>
      <c r="C2016" s="501"/>
      <c r="D2016" s="501"/>
      <c r="E2016" s="501"/>
      <c r="F2016" s="501"/>
      <c r="G2016" s="501"/>
    </row>
    <row r="2017" spans="2:7" x14ac:dyDescent="0.25">
      <c r="B2017" s="501"/>
      <c r="C2017" s="501"/>
      <c r="D2017" s="501"/>
      <c r="E2017" s="501"/>
      <c r="F2017" s="501"/>
      <c r="G2017" s="501"/>
    </row>
    <row r="2018" spans="2:7" x14ac:dyDescent="0.25">
      <c r="B2018" s="501"/>
      <c r="C2018" s="501"/>
      <c r="D2018" s="501"/>
      <c r="E2018" s="501"/>
      <c r="F2018" s="501"/>
      <c r="G2018" s="501"/>
    </row>
    <row r="2019" spans="2:7" x14ac:dyDescent="0.25">
      <c r="B2019" s="501"/>
      <c r="C2019" s="501"/>
      <c r="D2019" s="501"/>
      <c r="E2019" s="501"/>
      <c r="F2019" s="501"/>
      <c r="G2019" s="501"/>
    </row>
    <row r="2020" spans="2:7" x14ac:dyDescent="0.25">
      <c r="B2020" s="501"/>
      <c r="C2020" s="501"/>
      <c r="D2020" s="501"/>
      <c r="E2020" s="501"/>
      <c r="F2020" s="501"/>
      <c r="G2020" s="501"/>
    </row>
    <row r="2021" spans="2:7" x14ac:dyDescent="0.25">
      <c r="B2021" s="501"/>
      <c r="C2021" s="501"/>
      <c r="D2021" s="501"/>
      <c r="E2021" s="501"/>
      <c r="F2021" s="501"/>
      <c r="G2021" s="501"/>
    </row>
    <row r="2022" spans="2:7" x14ac:dyDescent="0.25">
      <c r="B2022" s="501"/>
      <c r="C2022" s="501"/>
      <c r="D2022" s="501"/>
      <c r="E2022" s="501"/>
      <c r="F2022" s="501"/>
      <c r="G2022" s="501"/>
    </row>
    <row r="2023" spans="2:7" x14ac:dyDescent="0.25">
      <c r="B2023" s="501"/>
      <c r="C2023" s="501"/>
      <c r="D2023" s="501"/>
      <c r="E2023" s="501"/>
      <c r="F2023" s="501"/>
      <c r="G2023" s="501"/>
    </row>
    <row r="2024" spans="2:7" x14ac:dyDescent="0.25">
      <c r="B2024" s="501"/>
      <c r="C2024" s="501"/>
      <c r="D2024" s="501"/>
      <c r="E2024" s="501"/>
      <c r="F2024" s="501"/>
      <c r="G2024" s="501"/>
    </row>
    <row r="2025" spans="2:7" x14ac:dyDescent="0.25">
      <c r="B2025" s="501"/>
      <c r="C2025" s="501"/>
      <c r="D2025" s="501"/>
      <c r="E2025" s="501"/>
      <c r="F2025" s="501"/>
      <c r="G2025" s="501"/>
    </row>
    <row r="2026" spans="2:7" x14ac:dyDescent="0.25">
      <c r="B2026" s="501"/>
      <c r="C2026" s="501"/>
      <c r="D2026" s="501"/>
      <c r="E2026" s="501"/>
      <c r="F2026" s="501"/>
      <c r="G2026" s="501"/>
    </row>
    <row r="2027" spans="2:7" x14ac:dyDescent="0.25">
      <c r="B2027" s="501"/>
      <c r="C2027" s="501"/>
      <c r="D2027" s="501"/>
      <c r="E2027" s="501"/>
      <c r="F2027" s="501"/>
      <c r="G2027" s="501"/>
    </row>
    <row r="2028" spans="2:7" x14ac:dyDescent="0.25">
      <c r="B2028" s="501"/>
      <c r="C2028" s="501"/>
      <c r="D2028" s="501"/>
      <c r="E2028" s="501"/>
      <c r="F2028" s="501"/>
      <c r="G2028" s="501"/>
    </row>
    <row r="2029" spans="2:7" x14ac:dyDescent="0.25">
      <c r="B2029" s="501"/>
      <c r="C2029" s="501"/>
      <c r="D2029" s="501"/>
      <c r="E2029" s="501"/>
      <c r="F2029" s="501"/>
      <c r="G2029" s="501"/>
    </row>
    <row r="2030" spans="2:7" x14ac:dyDescent="0.25">
      <c r="B2030" s="501"/>
      <c r="C2030" s="501"/>
      <c r="D2030" s="501"/>
      <c r="E2030" s="501"/>
      <c r="F2030" s="501"/>
      <c r="G2030" s="501"/>
    </row>
    <row r="2031" spans="2:7" x14ac:dyDescent="0.25">
      <c r="B2031" s="501"/>
      <c r="C2031" s="501"/>
      <c r="D2031" s="501"/>
      <c r="E2031" s="501"/>
      <c r="F2031" s="501"/>
      <c r="G2031" s="501"/>
    </row>
    <row r="2032" spans="2:7" x14ac:dyDescent="0.25">
      <c r="B2032" s="501"/>
      <c r="C2032" s="501"/>
      <c r="D2032" s="501"/>
      <c r="E2032" s="501"/>
      <c r="F2032" s="501"/>
      <c r="G2032" s="501"/>
    </row>
    <row r="2033" spans="2:7" x14ac:dyDescent="0.25">
      <c r="B2033" s="501"/>
      <c r="C2033" s="501"/>
      <c r="D2033" s="501"/>
      <c r="E2033" s="501"/>
      <c r="F2033" s="501"/>
      <c r="G2033" s="501"/>
    </row>
    <row r="2034" spans="2:7" x14ac:dyDescent="0.25">
      <c r="B2034" s="501"/>
      <c r="C2034" s="501"/>
      <c r="D2034" s="501"/>
      <c r="E2034" s="501"/>
      <c r="F2034" s="501"/>
      <c r="G2034" s="501"/>
    </row>
    <row r="2035" spans="2:7" x14ac:dyDescent="0.25">
      <c r="B2035" s="501"/>
      <c r="C2035" s="501"/>
      <c r="D2035" s="501"/>
      <c r="E2035" s="501"/>
      <c r="F2035" s="501"/>
      <c r="G2035" s="501"/>
    </row>
    <row r="2036" spans="2:7" x14ac:dyDescent="0.25">
      <c r="B2036" s="501"/>
      <c r="C2036" s="501"/>
      <c r="D2036" s="501"/>
      <c r="E2036" s="501"/>
      <c r="F2036" s="501"/>
      <c r="G2036" s="501"/>
    </row>
    <row r="2037" spans="2:7" x14ac:dyDescent="0.25">
      <c r="B2037" s="501"/>
      <c r="C2037" s="501"/>
      <c r="D2037" s="501"/>
      <c r="E2037" s="501"/>
      <c r="F2037" s="501"/>
      <c r="G2037" s="501"/>
    </row>
    <row r="2038" spans="2:7" x14ac:dyDescent="0.25">
      <c r="B2038" s="501"/>
      <c r="C2038" s="501"/>
      <c r="D2038" s="501"/>
      <c r="E2038" s="501"/>
      <c r="F2038" s="501"/>
      <c r="G2038" s="501"/>
    </row>
    <row r="2039" spans="2:7" x14ac:dyDescent="0.25">
      <c r="B2039" s="501"/>
      <c r="C2039" s="501"/>
      <c r="D2039" s="501"/>
      <c r="E2039" s="501"/>
      <c r="F2039" s="501"/>
      <c r="G2039" s="50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1"/>
  </sheetPr>
  <dimension ref="A1:H530"/>
  <sheetViews>
    <sheetView topLeftCell="A116" workbookViewId="0">
      <selection activeCell="A113" sqref="A113"/>
    </sheetView>
  </sheetViews>
  <sheetFormatPr defaultRowHeight="15" x14ac:dyDescent="0.25"/>
  <cols>
    <col min="1" max="1" width="23.08203125" customWidth="1"/>
    <col min="4" max="4" width="28.58203125" customWidth="1"/>
    <col min="5" max="7" width="14.6640625" customWidth="1"/>
    <col min="8" max="8" width="12.08203125" customWidth="1"/>
  </cols>
  <sheetData>
    <row r="1" spans="1:8" x14ac:dyDescent="0.25">
      <c r="A1" t="s">
        <v>2500</v>
      </c>
      <c r="G1" t="s">
        <v>2502</v>
      </c>
    </row>
    <row r="2" spans="1:8" x14ac:dyDescent="0.25">
      <c r="A2" t="s">
        <v>2501</v>
      </c>
    </row>
    <row r="5" spans="1:8" x14ac:dyDescent="0.25">
      <c r="B5" s="508" t="s">
        <v>1950</v>
      </c>
      <c r="C5" s="508" t="s">
        <v>1951</v>
      </c>
      <c r="D5" s="508" t="s">
        <v>1952</v>
      </c>
      <c r="E5" s="508" t="s">
        <v>1953</v>
      </c>
      <c r="F5" s="508" t="s">
        <v>1949</v>
      </c>
      <c r="G5" s="508" t="s">
        <v>1954</v>
      </c>
      <c r="H5" s="508" t="s">
        <v>1955</v>
      </c>
    </row>
    <row r="6" spans="1:8" x14ac:dyDescent="0.25">
      <c r="B6" s="508" t="s">
        <v>1956</v>
      </c>
      <c r="C6" s="508" t="s">
        <v>1957</v>
      </c>
      <c r="D6" s="508"/>
      <c r="E6" s="508"/>
      <c r="F6" s="508"/>
      <c r="G6" s="508"/>
      <c r="H6" s="508"/>
    </row>
    <row r="7" spans="1:8" x14ac:dyDescent="0.25">
      <c r="A7" s="173" t="s">
        <v>362</v>
      </c>
      <c r="B7" s="509">
        <v>10155</v>
      </c>
      <c r="C7" s="509">
        <v>0</v>
      </c>
      <c r="D7" s="508" t="s">
        <v>1958</v>
      </c>
      <c r="E7" s="510">
        <v>-4395529.95</v>
      </c>
      <c r="F7" s="510">
        <v>-5735929.5499999998</v>
      </c>
      <c r="G7" s="510">
        <v>1340399.6000000001</v>
      </c>
      <c r="H7" s="511">
        <v>-23.36848087682667</v>
      </c>
    </row>
    <row r="8" spans="1:8" x14ac:dyDescent="0.25">
      <c r="A8" s="173" t="s">
        <v>362</v>
      </c>
      <c r="B8" s="509">
        <v>10175</v>
      </c>
      <c r="C8" s="509">
        <v>0</v>
      </c>
      <c r="D8" s="508" t="s">
        <v>1959</v>
      </c>
      <c r="E8" s="510">
        <v>428059.37</v>
      </c>
      <c r="F8" s="510">
        <v>162353.07</v>
      </c>
      <c r="G8" s="510">
        <v>265706.3</v>
      </c>
      <c r="H8" s="511">
        <v>163.65954767593863</v>
      </c>
    </row>
    <row r="9" spans="1:8" x14ac:dyDescent="0.25">
      <c r="A9" s="173" t="s">
        <v>362</v>
      </c>
      <c r="B9" s="509">
        <v>10200</v>
      </c>
      <c r="C9" s="509">
        <v>0</v>
      </c>
      <c r="D9" s="508" t="s">
        <v>1960</v>
      </c>
      <c r="E9" s="510">
        <v>-145254.74</v>
      </c>
      <c r="F9" s="510">
        <v>-72432.72</v>
      </c>
      <c r="G9" s="510">
        <v>-72822.02</v>
      </c>
      <c r="H9" s="511">
        <v>100.53746428409703</v>
      </c>
    </row>
    <row r="10" spans="1:8" x14ac:dyDescent="0.25">
      <c r="A10" s="173" t="s">
        <v>362</v>
      </c>
      <c r="B10" s="509">
        <v>10300</v>
      </c>
      <c r="C10" s="509">
        <v>0</v>
      </c>
      <c r="D10" s="508" t="s">
        <v>1961</v>
      </c>
      <c r="E10" s="510">
        <v>36721975.450000003</v>
      </c>
      <c r="F10" s="510">
        <v>42568939.68</v>
      </c>
      <c r="G10" s="510">
        <v>-5846964.2300000004</v>
      </c>
      <c r="H10" s="511">
        <v>-13.735282752995269</v>
      </c>
    </row>
    <row r="11" spans="1:8" x14ac:dyDescent="0.25">
      <c r="A11" s="173" t="s">
        <v>362</v>
      </c>
      <c r="B11" s="509">
        <v>10310</v>
      </c>
      <c r="C11" s="509">
        <v>0</v>
      </c>
      <c r="D11" s="508" t="s">
        <v>1962</v>
      </c>
      <c r="E11" s="510">
        <v>77235.240000000005</v>
      </c>
      <c r="F11" s="510">
        <v>57819.93</v>
      </c>
      <c r="G11" s="510">
        <v>19415.310000000001</v>
      </c>
      <c r="H11" s="511">
        <v>33.57892339198613</v>
      </c>
    </row>
    <row r="12" spans="1:8" x14ac:dyDescent="0.25">
      <c r="A12" s="173" t="s">
        <v>362</v>
      </c>
      <c r="B12" s="509">
        <v>10400</v>
      </c>
      <c r="C12" s="509">
        <v>6660</v>
      </c>
      <c r="D12" s="508" t="s">
        <v>1963</v>
      </c>
      <c r="E12" s="510">
        <v>570</v>
      </c>
      <c r="F12" s="510">
        <v>570</v>
      </c>
      <c r="G12" s="510">
        <v>0</v>
      </c>
      <c r="H12" s="511">
        <v>0</v>
      </c>
    </row>
    <row r="13" spans="1:8" x14ac:dyDescent="0.25">
      <c r="A13" s="173" t="s">
        <v>362</v>
      </c>
      <c r="B13" s="509">
        <v>10400</v>
      </c>
      <c r="C13" s="509">
        <v>6661</v>
      </c>
      <c r="D13" s="508" t="s">
        <v>1964</v>
      </c>
      <c r="E13" s="510">
        <v>682</v>
      </c>
      <c r="F13" s="510">
        <v>682</v>
      </c>
      <c r="G13" s="510">
        <v>0</v>
      </c>
      <c r="H13" s="511">
        <v>0</v>
      </c>
    </row>
    <row r="14" spans="1:8" x14ac:dyDescent="0.25">
      <c r="A14" s="173" t="s">
        <v>362</v>
      </c>
      <c r="B14" s="509">
        <v>10400</v>
      </c>
      <c r="C14" s="509">
        <v>9800</v>
      </c>
      <c r="D14" s="508" t="s">
        <v>1965</v>
      </c>
      <c r="E14" s="510">
        <v>27680.7</v>
      </c>
      <c r="F14" s="510">
        <v>27820.7</v>
      </c>
      <c r="G14" s="510">
        <v>-140</v>
      </c>
      <c r="H14" s="511">
        <v>-0.50322242071551038</v>
      </c>
    </row>
    <row r="15" spans="1:8" x14ac:dyDescent="0.25">
      <c r="A15" s="173" t="s">
        <v>362</v>
      </c>
      <c r="B15" s="509">
        <v>10470</v>
      </c>
      <c r="C15" s="509">
        <v>0</v>
      </c>
      <c r="D15" s="508" t="s">
        <v>1966</v>
      </c>
      <c r="E15" s="510">
        <v>253.04</v>
      </c>
      <c r="F15" s="510">
        <v>253.04</v>
      </c>
      <c r="G15" s="510">
        <v>0</v>
      </c>
      <c r="H15" s="511">
        <v>0</v>
      </c>
    </row>
    <row r="16" spans="1:8" x14ac:dyDescent="0.25">
      <c r="A16" s="173" t="s">
        <v>362</v>
      </c>
      <c r="B16" s="509">
        <v>10501</v>
      </c>
      <c r="C16" s="509">
        <v>0</v>
      </c>
      <c r="D16" s="508" t="s">
        <v>1967</v>
      </c>
      <c r="E16" s="510">
        <v>35796162.479999997</v>
      </c>
      <c r="F16" s="510">
        <v>12582623.59</v>
      </c>
      <c r="G16" s="510">
        <v>23213538.890000001</v>
      </c>
      <c r="H16" s="511">
        <v>184.48886056202846</v>
      </c>
    </row>
    <row r="17" spans="1:8" x14ac:dyDescent="0.25">
      <c r="A17" s="173" t="s">
        <v>362</v>
      </c>
      <c r="B17" s="509">
        <v>10999</v>
      </c>
      <c r="C17" s="509">
        <v>0</v>
      </c>
      <c r="D17" s="508" t="s">
        <v>1968</v>
      </c>
      <c r="E17" s="510">
        <v>-10.71</v>
      </c>
      <c r="F17" s="510">
        <v>0</v>
      </c>
      <c r="G17" s="510">
        <v>-10.71</v>
      </c>
      <c r="H17" s="511">
        <v>100</v>
      </c>
    </row>
    <row r="18" spans="1:8" x14ac:dyDescent="0.25">
      <c r="A18" s="194"/>
      <c r="B18" s="508" t="s">
        <v>1969</v>
      </c>
      <c r="C18" s="508"/>
      <c r="D18" s="508"/>
      <c r="E18" s="510">
        <v>68511822.879999995</v>
      </c>
      <c r="F18" s="510">
        <v>49592699.740000002</v>
      </c>
      <c r="G18" s="510">
        <v>18919123.140000001</v>
      </c>
      <c r="H18" s="511">
        <v>38.149008299986534</v>
      </c>
    </row>
    <row r="19" spans="1:8" x14ac:dyDescent="0.25">
      <c r="B19" s="508" t="s">
        <v>1970</v>
      </c>
      <c r="C19" s="508" t="s">
        <v>1971</v>
      </c>
      <c r="D19" s="508"/>
      <c r="E19" s="508"/>
      <c r="F19" s="508"/>
      <c r="G19" s="508"/>
      <c r="H19" s="508"/>
    </row>
    <row r="20" spans="1:8" x14ac:dyDescent="0.25">
      <c r="A20" s="173" t="s">
        <v>364</v>
      </c>
      <c r="B20" s="509">
        <v>11000</v>
      </c>
      <c r="C20" s="509">
        <v>2610</v>
      </c>
      <c r="D20" s="508" t="s">
        <v>1972</v>
      </c>
      <c r="E20" s="510">
        <v>692209.98</v>
      </c>
      <c r="F20" s="510">
        <v>868698.09</v>
      </c>
      <c r="G20" s="510">
        <v>-176488.11</v>
      </c>
      <c r="H20" s="511">
        <v>-20.316392085079869</v>
      </c>
    </row>
    <row r="21" spans="1:8" x14ac:dyDescent="0.25">
      <c r="A21" s="173" t="s">
        <v>364</v>
      </c>
      <c r="B21" s="509">
        <v>11000</v>
      </c>
      <c r="C21" s="509">
        <v>9800</v>
      </c>
      <c r="D21" s="508" t="s">
        <v>1973</v>
      </c>
      <c r="E21" s="510">
        <v>512226518.68000001</v>
      </c>
      <c r="F21" s="510">
        <v>476424738.41000003</v>
      </c>
      <c r="G21" s="510">
        <v>35801780.270000003</v>
      </c>
      <c r="H21" s="511">
        <v>7.514677006379511</v>
      </c>
    </row>
    <row r="22" spans="1:8" x14ac:dyDescent="0.25">
      <c r="A22" s="173" t="s">
        <v>364</v>
      </c>
      <c r="B22" s="509">
        <v>11000</v>
      </c>
      <c r="C22" s="509">
        <v>9801</v>
      </c>
      <c r="D22" s="508" t="s">
        <v>1974</v>
      </c>
      <c r="E22" s="510">
        <v>-1821.29</v>
      </c>
      <c r="F22" s="510">
        <v>-2060.8000000000002</v>
      </c>
      <c r="G22" s="510">
        <v>239.51</v>
      </c>
      <c r="H22" s="511">
        <v>-11.622185559006212</v>
      </c>
    </row>
    <row r="23" spans="1:8" x14ac:dyDescent="0.25">
      <c r="A23" s="173" t="s">
        <v>364</v>
      </c>
      <c r="B23" s="509">
        <v>11020</v>
      </c>
      <c r="C23" s="509">
        <v>0</v>
      </c>
      <c r="D23" s="508" t="s">
        <v>1975</v>
      </c>
      <c r="E23" s="510">
        <v>130419.98</v>
      </c>
      <c r="F23" s="510">
        <v>63498.35</v>
      </c>
      <c r="G23" s="510">
        <v>66921.63</v>
      </c>
      <c r="H23" s="511">
        <v>105.39113221052202</v>
      </c>
    </row>
    <row r="24" spans="1:8" x14ac:dyDescent="0.25">
      <c r="A24" s="173" t="s">
        <v>364</v>
      </c>
      <c r="B24" s="509">
        <v>11200</v>
      </c>
      <c r="C24" s="509">
        <v>0</v>
      </c>
      <c r="D24" s="508" t="s">
        <v>1976</v>
      </c>
      <c r="E24" s="510">
        <v>7505576.5700000003</v>
      </c>
      <c r="F24" s="510">
        <v>9877537.9600000009</v>
      </c>
      <c r="G24" s="510">
        <v>-2371961.39</v>
      </c>
      <c r="H24" s="511">
        <v>-24.013690452068889</v>
      </c>
    </row>
    <row r="25" spans="1:8" x14ac:dyDescent="0.25">
      <c r="A25" s="173" t="s">
        <v>364</v>
      </c>
      <c r="B25" s="509">
        <v>11410</v>
      </c>
      <c r="C25" s="509">
        <v>9800</v>
      </c>
      <c r="D25" s="508" t="s">
        <v>1977</v>
      </c>
      <c r="E25" s="510">
        <v>-910461.06</v>
      </c>
      <c r="F25" s="510">
        <v>-775736.46</v>
      </c>
      <c r="G25" s="510">
        <v>-134724.6</v>
      </c>
      <c r="H25" s="511">
        <v>17.367315698942395</v>
      </c>
    </row>
    <row r="26" spans="1:8" x14ac:dyDescent="0.25">
      <c r="A26" s="173" t="s">
        <v>364</v>
      </c>
      <c r="B26" s="509">
        <v>11414</v>
      </c>
      <c r="C26" s="509">
        <v>9800</v>
      </c>
      <c r="D26" s="508" t="s">
        <v>1978</v>
      </c>
      <c r="E26" s="510">
        <v>-628363.76</v>
      </c>
      <c r="F26" s="510">
        <v>-289047.98</v>
      </c>
      <c r="G26" s="510">
        <v>-339315.78</v>
      </c>
      <c r="H26" s="511">
        <v>117.39081518576951</v>
      </c>
    </row>
    <row r="27" spans="1:8" x14ac:dyDescent="0.25">
      <c r="A27" s="173" t="s">
        <v>364</v>
      </c>
      <c r="B27" s="509">
        <v>11499</v>
      </c>
      <c r="C27" s="509">
        <v>0</v>
      </c>
      <c r="D27" s="508" t="s">
        <v>1979</v>
      </c>
      <c r="E27" s="510">
        <v>7558300</v>
      </c>
      <c r="F27" s="510">
        <v>2195100</v>
      </c>
      <c r="G27" s="510">
        <v>5363200</v>
      </c>
      <c r="H27" s="511">
        <v>244.32599881554373</v>
      </c>
    </row>
    <row r="28" spans="1:8" x14ac:dyDescent="0.25">
      <c r="B28" s="508" t="s">
        <v>1980</v>
      </c>
      <c r="C28" s="508"/>
      <c r="D28" s="508"/>
      <c r="E28" s="510">
        <v>526572379.10000002</v>
      </c>
      <c r="F28" s="510">
        <v>488362727.56999999</v>
      </c>
      <c r="G28" s="510">
        <v>38209651.530000001</v>
      </c>
      <c r="H28" s="511">
        <v>7.8240310680800622</v>
      </c>
    </row>
    <row r="29" spans="1:8" x14ac:dyDescent="0.25">
      <c r="B29" s="508" t="s">
        <v>1981</v>
      </c>
      <c r="C29" s="508" t="s">
        <v>1982</v>
      </c>
      <c r="D29" s="508"/>
      <c r="E29" s="508"/>
      <c r="F29" s="508"/>
      <c r="G29" s="508"/>
      <c r="H29" s="508"/>
    </row>
    <row r="30" spans="1:8" x14ac:dyDescent="0.25">
      <c r="A30" s="173" t="s">
        <v>365</v>
      </c>
      <c r="B30" s="509">
        <v>11600</v>
      </c>
      <c r="C30" s="509">
        <v>9800</v>
      </c>
      <c r="D30" s="508" t="s">
        <v>1983</v>
      </c>
      <c r="E30" s="510">
        <v>-2093800</v>
      </c>
      <c r="F30" s="510">
        <v>-1903700</v>
      </c>
      <c r="G30" s="510">
        <v>-190100</v>
      </c>
      <c r="H30" s="511">
        <v>9.9858170930293646</v>
      </c>
    </row>
    <row r="31" spans="1:8" x14ac:dyDescent="0.25">
      <c r="A31" s="173" t="s">
        <v>365</v>
      </c>
      <c r="B31" s="509">
        <v>11620</v>
      </c>
      <c r="C31" s="509">
        <v>2610</v>
      </c>
      <c r="D31" s="508" t="s">
        <v>1984</v>
      </c>
      <c r="E31" s="510">
        <v>-127495.61</v>
      </c>
      <c r="F31" s="510">
        <v>-127495.61</v>
      </c>
      <c r="G31" s="510">
        <v>0</v>
      </c>
      <c r="H31" s="511">
        <v>0</v>
      </c>
    </row>
    <row r="32" spans="1:8" x14ac:dyDescent="0.25">
      <c r="A32" s="173" t="s">
        <v>365</v>
      </c>
      <c r="B32" s="509">
        <v>11630</v>
      </c>
      <c r="C32" s="509">
        <v>9800</v>
      </c>
      <c r="D32" s="508" t="s">
        <v>1985</v>
      </c>
      <c r="E32" s="510">
        <v>-156775300</v>
      </c>
      <c r="F32" s="510">
        <v>-156569700</v>
      </c>
      <c r="G32" s="510">
        <v>-205600</v>
      </c>
      <c r="H32" s="511">
        <v>0.13131531835342342</v>
      </c>
    </row>
    <row r="33" spans="1:8" x14ac:dyDescent="0.25">
      <c r="A33" s="173" t="s">
        <v>365</v>
      </c>
      <c r="B33" s="509">
        <v>11634</v>
      </c>
      <c r="C33" s="509">
        <v>0</v>
      </c>
      <c r="D33" s="508" t="s">
        <v>1986</v>
      </c>
      <c r="E33" s="510">
        <v>-7518500</v>
      </c>
      <c r="F33" s="510">
        <v>-3692900</v>
      </c>
      <c r="G33" s="510">
        <v>-3825600</v>
      </c>
      <c r="H33" s="511">
        <v>103.59338189498767</v>
      </c>
    </row>
    <row r="34" spans="1:8" x14ac:dyDescent="0.25">
      <c r="A34" s="173" t="s">
        <v>365</v>
      </c>
      <c r="B34" s="509">
        <v>11636</v>
      </c>
      <c r="C34" s="509">
        <v>0</v>
      </c>
      <c r="D34" s="508" t="s">
        <v>1987</v>
      </c>
      <c r="E34" s="510">
        <v>-18269700.390000001</v>
      </c>
      <c r="F34" s="510">
        <v>-17092900</v>
      </c>
      <c r="G34" s="510">
        <v>-1176800.3899999999</v>
      </c>
      <c r="H34" s="511">
        <v>6.8847321987491883</v>
      </c>
    </row>
    <row r="35" spans="1:8" x14ac:dyDescent="0.25">
      <c r="A35" s="173" t="s">
        <v>365</v>
      </c>
      <c r="B35" s="509">
        <v>11650</v>
      </c>
      <c r="C35" s="509">
        <v>9800</v>
      </c>
      <c r="D35" s="508" t="s">
        <v>1988</v>
      </c>
      <c r="E35" s="510">
        <v>-65759400</v>
      </c>
      <c r="F35" s="510">
        <v>-51820400</v>
      </c>
      <c r="G35" s="510">
        <v>-13939000</v>
      </c>
      <c r="H35" s="511">
        <v>26.898673109431812</v>
      </c>
    </row>
    <row r="36" spans="1:8" x14ac:dyDescent="0.25">
      <c r="A36" s="173" t="s">
        <v>365</v>
      </c>
      <c r="B36" s="509">
        <v>11690</v>
      </c>
      <c r="C36" s="509">
        <v>9800</v>
      </c>
      <c r="D36" s="508" t="s">
        <v>1989</v>
      </c>
      <c r="E36" s="510">
        <v>-5248900</v>
      </c>
      <c r="F36" s="510">
        <v>-5185700</v>
      </c>
      <c r="G36" s="510">
        <v>-63200</v>
      </c>
      <c r="H36" s="511">
        <v>1.21873613976898</v>
      </c>
    </row>
    <row r="37" spans="1:8" x14ac:dyDescent="0.25">
      <c r="B37" s="508" t="s">
        <v>1990</v>
      </c>
      <c r="C37" s="508"/>
      <c r="D37" s="508"/>
      <c r="E37" s="510">
        <v>-255793096</v>
      </c>
      <c r="F37" s="510">
        <v>-236392795.61000001</v>
      </c>
      <c r="G37" s="510">
        <v>-19400300.390000001</v>
      </c>
      <c r="H37" s="511">
        <v>8.2068069544752742</v>
      </c>
    </row>
    <row r="38" spans="1:8" x14ac:dyDescent="0.25">
      <c r="B38" s="508" t="s">
        <v>1991</v>
      </c>
      <c r="C38" s="508"/>
      <c r="D38" s="508"/>
      <c r="E38" s="510">
        <v>270779283.10000002</v>
      </c>
      <c r="F38" s="510">
        <v>251969931.96000001</v>
      </c>
      <c r="G38" s="510">
        <v>18809351.140000001</v>
      </c>
      <c r="H38" s="508"/>
    </row>
    <row r="39" spans="1:8" x14ac:dyDescent="0.25">
      <c r="A39" s="173" t="s">
        <v>366</v>
      </c>
      <c r="B39" s="509">
        <v>11800</v>
      </c>
      <c r="C39" s="509">
        <v>6</v>
      </c>
      <c r="D39" s="508" t="s">
        <v>1992</v>
      </c>
      <c r="E39" s="510">
        <v>191857383.47</v>
      </c>
      <c r="F39" s="510">
        <v>191290364.18000001</v>
      </c>
      <c r="G39" s="510">
        <v>567019.29</v>
      </c>
      <c r="H39" s="511">
        <v>0.29641811412228136</v>
      </c>
    </row>
    <row r="40" spans="1:8" x14ac:dyDescent="0.25">
      <c r="A40" s="173" t="s">
        <v>366</v>
      </c>
      <c r="B40" s="509">
        <v>11897</v>
      </c>
      <c r="C40" s="509">
        <v>0</v>
      </c>
      <c r="D40" s="508" t="s">
        <v>1993</v>
      </c>
      <c r="E40" s="510">
        <v>22351820.780000001</v>
      </c>
      <c r="F40" s="510">
        <v>19766205.539999999</v>
      </c>
      <c r="G40" s="510">
        <v>2585615.2400000002</v>
      </c>
      <c r="H40" s="511">
        <v>13.080989341973625</v>
      </c>
    </row>
    <row r="41" spans="1:8" x14ac:dyDescent="0.25">
      <c r="A41" s="173" t="s">
        <v>366</v>
      </c>
      <c r="B41" s="509">
        <v>11899</v>
      </c>
      <c r="C41" s="509">
        <v>0</v>
      </c>
      <c r="D41" s="508" t="s">
        <v>1994</v>
      </c>
      <c r="E41" s="510">
        <v>-214209204.25</v>
      </c>
      <c r="F41" s="510">
        <v>-211056569.72</v>
      </c>
      <c r="G41" s="510">
        <v>-3152634.53</v>
      </c>
      <c r="H41" s="511">
        <v>1.4937391118326568</v>
      </c>
    </row>
    <row r="42" spans="1:8" x14ac:dyDescent="0.25">
      <c r="B42" s="508" t="s">
        <v>1995</v>
      </c>
      <c r="C42" s="508" t="s">
        <v>1996</v>
      </c>
      <c r="D42" s="508"/>
      <c r="E42" s="508"/>
      <c r="F42" s="508"/>
      <c r="G42" s="508"/>
      <c r="H42" s="508"/>
    </row>
    <row r="43" spans="1:8" x14ac:dyDescent="0.25">
      <c r="A43" s="173" t="s">
        <v>366</v>
      </c>
      <c r="B43" s="509">
        <v>12000</v>
      </c>
      <c r="C43" s="509">
        <v>0</v>
      </c>
      <c r="D43" s="508" t="s">
        <v>1997</v>
      </c>
      <c r="E43" s="510">
        <v>17509411.149999999</v>
      </c>
      <c r="F43" s="510">
        <v>16895893.73</v>
      </c>
      <c r="G43" s="510">
        <v>613517.42000000004</v>
      </c>
      <c r="H43" s="511">
        <v>3.6311628719033142</v>
      </c>
    </row>
    <row r="44" spans="1:8" x14ac:dyDescent="0.25">
      <c r="A44" s="173" t="s">
        <v>366</v>
      </c>
      <c r="B44" s="509">
        <v>12000</v>
      </c>
      <c r="C44" s="509">
        <v>1</v>
      </c>
      <c r="D44" s="508" t="s">
        <v>1998</v>
      </c>
      <c r="E44" s="510">
        <v>-64213.4</v>
      </c>
      <c r="F44" s="510">
        <v>-64213.4</v>
      </c>
      <c r="G44" s="510">
        <v>0</v>
      </c>
      <c r="H44" s="511">
        <v>0</v>
      </c>
    </row>
    <row r="45" spans="1:8" x14ac:dyDescent="0.25">
      <c r="A45" s="173" t="s">
        <v>366</v>
      </c>
      <c r="B45" s="509">
        <v>12000</v>
      </c>
      <c r="C45" s="509">
        <v>1000</v>
      </c>
      <c r="D45" s="508" t="s">
        <v>1999</v>
      </c>
      <c r="E45" s="510">
        <v>-913011.6</v>
      </c>
      <c r="F45" s="510">
        <v>0</v>
      </c>
      <c r="G45" s="510">
        <v>-913011.6</v>
      </c>
      <c r="H45" s="511">
        <v>100</v>
      </c>
    </row>
    <row r="46" spans="1:8" x14ac:dyDescent="0.25">
      <c r="A46" s="173" t="s">
        <v>366</v>
      </c>
      <c r="B46" s="509">
        <v>12100</v>
      </c>
      <c r="C46" s="509">
        <v>0</v>
      </c>
      <c r="D46" s="508" t="s">
        <v>2000</v>
      </c>
      <c r="E46" s="510">
        <v>38557658.579999998</v>
      </c>
      <c r="F46" s="510">
        <v>29954884.370000001</v>
      </c>
      <c r="G46" s="510">
        <v>8602774.2100000009</v>
      </c>
      <c r="H46" s="511">
        <v>28.719103381402903</v>
      </c>
    </row>
    <row r="47" spans="1:8" x14ac:dyDescent="0.25">
      <c r="A47" s="173" t="s">
        <v>366</v>
      </c>
      <c r="B47" s="509">
        <v>12110</v>
      </c>
      <c r="C47" s="509">
        <v>0</v>
      </c>
      <c r="D47" s="508" t="s">
        <v>2001</v>
      </c>
      <c r="E47" s="510">
        <v>62194.34</v>
      </c>
      <c r="F47" s="510">
        <v>58000</v>
      </c>
      <c r="G47" s="510">
        <v>4194.34</v>
      </c>
      <c r="H47" s="511">
        <v>7.2316206896551725</v>
      </c>
    </row>
    <row r="48" spans="1:8" x14ac:dyDescent="0.25">
      <c r="A48" s="173" t="s">
        <v>366</v>
      </c>
      <c r="B48" s="509">
        <v>12500</v>
      </c>
      <c r="C48" s="509">
        <v>0</v>
      </c>
      <c r="D48" s="508" t="s">
        <v>2002</v>
      </c>
      <c r="E48" s="510">
        <v>2959882.34</v>
      </c>
      <c r="F48" s="510">
        <v>2690820.96</v>
      </c>
      <c r="G48" s="510">
        <v>269061.38</v>
      </c>
      <c r="H48" s="511">
        <v>9.9992301234341507</v>
      </c>
    </row>
    <row r="49" spans="1:8" x14ac:dyDescent="0.25">
      <c r="A49" s="173" t="s">
        <v>366</v>
      </c>
      <c r="B49" s="509">
        <v>12800</v>
      </c>
      <c r="C49" s="509">
        <v>0</v>
      </c>
      <c r="D49" s="508" t="s">
        <v>2003</v>
      </c>
      <c r="E49" s="510">
        <v>18246308.050000001</v>
      </c>
      <c r="F49" s="510">
        <v>54994109.25</v>
      </c>
      <c r="G49" s="510">
        <v>-36747801.200000003</v>
      </c>
      <c r="H49" s="511">
        <v>-66.821340869340474</v>
      </c>
    </row>
    <row r="50" spans="1:8" x14ac:dyDescent="0.25">
      <c r="A50" s="173" t="s">
        <v>366</v>
      </c>
      <c r="B50" s="509">
        <v>12810</v>
      </c>
      <c r="C50" s="509">
        <v>0</v>
      </c>
      <c r="D50" s="508" t="s">
        <v>2004</v>
      </c>
      <c r="E50" s="510">
        <v>725920.92</v>
      </c>
      <c r="F50" s="510">
        <v>733227.96</v>
      </c>
      <c r="G50" s="510">
        <v>-7307.04</v>
      </c>
      <c r="H50" s="511">
        <v>-0.99655774174241796</v>
      </c>
    </row>
    <row r="51" spans="1:8" x14ac:dyDescent="0.25">
      <c r="A51" s="173" t="s">
        <v>366</v>
      </c>
      <c r="B51" s="509">
        <v>12820</v>
      </c>
      <c r="C51" s="509">
        <v>0</v>
      </c>
      <c r="D51" s="508" t="s">
        <v>364</v>
      </c>
      <c r="E51" s="510">
        <v>2613460.5</v>
      </c>
      <c r="F51" s="510">
        <v>25815</v>
      </c>
      <c r="G51" s="510">
        <v>2587645.5</v>
      </c>
      <c r="H51" s="511">
        <v>10023.805926786752</v>
      </c>
    </row>
    <row r="52" spans="1:8" x14ac:dyDescent="0.25">
      <c r="A52" s="173" t="s">
        <v>366</v>
      </c>
      <c r="B52" s="509">
        <v>12820</v>
      </c>
      <c r="C52" s="509">
        <v>3</v>
      </c>
      <c r="D52" s="508" t="s">
        <v>2005</v>
      </c>
      <c r="E52" s="510">
        <v>2083180.85</v>
      </c>
      <c r="F52" s="510">
        <v>3755956.84</v>
      </c>
      <c r="G52" s="510">
        <v>-1672775.99</v>
      </c>
      <c r="H52" s="511">
        <v>-44.53661373808545</v>
      </c>
    </row>
    <row r="53" spans="1:8" x14ac:dyDescent="0.25">
      <c r="A53" s="173" t="s">
        <v>366</v>
      </c>
      <c r="B53" s="509">
        <v>12820</v>
      </c>
      <c r="C53" s="509">
        <v>6660</v>
      </c>
      <c r="D53" s="508" t="s">
        <v>2006</v>
      </c>
      <c r="E53" s="510">
        <v>1430.78</v>
      </c>
      <c r="F53" s="510">
        <v>1666.26</v>
      </c>
      <c r="G53" s="510">
        <v>-235.48</v>
      </c>
      <c r="H53" s="511">
        <v>-14.132248268577532</v>
      </c>
    </row>
    <row r="54" spans="1:8" x14ac:dyDescent="0.25">
      <c r="A54" s="173" t="s">
        <v>366</v>
      </c>
      <c r="B54" s="509">
        <v>12823</v>
      </c>
      <c r="C54" s="509">
        <v>0</v>
      </c>
      <c r="D54" s="508" t="s">
        <v>2007</v>
      </c>
      <c r="E54" s="510">
        <v>2962055</v>
      </c>
      <c r="F54" s="510">
        <v>222147</v>
      </c>
      <c r="G54" s="510">
        <v>2739908</v>
      </c>
      <c r="H54" s="511">
        <v>1233.3760978091084</v>
      </c>
    </row>
    <row r="55" spans="1:8" x14ac:dyDescent="0.25">
      <c r="A55" s="173" t="s">
        <v>366</v>
      </c>
      <c r="B55" s="509">
        <v>12823</v>
      </c>
      <c r="C55" s="509">
        <v>1</v>
      </c>
      <c r="D55" s="508" t="s">
        <v>2008</v>
      </c>
      <c r="E55" s="510">
        <v>-367346</v>
      </c>
      <c r="F55" s="510">
        <v>359033</v>
      </c>
      <c r="G55" s="510">
        <v>-726379</v>
      </c>
      <c r="H55" s="511">
        <v>-202.31538605086445</v>
      </c>
    </row>
    <row r="56" spans="1:8" x14ac:dyDescent="0.25">
      <c r="A56" s="173" t="s">
        <v>366</v>
      </c>
      <c r="B56" s="509">
        <v>12830</v>
      </c>
      <c r="C56" s="509">
        <v>0</v>
      </c>
      <c r="D56" s="508" t="s">
        <v>2009</v>
      </c>
      <c r="E56" s="510">
        <v>0</v>
      </c>
      <c r="F56" s="510">
        <v>12000</v>
      </c>
      <c r="G56" s="510">
        <v>-12000</v>
      </c>
      <c r="H56" s="511">
        <v>-100</v>
      </c>
    </row>
    <row r="57" spans="1:8" x14ac:dyDescent="0.25">
      <c r="A57" s="173" t="s">
        <v>366</v>
      </c>
      <c r="B57" s="509">
        <v>12830</v>
      </c>
      <c r="C57" s="509">
        <v>10</v>
      </c>
      <c r="D57" s="508" t="s">
        <v>2010</v>
      </c>
      <c r="E57" s="510">
        <v>-298920</v>
      </c>
      <c r="F57" s="510">
        <v>34248</v>
      </c>
      <c r="G57" s="510">
        <v>-333168</v>
      </c>
      <c r="H57" s="511">
        <v>-972.81009110021012</v>
      </c>
    </row>
    <row r="58" spans="1:8" x14ac:dyDescent="0.25">
      <c r="A58" s="173" t="s">
        <v>366</v>
      </c>
      <c r="B58" s="509">
        <v>12830</v>
      </c>
      <c r="C58" s="509">
        <v>17</v>
      </c>
      <c r="D58" s="508" t="s">
        <v>2011</v>
      </c>
      <c r="E58" s="510">
        <v>71425.899999999994</v>
      </c>
      <c r="F58" s="510">
        <v>40218.31</v>
      </c>
      <c r="G58" s="510">
        <v>31207.59</v>
      </c>
      <c r="H58" s="511">
        <v>77.595478278425915</v>
      </c>
    </row>
    <row r="59" spans="1:8" x14ac:dyDescent="0.25">
      <c r="A59" s="173" t="s">
        <v>366</v>
      </c>
      <c r="B59" s="509">
        <v>12916</v>
      </c>
      <c r="C59" s="509">
        <v>0</v>
      </c>
      <c r="D59" s="508" t="s">
        <v>2012</v>
      </c>
      <c r="E59" s="510">
        <v>-17101.23</v>
      </c>
      <c r="F59" s="510">
        <v>-4501.2299999999996</v>
      </c>
      <c r="G59" s="510">
        <v>-12600</v>
      </c>
      <c r="H59" s="511">
        <v>279.92348758006148</v>
      </c>
    </row>
    <row r="60" spans="1:8" x14ac:dyDescent="0.25">
      <c r="B60" s="508" t="s">
        <v>2013</v>
      </c>
      <c r="C60" s="508"/>
      <c r="D60" s="508"/>
      <c r="E60" s="510">
        <v>84132336.180000007</v>
      </c>
      <c r="F60" s="510">
        <v>109709306.05</v>
      </c>
      <c r="G60" s="510">
        <v>-25576969.870000001</v>
      </c>
      <c r="H60" s="511">
        <v>-23.313400467908622</v>
      </c>
    </row>
    <row r="61" spans="1:8" x14ac:dyDescent="0.25">
      <c r="B61" s="508" t="s">
        <v>2014</v>
      </c>
      <c r="C61" s="508" t="s">
        <v>2015</v>
      </c>
      <c r="D61" s="508"/>
      <c r="E61" s="508"/>
      <c r="F61" s="508"/>
      <c r="G61" s="508"/>
      <c r="H61" s="508"/>
    </row>
    <row r="62" spans="1:8" x14ac:dyDescent="0.25">
      <c r="A62" s="173" t="s">
        <v>368</v>
      </c>
      <c r="B62" s="509">
        <v>13000</v>
      </c>
      <c r="C62" s="509">
        <v>6661</v>
      </c>
      <c r="D62" s="508" t="s">
        <v>2016</v>
      </c>
      <c r="E62" s="510">
        <v>72292</v>
      </c>
      <c r="F62" s="510">
        <v>70763</v>
      </c>
      <c r="G62" s="510">
        <v>1529</v>
      </c>
      <c r="H62" s="511">
        <v>2.1607337167728899</v>
      </c>
    </row>
    <row r="63" spans="1:8" x14ac:dyDescent="0.25">
      <c r="A63" s="173" t="s">
        <v>368</v>
      </c>
      <c r="B63" s="509">
        <v>13001</v>
      </c>
      <c r="C63" s="509">
        <v>1</v>
      </c>
      <c r="D63" s="508" t="s">
        <v>2017</v>
      </c>
      <c r="E63" s="510">
        <v>843990.12</v>
      </c>
      <c r="F63" s="510">
        <v>749676.88</v>
      </c>
      <c r="G63" s="510">
        <v>94313.24</v>
      </c>
      <c r="H63" s="511">
        <v>12.580518689598646</v>
      </c>
    </row>
    <row r="64" spans="1:8" x14ac:dyDescent="0.25">
      <c r="A64" s="173" t="s">
        <v>368</v>
      </c>
      <c r="B64" s="509">
        <v>13002</v>
      </c>
      <c r="C64" s="509">
        <v>0</v>
      </c>
      <c r="D64" s="508" t="s">
        <v>2018</v>
      </c>
      <c r="E64" s="510">
        <v>1041891.08</v>
      </c>
      <c r="F64" s="510">
        <v>695768</v>
      </c>
      <c r="G64" s="510">
        <v>346123.08</v>
      </c>
      <c r="H64" s="511">
        <v>49.746909889503407</v>
      </c>
    </row>
    <row r="65" spans="1:8" x14ac:dyDescent="0.25">
      <c r="A65" s="173" t="s">
        <v>368</v>
      </c>
      <c r="B65" s="509">
        <v>13030</v>
      </c>
      <c r="C65" s="509">
        <v>0</v>
      </c>
      <c r="D65" s="508" t="s">
        <v>2019</v>
      </c>
      <c r="E65" s="510">
        <v>3883827.29</v>
      </c>
      <c r="F65" s="510">
        <v>4470808.76</v>
      </c>
      <c r="G65" s="510">
        <v>-586981.47</v>
      </c>
      <c r="H65" s="511">
        <v>-13.129201035205988</v>
      </c>
    </row>
    <row r="66" spans="1:8" x14ac:dyDescent="0.25">
      <c r="A66" s="173" t="s">
        <v>368</v>
      </c>
      <c r="B66" s="509">
        <v>13030</v>
      </c>
      <c r="C66" s="509">
        <v>1</v>
      </c>
      <c r="D66" s="508" t="s">
        <v>2020</v>
      </c>
      <c r="E66" s="510">
        <v>3244868.76</v>
      </c>
      <c r="F66" s="510">
        <v>2474440.2000000002</v>
      </c>
      <c r="G66" s="510">
        <v>770428.56</v>
      </c>
      <c r="H66" s="511">
        <v>31.13546894364228</v>
      </c>
    </row>
    <row r="67" spans="1:8" x14ac:dyDescent="0.25">
      <c r="A67" s="173" t="s">
        <v>368</v>
      </c>
      <c r="B67" s="509">
        <v>13030</v>
      </c>
      <c r="C67" s="509">
        <v>2</v>
      </c>
      <c r="D67" s="508" t="s">
        <v>2021</v>
      </c>
      <c r="E67" s="510">
        <v>285290</v>
      </c>
      <c r="F67" s="510">
        <v>285290</v>
      </c>
      <c r="G67" s="510">
        <v>0</v>
      </c>
      <c r="H67" s="511">
        <v>0</v>
      </c>
    </row>
    <row r="68" spans="1:8" x14ac:dyDescent="0.25">
      <c r="A68" s="173" t="s">
        <v>368</v>
      </c>
      <c r="B68" s="509">
        <v>13033</v>
      </c>
      <c r="C68" s="509">
        <v>0</v>
      </c>
      <c r="D68" s="508" t="s">
        <v>2022</v>
      </c>
      <c r="E68" s="510">
        <v>1002081.24</v>
      </c>
      <c r="F68" s="510">
        <v>904569.45</v>
      </c>
      <c r="G68" s="510">
        <v>97511.79</v>
      </c>
      <c r="H68" s="511">
        <v>10.77991192384399</v>
      </c>
    </row>
    <row r="69" spans="1:8" x14ac:dyDescent="0.25">
      <c r="A69" s="173" t="s">
        <v>368</v>
      </c>
      <c r="B69" s="509">
        <v>13034</v>
      </c>
      <c r="C69" s="509">
        <v>400</v>
      </c>
      <c r="D69" s="508" t="s">
        <v>2023</v>
      </c>
      <c r="E69" s="510">
        <v>-5454.77</v>
      </c>
      <c r="F69" s="510">
        <v>-5481.6</v>
      </c>
      <c r="G69" s="510">
        <v>26.83</v>
      </c>
      <c r="H69" s="511">
        <v>-0.48945563339171039</v>
      </c>
    </row>
    <row r="70" spans="1:8" x14ac:dyDescent="0.25">
      <c r="A70" s="173" t="s">
        <v>368</v>
      </c>
      <c r="B70" s="509">
        <v>13037</v>
      </c>
      <c r="C70" s="509">
        <v>1</v>
      </c>
      <c r="D70" s="508" t="s">
        <v>2024</v>
      </c>
      <c r="E70" s="510">
        <v>162805.49</v>
      </c>
      <c r="F70" s="510">
        <v>163702.41</v>
      </c>
      <c r="G70" s="510">
        <v>-896.92</v>
      </c>
      <c r="H70" s="511">
        <v>-0.54789663756324669</v>
      </c>
    </row>
    <row r="71" spans="1:8" x14ac:dyDescent="0.25">
      <c r="A71" s="173" t="s">
        <v>368</v>
      </c>
      <c r="B71" s="509">
        <v>13037</v>
      </c>
      <c r="C71" s="509">
        <v>0</v>
      </c>
      <c r="D71" s="508" t="s">
        <v>2025</v>
      </c>
      <c r="E71" s="510">
        <v>1033815</v>
      </c>
      <c r="F71" s="510">
        <v>783743</v>
      </c>
      <c r="G71" s="510">
        <v>250072</v>
      </c>
      <c r="H71" s="511">
        <v>31.907398215996821</v>
      </c>
    </row>
    <row r="72" spans="1:8" x14ac:dyDescent="0.25">
      <c r="A72" s="173" t="s">
        <v>368</v>
      </c>
      <c r="B72" s="509">
        <v>13038</v>
      </c>
      <c r="C72" s="509">
        <v>0</v>
      </c>
      <c r="D72" s="508" t="s">
        <v>2026</v>
      </c>
      <c r="E72" s="510">
        <v>5764693.7199999997</v>
      </c>
      <c r="F72" s="510">
        <v>3707112</v>
      </c>
      <c r="G72" s="510">
        <v>2057581.72</v>
      </c>
      <c r="H72" s="511">
        <v>55.50362977973149</v>
      </c>
    </row>
    <row r="73" spans="1:8" x14ac:dyDescent="0.25">
      <c r="A73" s="173" t="s">
        <v>368</v>
      </c>
      <c r="B73" s="509">
        <v>13038</v>
      </c>
      <c r="C73" s="509">
        <v>1</v>
      </c>
      <c r="D73" s="508" t="s">
        <v>2027</v>
      </c>
      <c r="E73" s="510">
        <v>164109.35</v>
      </c>
      <c r="F73" s="510">
        <v>408027</v>
      </c>
      <c r="G73" s="510">
        <v>-243917.65</v>
      </c>
      <c r="H73" s="511">
        <v>-59.779781730130608</v>
      </c>
    </row>
    <row r="74" spans="1:8" x14ac:dyDescent="0.25">
      <c r="A74" s="173" t="s">
        <v>368</v>
      </c>
      <c r="B74" s="509">
        <v>13038</v>
      </c>
      <c r="C74" s="509">
        <v>2</v>
      </c>
      <c r="D74" s="508" t="s">
        <v>2028</v>
      </c>
      <c r="E74" s="510">
        <v>695844.44</v>
      </c>
      <c r="F74" s="510">
        <v>395397</v>
      </c>
      <c r="G74" s="510">
        <v>300447.44</v>
      </c>
      <c r="H74" s="511">
        <v>75.986272025331516</v>
      </c>
    </row>
    <row r="75" spans="1:8" x14ac:dyDescent="0.25">
      <c r="A75" s="173" t="s">
        <v>368</v>
      </c>
      <c r="B75" s="509">
        <v>13090</v>
      </c>
      <c r="C75" s="509">
        <v>0</v>
      </c>
      <c r="D75" s="508" t="s">
        <v>2029</v>
      </c>
      <c r="E75" s="510">
        <v>-960119.22</v>
      </c>
      <c r="F75" s="510">
        <v>-755190.81</v>
      </c>
      <c r="G75" s="510">
        <v>-204928.41</v>
      </c>
      <c r="H75" s="511">
        <v>27.135977727271339</v>
      </c>
    </row>
    <row r="76" spans="1:8" x14ac:dyDescent="0.25">
      <c r="A76" s="173" t="s">
        <v>368</v>
      </c>
      <c r="B76" s="509">
        <v>13099</v>
      </c>
      <c r="C76" s="509">
        <v>0</v>
      </c>
      <c r="D76" s="508" t="s">
        <v>2030</v>
      </c>
      <c r="E76" s="510">
        <v>1489629.41</v>
      </c>
      <c r="F76" s="510">
        <v>1457648.74</v>
      </c>
      <c r="G76" s="510">
        <v>31980.67</v>
      </c>
      <c r="H76" s="511">
        <v>2.1939901652849505</v>
      </c>
    </row>
    <row r="77" spans="1:8" x14ac:dyDescent="0.25">
      <c r="B77" s="508" t="s">
        <v>2031</v>
      </c>
      <c r="C77" s="508"/>
      <c r="D77" s="508"/>
      <c r="E77" s="510">
        <v>18719563.91</v>
      </c>
      <c r="F77" s="510">
        <v>15806274.029999999</v>
      </c>
      <c r="G77" s="510">
        <v>2913289.88</v>
      </c>
      <c r="H77" s="511">
        <v>18.431224679963364</v>
      </c>
    </row>
    <row r="78" spans="1:8" x14ac:dyDescent="0.25">
      <c r="B78" s="508" t="s">
        <v>2032</v>
      </c>
      <c r="C78" s="508" t="s">
        <v>2033</v>
      </c>
      <c r="D78" s="508"/>
      <c r="E78" s="508"/>
      <c r="F78" s="508"/>
      <c r="G78" s="508"/>
      <c r="H78" s="508"/>
    </row>
    <row r="79" spans="1:8" x14ac:dyDescent="0.25">
      <c r="A79" s="173" t="s">
        <v>369</v>
      </c>
      <c r="B79" s="509">
        <v>13500</v>
      </c>
      <c r="C79" s="509">
        <v>0</v>
      </c>
      <c r="D79" s="508" t="s">
        <v>2034</v>
      </c>
      <c r="E79" s="510">
        <v>5000</v>
      </c>
      <c r="F79" s="510">
        <v>5000</v>
      </c>
      <c r="G79" s="510">
        <v>0</v>
      </c>
      <c r="H79" s="511">
        <v>0</v>
      </c>
    </row>
    <row r="80" spans="1:8" x14ac:dyDescent="0.25">
      <c r="A80" s="173" t="s">
        <v>369</v>
      </c>
      <c r="B80" s="509">
        <v>13600</v>
      </c>
      <c r="C80" s="509">
        <v>0</v>
      </c>
      <c r="D80" s="508" t="s">
        <v>2035</v>
      </c>
      <c r="E80" s="510">
        <v>19033.259999999998</v>
      </c>
      <c r="F80" s="510">
        <v>49086.46</v>
      </c>
      <c r="G80" s="510">
        <v>-30053.200000000001</v>
      </c>
      <c r="H80" s="511">
        <v>-61.225030283300121</v>
      </c>
    </row>
    <row r="81" spans="1:8" x14ac:dyDescent="0.25">
      <c r="A81" s="173" t="s">
        <v>369</v>
      </c>
      <c r="B81" s="509">
        <v>13800</v>
      </c>
      <c r="C81" s="509">
        <v>0</v>
      </c>
      <c r="D81" s="508" t="s">
        <v>2036</v>
      </c>
      <c r="E81" s="510">
        <v>6110150.1600000001</v>
      </c>
      <c r="F81" s="510">
        <v>5824865.1900000004</v>
      </c>
      <c r="G81" s="510">
        <v>285284.96999999997</v>
      </c>
      <c r="H81" s="511">
        <v>4.8977094008934481</v>
      </c>
    </row>
    <row r="82" spans="1:8" x14ac:dyDescent="0.25">
      <c r="A82" s="173" t="s">
        <v>369</v>
      </c>
      <c r="B82" s="509">
        <v>13800</v>
      </c>
      <c r="C82" s="509">
        <v>1000</v>
      </c>
      <c r="D82" s="508" t="s">
        <v>2037</v>
      </c>
      <c r="E82" s="510">
        <v>0.01</v>
      </c>
      <c r="F82" s="510">
        <v>0</v>
      </c>
      <c r="G82" s="510">
        <v>0.01</v>
      </c>
      <c r="H82" s="511">
        <v>100</v>
      </c>
    </row>
    <row r="83" spans="1:8" x14ac:dyDescent="0.25">
      <c r="A83" s="173" t="s">
        <v>369</v>
      </c>
      <c r="B83" s="509">
        <v>13800</v>
      </c>
      <c r="C83" s="509">
        <v>9300</v>
      </c>
      <c r="D83" s="508" t="s">
        <v>2038</v>
      </c>
      <c r="E83" s="510">
        <v>259607.33</v>
      </c>
      <c r="F83" s="510">
        <v>0</v>
      </c>
      <c r="G83" s="510">
        <v>259607.33</v>
      </c>
      <c r="H83" s="511">
        <v>100</v>
      </c>
    </row>
    <row r="84" spans="1:8" x14ac:dyDescent="0.25">
      <c r="A84" s="173" t="s">
        <v>369</v>
      </c>
      <c r="B84" s="509">
        <v>13810</v>
      </c>
      <c r="C84" s="509">
        <v>0</v>
      </c>
      <c r="D84" s="508" t="s">
        <v>2039</v>
      </c>
      <c r="E84" s="510">
        <v>12836052.35</v>
      </c>
      <c r="F84" s="510">
        <v>11004928.939999999</v>
      </c>
      <c r="G84" s="510">
        <v>1831123.41</v>
      </c>
      <c r="H84" s="511">
        <v>16.63912070658041</v>
      </c>
    </row>
    <row r="85" spans="1:8" x14ac:dyDescent="0.25">
      <c r="A85" s="173" t="s">
        <v>369</v>
      </c>
      <c r="B85" s="509">
        <v>13810</v>
      </c>
      <c r="C85" s="509">
        <v>13</v>
      </c>
      <c r="D85" s="508" t="s">
        <v>2040</v>
      </c>
      <c r="E85" s="510">
        <v>1129333.19</v>
      </c>
      <c r="F85" s="510">
        <v>1347554.29</v>
      </c>
      <c r="G85" s="510">
        <v>-218221.1</v>
      </c>
      <c r="H85" s="511">
        <v>-16.193863328504559</v>
      </c>
    </row>
    <row r="86" spans="1:8" x14ac:dyDescent="0.25">
      <c r="A86" s="173" t="s">
        <v>369</v>
      </c>
      <c r="B86" s="509">
        <v>13830</v>
      </c>
      <c r="C86" s="509">
        <v>0</v>
      </c>
      <c r="D86" s="508" t="s">
        <v>2041</v>
      </c>
      <c r="E86" s="510">
        <v>2316255.0499999998</v>
      </c>
      <c r="F86" s="510">
        <v>1458478.54</v>
      </c>
      <c r="G86" s="510">
        <v>857776.51</v>
      </c>
      <c r="H86" s="511">
        <v>58.813104648080731</v>
      </c>
    </row>
    <row r="87" spans="1:8" x14ac:dyDescent="0.25">
      <c r="A87" s="173" t="s">
        <v>369</v>
      </c>
      <c r="B87" s="509">
        <v>13840</v>
      </c>
      <c r="C87" s="509">
        <v>0</v>
      </c>
      <c r="D87" s="508" t="s">
        <v>2042</v>
      </c>
      <c r="E87" s="510">
        <v>5681.24</v>
      </c>
      <c r="F87" s="510">
        <v>8076.85</v>
      </c>
      <c r="G87" s="510">
        <v>-2395.61</v>
      </c>
      <c r="H87" s="511">
        <v>-29.660201687539079</v>
      </c>
    </row>
    <row r="88" spans="1:8" x14ac:dyDescent="0.25">
      <c r="A88" s="173" t="s">
        <v>369</v>
      </c>
      <c r="B88" s="509">
        <v>13870</v>
      </c>
      <c r="C88" s="509">
        <v>0</v>
      </c>
      <c r="D88" s="508" t="s">
        <v>2043</v>
      </c>
      <c r="E88" s="510">
        <v>4606221.21</v>
      </c>
      <c r="F88" s="510">
        <v>3093110.62</v>
      </c>
      <c r="G88" s="510">
        <v>1513110.59</v>
      </c>
      <c r="H88" s="511">
        <v>48.918735082290723</v>
      </c>
    </row>
    <row r="89" spans="1:8" x14ac:dyDescent="0.25">
      <c r="B89" s="508" t="s">
        <v>2044</v>
      </c>
      <c r="C89" s="508"/>
      <c r="D89" s="508"/>
      <c r="E89" s="510">
        <v>27287333.800000001</v>
      </c>
      <c r="F89" s="510">
        <v>22791100.890000001</v>
      </c>
      <c r="G89" s="510">
        <v>4496232.91</v>
      </c>
      <c r="H89" s="511">
        <v>19.728019860474586</v>
      </c>
    </row>
    <row r="90" spans="1:8" x14ac:dyDescent="0.25">
      <c r="A90" s="194"/>
      <c r="B90" s="508" t="s">
        <v>2045</v>
      </c>
      <c r="C90" s="508" t="s">
        <v>2046</v>
      </c>
      <c r="D90" s="508"/>
      <c r="E90" s="508"/>
      <c r="F90" s="508"/>
      <c r="G90" s="508"/>
      <c r="H90" s="508"/>
    </row>
    <row r="91" spans="1:8" x14ac:dyDescent="0.25">
      <c r="A91" s="173" t="s">
        <v>370</v>
      </c>
      <c r="B91" s="509">
        <v>14099</v>
      </c>
      <c r="C91" s="509">
        <v>0</v>
      </c>
      <c r="D91" s="508" t="s">
        <v>2047</v>
      </c>
      <c r="E91" s="510">
        <v>24856082.969999999</v>
      </c>
      <c r="F91" s="510">
        <v>24570363.789999999</v>
      </c>
      <c r="G91" s="510">
        <v>285719.18</v>
      </c>
      <c r="H91" s="511">
        <v>1.1628610078467219</v>
      </c>
    </row>
    <row r="92" spans="1:8" x14ac:dyDescent="0.25">
      <c r="B92" s="508" t="s">
        <v>2048</v>
      </c>
      <c r="C92" s="508"/>
      <c r="D92" s="508"/>
      <c r="E92" s="510">
        <v>24856082.969999999</v>
      </c>
      <c r="F92" s="510">
        <v>24570363.789999999</v>
      </c>
      <c r="G92" s="510">
        <v>285719.18</v>
      </c>
      <c r="H92" s="511">
        <v>1.1628610078467219</v>
      </c>
    </row>
    <row r="93" spans="1:8" x14ac:dyDescent="0.25">
      <c r="B93" s="508" t="s">
        <v>2049</v>
      </c>
      <c r="C93" s="508" t="s">
        <v>2050</v>
      </c>
      <c r="D93" s="508"/>
      <c r="E93" s="508"/>
      <c r="F93" s="508"/>
      <c r="G93" s="508"/>
      <c r="H93" s="508"/>
    </row>
    <row r="94" spans="1:8" x14ac:dyDescent="0.25">
      <c r="A94" s="173" t="s">
        <v>363</v>
      </c>
      <c r="B94" s="509">
        <v>10502</v>
      </c>
      <c r="C94" s="509">
        <v>0</v>
      </c>
      <c r="D94" s="508" t="s">
        <v>2051</v>
      </c>
      <c r="E94" s="510">
        <v>0</v>
      </c>
      <c r="F94" s="510">
        <v>12738199.49</v>
      </c>
      <c r="G94" s="510">
        <v>-12738199.49</v>
      </c>
      <c r="H94" s="511">
        <v>-100</v>
      </c>
    </row>
    <row r="95" spans="1:8" x14ac:dyDescent="0.25">
      <c r="A95" s="173" t="s">
        <v>363</v>
      </c>
      <c r="B95" s="509">
        <v>15004</v>
      </c>
      <c r="C95" s="509">
        <v>1000</v>
      </c>
      <c r="D95" s="508" t="s">
        <v>2052</v>
      </c>
      <c r="E95" s="510">
        <v>139419429</v>
      </c>
      <c r="F95" s="510">
        <v>0</v>
      </c>
      <c r="G95" s="510">
        <v>139419429</v>
      </c>
      <c r="H95" s="511">
        <v>100</v>
      </c>
    </row>
    <row r="96" spans="1:8" x14ac:dyDescent="0.25">
      <c r="A96" s="173" t="s">
        <v>363</v>
      </c>
      <c r="B96" s="509">
        <v>15004</v>
      </c>
      <c r="C96" s="509">
        <v>4000</v>
      </c>
      <c r="D96" s="508" t="s">
        <v>2052</v>
      </c>
      <c r="E96" s="510">
        <v>1558137.69</v>
      </c>
      <c r="F96" s="510">
        <v>0</v>
      </c>
      <c r="G96" s="510">
        <v>1558137.69</v>
      </c>
      <c r="H96" s="511">
        <v>100</v>
      </c>
    </row>
    <row r="97" spans="1:8" x14ac:dyDescent="0.25">
      <c r="A97" s="173" t="s">
        <v>363</v>
      </c>
      <c r="B97" s="509">
        <v>15005</v>
      </c>
      <c r="C97" s="509">
        <v>1000</v>
      </c>
      <c r="D97" s="508" t="s">
        <v>2053</v>
      </c>
      <c r="E97" s="510">
        <v>235417886.88</v>
      </c>
      <c r="F97" s="510">
        <v>286434745.66000003</v>
      </c>
      <c r="G97" s="510">
        <v>-51016858.780000001</v>
      </c>
      <c r="H97" s="511">
        <v>-17.810988210402854</v>
      </c>
    </row>
    <row r="98" spans="1:8" x14ac:dyDescent="0.25">
      <c r="A98" s="173" t="s">
        <v>363</v>
      </c>
      <c r="B98" s="509">
        <v>15005</v>
      </c>
      <c r="C98" s="509">
        <v>4000</v>
      </c>
      <c r="D98" s="508" t="s">
        <v>2053</v>
      </c>
      <c r="E98" s="510">
        <v>1170524.43</v>
      </c>
      <c r="F98" s="510">
        <v>316612.7</v>
      </c>
      <c r="G98" s="510">
        <v>853911.73</v>
      </c>
      <c r="H98" s="511">
        <v>269.70229873912194</v>
      </c>
    </row>
    <row r="99" spans="1:8" x14ac:dyDescent="0.25">
      <c r="A99" s="173" t="s">
        <v>363</v>
      </c>
      <c r="B99" s="509">
        <v>15009</v>
      </c>
      <c r="C99" s="509">
        <v>4000</v>
      </c>
      <c r="D99" s="508" t="s">
        <v>2054</v>
      </c>
      <c r="E99" s="510">
        <v>1596183.96</v>
      </c>
      <c r="F99" s="510">
        <v>-1215397.8999999999</v>
      </c>
      <c r="G99" s="510">
        <v>2811581.86</v>
      </c>
      <c r="H99" s="511">
        <v>-231.33015615709061</v>
      </c>
    </row>
    <row r="100" spans="1:8" x14ac:dyDescent="0.25">
      <c r="A100" s="173" t="s">
        <v>363</v>
      </c>
      <c r="B100" s="509">
        <v>15009</v>
      </c>
      <c r="C100" s="509">
        <v>1000</v>
      </c>
      <c r="D100" s="508" t="s">
        <v>2054</v>
      </c>
      <c r="E100" s="510">
        <v>337079003.38</v>
      </c>
      <c r="F100" s="510">
        <v>416469191.18000001</v>
      </c>
      <c r="G100" s="510">
        <v>-79390187.799999997</v>
      </c>
      <c r="H100" s="511">
        <v>-19.062679660663584</v>
      </c>
    </row>
    <row r="101" spans="1:8" x14ac:dyDescent="0.25">
      <c r="A101" s="173" t="s">
        <v>363</v>
      </c>
      <c r="B101" s="509">
        <v>15010</v>
      </c>
      <c r="C101" s="509">
        <v>1000</v>
      </c>
      <c r="D101" s="508" t="s">
        <v>2055</v>
      </c>
      <c r="E101" s="510">
        <v>193758699.28999999</v>
      </c>
      <c r="F101" s="510">
        <v>192081087.18000001</v>
      </c>
      <c r="G101" s="510">
        <v>1677612.11</v>
      </c>
      <c r="H101" s="511">
        <v>0.87338745038854482</v>
      </c>
    </row>
    <row r="102" spans="1:8" x14ac:dyDescent="0.25">
      <c r="A102" s="173" t="s">
        <v>363</v>
      </c>
      <c r="B102" s="509">
        <v>15010</v>
      </c>
      <c r="C102" s="509">
        <v>3000</v>
      </c>
      <c r="D102" s="508" t="s">
        <v>2055</v>
      </c>
      <c r="E102" s="510">
        <v>25489906.670000002</v>
      </c>
      <c r="F102" s="510">
        <v>56578625.509999998</v>
      </c>
      <c r="G102" s="510">
        <v>-31088718.84</v>
      </c>
      <c r="H102" s="511">
        <v>-54.947815645513018</v>
      </c>
    </row>
    <row r="103" spans="1:8" x14ac:dyDescent="0.25">
      <c r="A103" s="173" t="s">
        <v>363</v>
      </c>
      <c r="B103" s="509">
        <v>15010</v>
      </c>
      <c r="C103" s="509">
        <v>4000</v>
      </c>
      <c r="D103" s="508" t="s">
        <v>2055</v>
      </c>
      <c r="E103" s="510">
        <v>529584.78</v>
      </c>
      <c r="F103" s="510">
        <v>-1029295.59</v>
      </c>
      <c r="G103" s="510">
        <v>1558880.37</v>
      </c>
      <c r="H103" s="511">
        <v>-151.45118517412476</v>
      </c>
    </row>
    <row r="104" spans="1:8" x14ac:dyDescent="0.25">
      <c r="A104" s="173" t="s">
        <v>363</v>
      </c>
      <c r="B104" s="509">
        <v>15211</v>
      </c>
      <c r="C104" s="509">
        <v>4000</v>
      </c>
      <c r="D104" s="508" t="s">
        <v>2056</v>
      </c>
      <c r="E104" s="510">
        <v>60398.96</v>
      </c>
      <c r="F104" s="510">
        <v>96995.63</v>
      </c>
      <c r="G104" s="510">
        <v>-36596.67</v>
      </c>
      <c r="H104" s="511">
        <v>-37.730225578203886</v>
      </c>
    </row>
    <row r="105" spans="1:8" x14ac:dyDescent="0.25">
      <c r="A105" s="173" t="s">
        <v>363</v>
      </c>
      <c r="B105" s="509">
        <v>15211</v>
      </c>
      <c r="C105" s="509">
        <v>1000</v>
      </c>
      <c r="D105" s="508" t="s">
        <v>2056</v>
      </c>
      <c r="E105" s="510">
        <v>748580.99</v>
      </c>
      <c r="F105" s="510">
        <v>712054.86</v>
      </c>
      <c r="G105" s="510">
        <v>36526.129999999997</v>
      </c>
      <c r="H105" s="511">
        <v>5.1296791935385428</v>
      </c>
    </row>
    <row r="106" spans="1:8" x14ac:dyDescent="0.25">
      <c r="A106" s="173" t="s">
        <v>363</v>
      </c>
      <c r="B106" s="509">
        <v>15212</v>
      </c>
      <c r="C106" s="509">
        <v>1000</v>
      </c>
      <c r="D106" s="508" t="s">
        <v>2057</v>
      </c>
      <c r="E106" s="510">
        <v>120000</v>
      </c>
      <c r="F106" s="510">
        <v>120000</v>
      </c>
      <c r="G106" s="510">
        <v>0</v>
      </c>
      <c r="H106" s="511">
        <v>0</v>
      </c>
    </row>
    <row r="107" spans="1:8" x14ac:dyDescent="0.25">
      <c r="A107" s="173" t="s">
        <v>363</v>
      </c>
      <c r="B107" s="509">
        <v>15212</v>
      </c>
      <c r="C107" s="509">
        <v>4000</v>
      </c>
      <c r="D107" s="508" t="s">
        <v>2057</v>
      </c>
      <c r="E107" s="510">
        <v>5160000</v>
      </c>
      <c r="F107" s="510">
        <v>4526400</v>
      </c>
      <c r="G107" s="510">
        <v>633600</v>
      </c>
      <c r="H107" s="511">
        <v>13.997879109225876</v>
      </c>
    </row>
    <row r="108" spans="1:8" x14ac:dyDescent="0.25">
      <c r="A108" s="173" t="s">
        <v>363</v>
      </c>
      <c r="B108" s="509">
        <v>15300</v>
      </c>
      <c r="C108" s="509">
        <v>0</v>
      </c>
      <c r="D108" s="508" t="s">
        <v>2058</v>
      </c>
      <c r="E108" s="510">
        <v>21553629.710000001</v>
      </c>
      <c r="F108" s="510">
        <v>66999393.439999998</v>
      </c>
      <c r="G108" s="510">
        <v>-45445763.729999997</v>
      </c>
      <c r="H108" s="511">
        <v>-67.830112179594664</v>
      </c>
    </row>
    <row r="109" spans="1:8" x14ac:dyDescent="0.25">
      <c r="B109" s="508" t="s">
        <v>2059</v>
      </c>
      <c r="C109" s="508"/>
      <c r="D109" s="508"/>
      <c r="E109" s="510">
        <v>963661965.74000001</v>
      </c>
      <c r="F109" s="510">
        <v>1034828612.16</v>
      </c>
      <c r="G109" s="510">
        <v>-71166646.420000002</v>
      </c>
      <c r="H109" s="511">
        <v>-6.8771432857324752</v>
      </c>
    </row>
    <row r="110" spans="1:8" x14ac:dyDescent="0.25">
      <c r="B110" s="508" t="s">
        <v>2060</v>
      </c>
      <c r="C110" s="508" t="s">
        <v>2061</v>
      </c>
      <c r="D110" s="508"/>
      <c r="E110" s="508"/>
      <c r="F110" s="508"/>
      <c r="G110" s="508"/>
      <c r="H110" s="508"/>
    </row>
    <row r="111" spans="1:8" x14ac:dyDescent="0.25">
      <c r="A111" s="173" t="s">
        <v>363</v>
      </c>
      <c r="B111" s="509">
        <v>15920</v>
      </c>
      <c r="C111" s="509">
        <v>0</v>
      </c>
      <c r="D111" s="508" t="s">
        <v>2062</v>
      </c>
      <c r="E111" s="510">
        <v>18500</v>
      </c>
      <c r="F111" s="510">
        <v>18500</v>
      </c>
      <c r="G111" s="510">
        <v>0</v>
      </c>
      <c r="H111" s="511">
        <v>0</v>
      </c>
    </row>
    <row r="112" spans="1:8" x14ac:dyDescent="0.25">
      <c r="A112" s="173" t="s">
        <v>363</v>
      </c>
      <c r="B112" s="509">
        <v>15962</v>
      </c>
      <c r="C112" s="509">
        <v>0</v>
      </c>
      <c r="D112" s="508" t="s">
        <v>2063</v>
      </c>
      <c r="E112" s="510">
        <v>55169.94</v>
      </c>
      <c r="F112" s="510">
        <v>48641.9</v>
      </c>
      <c r="G112" s="510">
        <v>6528.04</v>
      </c>
      <c r="H112" s="511">
        <v>13.420610625818483</v>
      </c>
    </row>
    <row r="113" spans="1:8" x14ac:dyDescent="0.25">
      <c r="B113" s="508" t="s">
        <v>2064</v>
      </c>
      <c r="C113" s="508"/>
      <c r="D113" s="508"/>
      <c r="E113" s="510">
        <v>73669.94</v>
      </c>
      <c r="F113" s="510">
        <v>67141.899999999994</v>
      </c>
      <c r="G113" s="510">
        <v>6528.04</v>
      </c>
      <c r="H113" s="511">
        <v>9.7227513668811874</v>
      </c>
    </row>
    <row r="114" spans="1:8" x14ac:dyDescent="0.25">
      <c r="A114" s="173" t="s">
        <v>373</v>
      </c>
      <c r="B114" s="509">
        <v>16004</v>
      </c>
      <c r="C114" s="509">
        <v>1000</v>
      </c>
      <c r="D114" s="508" t="s">
        <v>2065</v>
      </c>
      <c r="E114" s="510">
        <v>1874999.4</v>
      </c>
      <c r="F114" s="510">
        <v>1874999.03</v>
      </c>
      <c r="G114" s="510">
        <v>0.37</v>
      </c>
      <c r="H114" s="511">
        <v>1.9733343542049723E-5</v>
      </c>
    </row>
    <row r="115" spans="1:8" x14ac:dyDescent="0.25">
      <c r="A115" s="173" t="s">
        <v>373</v>
      </c>
      <c r="B115" s="509">
        <v>16005</v>
      </c>
      <c r="C115" s="509">
        <v>1000</v>
      </c>
      <c r="D115" s="508" t="s">
        <v>2066</v>
      </c>
      <c r="E115" s="510">
        <v>4142998.7</v>
      </c>
      <c r="F115" s="510">
        <v>4057122.96</v>
      </c>
      <c r="G115" s="510">
        <v>85875.74</v>
      </c>
      <c r="H115" s="511">
        <v>2.1166659439870661</v>
      </c>
    </row>
    <row r="116" spans="1:8" x14ac:dyDescent="0.25">
      <c r="A116" s="173" t="s">
        <v>373</v>
      </c>
      <c r="B116" s="509">
        <v>16006</v>
      </c>
      <c r="C116" s="509">
        <v>1000</v>
      </c>
      <c r="D116" s="508" t="s">
        <v>2067</v>
      </c>
      <c r="E116" s="510">
        <v>1096745.1399999999</v>
      </c>
      <c r="F116" s="510">
        <v>1082445.3799999999</v>
      </c>
      <c r="G116" s="510">
        <v>14299.76</v>
      </c>
      <c r="H116" s="511">
        <v>1.3210606525014685</v>
      </c>
    </row>
    <row r="117" spans="1:8" x14ac:dyDescent="0.25">
      <c r="A117" s="173" t="s">
        <v>373</v>
      </c>
      <c r="B117" s="509">
        <v>16024</v>
      </c>
      <c r="C117" s="509">
        <v>1000</v>
      </c>
      <c r="D117" s="508" t="s">
        <v>2068</v>
      </c>
      <c r="E117" s="510">
        <v>1158374.6299999999</v>
      </c>
      <c r="F117" s="510">
        <v>1158374.4099999999</v>
      </c>
      <c r="G117" s="510">
        <v>0.22</v>
      </c>
      <c r="H117" s="511">
        <v>1.8992132258860934E-5</v>
      </c>
    </row>
    <row r="118" spans="1:8" x14ac:dyDescent="0.25">
      <c r="A118" s="173" t="s">
        <v>373</v>
      </c>
      <c r="B118" s="509">
        <v>16025</v>
      </c>
      <c r="C118" s="509">
        <v>1000</v>
      </c>
      <c r="D118" s="508" t="s">
        <v>2069</v>
      </c>
      <c r="E118" s="510">
        <v>684899.78</v>
      </c>
      <c r="F118" s="510">
        <v>685799.65</v>
      </c>
      <c r="G118" s="510">
        <v>-899.87</v>
      </c>
      <c r="H118" s="511">
        <v>-0.13121470680248964</v>
      </c>
    </row>
    <row r="119" spans="1:8" x14ac:dyDescent="0.25">
      <c r="A119" s="173" t="s">
        <v>373</v>
      </c>
      <c r="B119" s="509">
        <v>16026</v>
      </c>
      <c r="C119" s="509">
        <v>1000</v>
      </c>
      <c r="D119" s="508" t="s">
        <v>2070</v>
      </c>
      <c r="E119" s="510">
        <v>1956247.42</v>
      </c>
      <c r="F119" s="510">
        <v>1902420.94</v>
      </c>
      <c r="G119" s="510">
        <v>53826.48</v>
      </c>
      <c r="H119" s="511">
        <v>2.8293675110619843</v>
      </c>
    </row>
    <row r="120" spans="1:8" x14ac:dyDescent="0.25">
      <c r="A120" s="173" t="s">
        <v>373</v>
      </c>
      <c r="B120" s="509">
        <v>16027</v>
      </c>
      <c r="C120" s="509">
        <v>1000</v>
      </c>
      <c r="D120" s="508" t="s">
        <v>2071</v>
      </c>
      <c r="E120" s="510">
        <v>3494785.55</v>
      </c>
      <c r="F120" s="510">
        <v>3382380.83</v>
      </c>
      <c r="G120" s="510">
        <v>112404.72</v>
      </c>
      <c r="H120" s="511">
        <v>3.3232425811732145</v>
      </c>
    </row>
    <row r="121" spans="1:8" x14ac:dyDescent="0.25">
      <c r="A121" s="173" t="s">
        <v>373</v>
      </c>
      <c r="B121" s="509">
        <v>16028</v>
      </c>
      <c r="C121" s="509">
        <v>1000</v>
      </c>
      <c r="D121" s="508" t="s">
        <v>2072</v>
      </c>
      <c r="E121" s="510">
        <v>2107499.3199999998</v>
      </c>
      <c r="F121" s="510">
        <v>2107498.92</v>
      </c>
      <c r="G121" s="510">
        <v>0.4</v>
      </c>
      <c r="H121" s="511">
        <v>1.8979843652778716E-5</v>
      </c>
    </row>
    <row r="122" spans="1:8" x14ac:dyDescent="0.25">
      <c r="A122" s="173" t="s">
        <v>373</v>
      </c>
      <c r="B122" s="509">
        <v>16031</v>
      </c>
      <c r="C122" s="509">
        <v>1000</v>
      </c>
      <c r="D122" s="508" t="s">
        <v>2073</v>
      </c>
      <c r="E122" s="510">
        <v>4230498.6399999997</v>
      </c>
      <c r="F122" s="510">
        <v>4226397.83</v>
      </c>
      <c r="G122" s="510">
        <v>4100.8100000000004</v>
      </c>
      <c r="H122" s="511">
        <v>9.7028490098387168E-2</v>
      </c>
    </row>
    <row r="123" spans="1:8" x14ac:dyDescent="0.25">
      <c r="A123" s="173" t="s">
        <v>373</v>
      </c>
      <c r="B123" s="509">
        <v>16033</v>
      </c>
      <c r="C123" s="509">
        <v>1000</v>
      </c>
      <c r="D123" s="508" t="s">
        <v>2074</v>
      </c>
      <c r="E123" s="510">
        <v>4109023.68</v>
      </c>
      <c r="F123" s="510">
        <v>4092923.84</v>
      </c>
      <c r="G123" s="510">
        <v>16099.84</v>
      </c>
      <c r="H123" s="511">
        <v>0.39335791794259234</v>
      </c>
    </row>
    <row r="124" spans="1:8" x14ac:dyDescent="0.25">
      <c r="A124" s="173" t="s">
        <v>373</v>
      </c>
      <c r="B124" s="509">
        <v>16034</v>
      </c>
      <c r="C124" s="509">
        <v>1000</v>
      </c>
      <c r="D124" s="508" t="s">
        <v>2075</v>
      </c>
      <c r="E124" s="510">
        <v>0</v>
      </c>
      <c r="F124" s="510">
        <v>4988.62</v>
      </c>
      <c r="G124" s="510">
        <v>-4988.62</v>
      </c>
      <c r="H124" s="511">
        <v>-100</v>
      </c>
    </row>
    <row r="125" spans="1:8" x14ac:dyDescent="0.25">
      <c r="A125" s="173" t="s">
        <v>373</v>
      </c>
      <c r="B125" s="509">
        <v>16099</v>
      </c>
      <c r="C125" s="509">
        <v>0</v>
      </c>
      <c r="D125" s="508" t="s">
        <v>2076</v>
      </c>
      <c r="E125" s="510">
        <v>-24856072.260000002</v>
      </c>
      <c r="F125" s="510">
        <v>-24570363.789999999</v>
      </c>
      <c r="G125" s="510">
        <v>-285708.46999999997</v>
      </c>
      <c r="H125" s="511">
        <v>1.1628174187485236</v>
      </c>
    </row>
    <row r="126" spans="1:8" x14ac:dyDescent="0.25">
      <c r="A126" s="194"/>
      <c r="B126" s="508" t="s">
        <v>2077</v>
      </c>
      <c r="C126" s="508" t="s">
        <v>2078</v>
      </c>
      <c r="D126" s="508"/>
      <c r="E126" s="508"/>
      <c r="F126" s="508"/>
      <c r="G126" s="508"/>
      <c r="H126" s="508"/>
    </row>
    <row r="127" spans="1:8" x14ac:dyDescent="0.25">
      <c r="A127" s="173"/>
      <c r="B127" s="509">
        <v>16500</v>
      </c>
      <c r="C127" s="509">
        <v>0</v>
      </c>
      <c r="D127" s="508" t="s">
        <v>2079</v>
      </c>
      <c r="E127" s="510">
        <v>2321839.5699999998</v>
      </c>
      <c r="F127" s="510">
        <v>2359923.7400000002</v>
      </c>
      <c r="G127" s="510">
        <v>-38084.17</v>
      </c>
      <c r="H127" s="511">
        <v>-1.6137881641887293</v>
      </c>
    </row>
    <row r="128" spans="1:8" x14ac:dyDescent="0.25">
      <c r="B128" s="508" t="s">
        <v>2080</v>
      </c>
      <c r="C128" s="508"/>
      <c r="D128" s="508"/>
      <c r="E128" s="510">
        <v>2321839.5699999998</v>
      </c>
      <c r="F128" s="510">
        <v>2359923.7400000002</v>
      </c>
      <c r="G128" s="510">
        <v>-38084.17</v>
      </c>
      <c r="H128" s="511">
        <v>-1.6137881641887293</v>
      </c>
    </row>
    <row r="129" spans="1:8" x14ac:dyDescent="0.25">
      <c r="B129" s="508" t="s">
        <v>2081</v>
      </c>
      <c r="C129" s="508"/>
      <c r="D129" s="508"/>
      <c r="E129" s="510">
        <v>966057475.25</v>
      </c>
      <c r="F129" s="510">
        <v>1037260666.42</v>
      </c>
      <c r="G129" s="510">
        <v>-71203191.170000002</v>
      </c>
      <c r="H129" s="508"/>
    </row>
    <row r="130" spans="1:8" x14ac:dyDescent="0.25">
      <c r="B130" s="508" t="s">
        <v>2082</v>
      </c>
      <c r="C130" s="508" t="s">
        <v>2083</v>
      </c>
      <c r="D130" s="508"/>
      <c r="E130" s="508"/>
      <c r="F130" s="508"/>
      <c r="G130" s="508"/>
      <c r="H130" s="508"/>
    </row>
    <row r="131" spans="1:8" x14ac:dyDescent="0.25">
      <c r="A131" s="173" t="s">
        <v>373</v>
      </c>
      <c r="B131" s="509">
        <v>17099</v>
      </c>
      <c r="C131" s="509">
        <v>0</v>
      </c>
      <c r="D131" s="508" t="s">
        <v>2084</v>
      </c>
      <c r="E131" s="829">
        <v>157062545.31</v>
      </c>
      <c r="F131" s="510">
        <v>158129337.78999999</v>
      </c>
      <c r="G131" s="510">
        <v>-1066792.48</v>
      </c>
      <c r="H131" s="511">
        <v>-0.67463286377429155</v>
      </c>
    </row>
    <row r="132" spans="1:8" x14ac:dyDescent="0.25">
      <c r="B132" s="508" t="s">
        <v>2085</v>
      </c>
      <c r="C132" s="508"/>
      <c r="D132" s="508"/>
      <c r="E132" s="510">
        <v>157062545.31</v>
      </c>
      <c r="F132" s="510">
        <v>158129337.78999999</v>
      </c>
      <c r="G132" s="510">
        <v>-1066792.48</v>
      </c>
      <c r="H132" s="511">
        <v>-0.67463286377429155</v>
      </c>
    </row>
    <row r="133" spans="1:8" x14ac:dyDescent="0.25">
      <c r="B133" s="508" t="s">
        <v>2086</v>
      </c>
      <c r="C133" s="508" t="s">
        <v>2087</v>
      </c>
      <c r="D133" s="508"/>
      <c r="E133" s="508"/>
      <c r="F133" s="508"/>
      <c r="G133" s="508"/>
      <c r="H133" s="508"/>
    </row>
    <row r="134" spans="1:8" x14ac:dyDescent="0.25">
      <c r="B134" s="509">
        <v>18000</v>
      </c>
      <c r="C134" s="509">
        <v>0</v>
      </c>
      <c r="D134" s="508" t="s">
        <v>2088</v>
      </c>
      <c r="E134" s="510">
        <v>241954.14</v>
      </c>
      <c r="F134" s="510">
        <v>75238.45</v>
      </c>
      <c r="G134" s="510">
        <v>166715.69</v>
      </c>
      <c r="H134" s="511">
        <v>221.583100130319</v>
      </c>
    </row>
    <row r="135" spans="1:8" x14ac:dyDescent="0.25">
      <c r="B135" s="509">
        <v>18001</v>
      </c>
      <c r="C135" s="509">
        <v>0</v>
      </c>
      <c r="D135" s="508" t="s">
        <v>2089</v>
      </c>
      <c r="E135" s="510">
        <v>12423.9</v>
      </c>
      <c r="F135" s="510">
        <v>3837.08</v>
      </c>
      <c r="G135" s="510">
        <v>8586.82</v>
      </c>
      <c r="H135" s="511">
        <v>223.7852742189373</v>
      </c>
    </row>
    <row r="136" spans="1:8" x14ac:dyDescent="0.25">
      <c r="B136" s="509">
        <v>18002</v>
      </c>
      <c r="C136" s="509">
        <v>0</v>
      </c>
      <c r="D136" s="508" t="s">
        <v>2090</v>
      </c>
      <c r="E136" s="510">
        <v>0</v>
      </c>
      <c r="F136" s="510">
        <v>346637.56</v>
      </c>
      <c r="G136" s="510">
        <v>-346637.56</v>
      </c>
      <c r="H136" s="511">
        <v>-100</v>
      </c>
    </row>
    <row r="137" spans="1:8" x14ac:dyDescent="0.25">
      <c r="B137" s="509">
        <v>18003</v>
      </c>
      <c r="C137" s="509">
        <v>0</v>
      </c>
      <c r="D137" s="508" t="s">
        <v>2091</v>
      </c>
      <c r="E137" s="510">
        <v>0</v>
      </c>
      <c r="F137" s="510">
        <v>215149.26</v>
      </c>
      <c r="G137" s="510">
        <v>-215149.26</v>
      </c>
      <c r="H137" s="511">
        <v>-100</v>
      </c>
    </row>
    <row r="138" spans="1:8" x14ac:dyDescent="0.25">
      <c r="B138" s="509">
        <v>18010</v>
      </c>
      <c r="C138" s="509">
        <v>0</v>
      </c>
      <c r="D138" s="508" t="s">
        <v>332</v>
      </c>
      <c r="E138" s="510">
        <v>164901583.75999999</v>
      </c>
      <c r="F138" s="510">
        <v>163190583.75999999</v>
      </c>
      <c r="G138" s="510">
        <v>1711000</v>
      </c>
      <c r="H138" s="511">
        <v>1.048467356741809</v>
      </c>
    </row>
    <row r="139" spans="1:8" x14ac:dyDescent="0.25">
      <c r="B139" s="509">
        <v>18010</v>
      </c>
      <c r="C139" s="509">
        <v>3000</v>
      </c>
      <c r="D139" s="508" t="s">
        <v>2092</v>
      </c>
      <c r="E139" s="510">
        <v>56264729.640000001</v>
      </c>
      <c r="F139" s="510">
        <v>56264729.640000001</v>
      </c>
      <c r="G139" s="510">
        <v>0</v>
      </c>
      <c r="H139" s="511">
        <v>0</v>
      </c>
    </row>
    <row r="140" spans="1:8" x14ac:dyDescent="0.25">
      <c r="B140" s="509">
        <v>18020</v>
      </c>
      <c r="C140" s="509">
        <v>0</v>
      </c>
      <c r="D140" s="508" t="s">
        <v>333</v>
      </c>
      <c r="E140" s="510">
        <v>14690429.800000001</v>
      </c>
      <c r="F140" s="510">
        <v>14657705.77</v>
      </c>
      <c r="G140" s="510">
        <v>32724.03</v>
      </c>
      <c r="H140" s="511">
        <v>0.22325478839244023</v>
      </c>
    </row>
    <row r="141" spans="1:8" x14ac:dyDescent="0.25">
      <c r="B141" s="509">
        <v>18030</v>
      </c>
      <c r="C141" s="509">
        <v>0</v>
      </c>
      <c r="D141" s="508" t="s">
        <v>334</v>
      </c>
      <c r="E141" s="510">
        <v>472415652.85000002</v>
      </c>
      <c r="F141" s="510">
        <v>470760660.25999999</v>
      </c>
      <c r="G141" s="510">
        <v>1654992.59</v>
      </c>
      <c r="H141" s="511">
        <v>0.35155711377538468</v>
      </c>
    </row>
    <row r="142" spans="1:8" x14ac:dyDescent="0.25">
      <c r="B142" s="509">
        <v>18030</v>
      </c>
      <c r="C142" s="509">
        <v>3000</v>
      </c>
      <c r="D142" s="508" t="s">
        <v>2093</v>
      </c>
      <c r="E142" s="510">
        <v>383693545.25</v>
      </c>
      <c r="F142" s="510">
        <v>130839506.04000001</v>
      </c>
      <c r="G142" s="510">
        <v>252854039.21000001</v>
      </c>
      <c r="H142" s="511">
        <v>193.25511602947964</v>
      </c>
    </row>
    <row r="143" spans="1:8" x14ac:dyDescent="0.25">
      <c r="B143" s="509">
        <v>18030</v>
      </c>
      <c r="C143" s="509">
        <v>3100</v>
      </c>
      <c r="D143" s="508" t="s">
        <v>2094</v>
      </c>
      <c r="E143" s="510">
        <v>50015.23</v>
      </c>
      <c r="F143" s="510">
        <v>50015.23</v>
      </c>
      <c r="G143" s="510">
        <v>0</v>
      </c>
      <c r="H143" s="511">
        <v>0</v>
      </c>
    </row>
    <row r="144" spans="1:8" x14ac:dyDescent="0.25">
      <c r="B144" s="509">
        <v>18040</v>
      </c>
      <c r="C144" s="509">
        <v>3000</v>
      </c>
      <c r="D144" s="508" t="s">
        <v>2095</v>
      </c>
      <c r="E144" s="510">
        <v>688046.54</v>
      </c>
      <c r="F144" s="510">
        <v>454182.03</v>
      </c>
      <c r="G144" s="510">
        <v>233864.51</v>
      </c>
      <c r="H144" s="511">
        <v>51.491361294060887</v>
      </c>
    </row>
    <row r="145" spans="2:8" x14ac:dyDescent="0.25">
      <c r="B145" s="509">
        <v>18040</v>
      </c>
      <c r="C145" s="509">
        <v>3100</v>
      </c>
      <c r="D145" s="508" t="s">
        <v>2096</v>
      </c>
      <c r="E145" s="510">
        <v>38936.160000000003</v>
      </c>
      <c r="F145" s="510">
        <v>38936.160000000003</v>
      </c>
      <c r="G145" s="510">
        <v>0</v>
      </c>
      <c r="H145" s="511">
        <v>0</v>
      </c>
    </row>
    <row r="146" spans="2:8" x14ac:dyDescent="0.25">
      <c r="B146" s="509">
        <v>18040</v>
      </c>
      <c r="C146" s="509">
        <v>0</v>
      </c>
      <c r="D146" s="508" t="s">
        <v>2097</v>
      </c>
      <c r="E146" s="510">
        <v>63276510.75</v>
      </c>
      <c r="F146" s="510">
        <v>44244957.479999997</v>
      </c>
      <c r="G146" s="510">
        <v>19031553.27</v>
      </c>
      <c r="H146" s="511">
        <v>43.014061610529986</v>
      </c>
    </row>
    <row r="147" spans="2:8" x14ac:dyDescent="0.25">
      <c r="B147" s="509">
        <v>18050</v>
      </c>
      <c r="C147" s="509">
        <v>3100</v>
      </c>
      <c r="D147" s="508" t="s">
        <v>2098</v>
      </c>
      <c r="E147" s="510">
        <v>25173355.690000001</v>
      </c>
      <c r="F147" s="510">
        <v>25173355.690000001</v>
      </c>
      <c r="G147" s="510">
        <v>0</v>
      </c>
      <c r="H147" s="511">
        <v>0</v>
      </c>
    </row>
    <row r="148" spans="2:8" x14ac:dyDescent="0.25">
      <c r="B148" s="509">
        <v>18050</v>
      </c>
      <c r="C148" s="509">
        <v>3950</v>
      </c>
      <c r="D148" s="508" t="s">
        <v>2099</v>
      </c>
      <c r="E148" s="510">
        <v>16448094.470000001</v>
      </c>
      <c r="F148" s="510">
        <v>16448094.470000001</v>
      </c>
      <c r="G148" s="510">
        <v>0</v>
      </c>
      <c r="H148" s="511">
        <v>0</v>
      </c>
    </row>
    <row r="149" spans="2:8" x14ac:dyDescent="0.25">
      <c r="B149" s="509">
        <v>18050</v>
      </c>
      <c r="C149" s="509">
        <v>0</v>
      </c>
      <c r="D149" s="508" t="s">
        <v>2100</v>
      </c>
      <c r="E149" s="510">
        <v>321830104.51999998</v>
      </c>
      <c r="F149" s="510">
        <v>306683528.31999999</v>
      </c>
      <c r="G149" s="510">
        <v>15146576.199999999</v>
      </c>
      <c r="H149" s="511">
        <v>4.9388293799058376</v>
      </c>
    </row>
    <row r="150" spans="2:8" x14ac:dyDescent="0.25">
      <c r="B150" s="509">
        <v>18050</v>
      </c>
      <c r="C150" s="509">
        <v>3000</v>
      </c>
      <c r="D150" s="508" t="s">
        <v>2101</v>
      </c>
      <c r="E150" s="510">
        <v>43526688.219999999</v>
      </c>
      <c r="F150" s="510">
        <v>11828444.6</v>
      </c>
      <c r="G150" s="510">
        <v>31698243.620000001</v>
      </c>
      <c r="H150" s="511">
        <v>267.98319383429333</v>
      </c>
    </row>
    <row r="151" spans="2:8" x14ac:dyDescent="0.25">
      <c r="B151" s="509">
        <v>18060</v>
      </c>
      <c r="C151" s="509">
        <v>5100</v>
      </c>
      <c r="D151" s="508" t="s">
        <v>2102</v>
      </c>
      <c r="E151" s="510">
        <v>2372030.9900000002</v>
      </c>
      <c r="F151" s="510">
        <v>2865380.69</v>
      </c>
      <c r="G151" s="510">
        <v>-493349.7</v>
      </c>
      <c r="H151" s="511">
        <v>-17.217597009771154</v>
      </c>
    </row>
    <row r="152" spans="2:8" x14ac:dyDescent="0.25">
      <c r="B152" s="509">
        <v>18060</v>
      </c>
      <c r="C152" s="509">
        <v>7200</v>
      </c>
      <c r="D152" s="508" t="s">
        <v>2103</v>
      </c>
      <c r="E152" s="510">
        <v>213246.76</v>
      </c>
      <c r="F152" s="510">
        <v>213246.76</v>
      </c>
      <c r="G152" s="510">
        <v>0</v>
      </c>
      <c r="H152" s="511">
        <v>0</v>
      </c>
    </row>
    <row r="153" spans="2:8" x14ac:dyDescent="0.25">
      <c r="B153" s="509">
        <v>18060</v>
      </c>
      <c r="C153" s="509">
        <v>9020</v>
      </c>
      <c r="D153" s="508" t="s">
        <v>2104</v>
      </c>
      <c r="E153" s="510">
        <v>49550.83</v>
      </c>
      <c r="F153" s="510">
        <v>49550.83</v>
      </c>
      <c r="G153" s="510">
        <v>0</v>
      </c>
      <c r="H153" s="511">
        <v>0</v>
      </c>
    </row>
    <row r="154" spans="2:8" x14ac:dyDescent="0.25">
      <c r="B154" s="509">
        <v>18060</v>
      </c>
      <c r="C154" s="509">
        <v>3000</v>
      </c>
      <c r="D154" s="508" t="s">
        <v>2105</v>
      </c>
      <c r="E154" s="510">
        <v>35097969.939999998</v>
      </c>
      <c r="F154" s="510">
        <v>22147184.739999998</v>
      </c>
      <c r="G154" s="510">
        <v>12950785.199999999</v>
      </c>
      <c r="H154" s="511">
        <v>58.475988492612352</v>
      </c>
    </row>
    <row r="155" spans="2:8" x14ac:dyDescent="0.25">
      <c r="B155" s="509">
        <v>18060</v>
      </c>
      <c r="C155" s="509">
        <v>3100</v>
      </c>
      <c r="D155" s="508" t="s">
        <v>2106</v>
      </c>
      <c r="E155" s="510">
        <v>2072807.84</v>
      </c>
      <c r="F155" s="510">
        <v>2072807.84</v>
      </c>
      <c r="G155" s="510">
        <v>0</v>
      </c>
      <c r="H155" s="511">
        <v>0</v>
      </c>
    </row>
    <row r="156" spans="2:8" x14ac:dyDescent="0.25">
      <c r="B156" s="509">
        <v>18060</v>
      </c>
      <c r="C156" s="509">
        <v>3800</v>
      </c>
      <c r="D156" s="508" t="s">
        <v>2107</v>
      </c>
      <c r="E156" s="510">
        <v>23542.5</v>
      </c>
      <c r="F156" s="510">
        <v>23542.5</v>
      </c>
      <c r="G156" s="510">
        <v>0</v>
      </c>
      <c r="H156" s="511">
        <v>0</v>
      </c>
    </row>
    <row r="157" spans="2:8" x14ac:dyDescent="0.25">
      <c r="B157" s="509">
        <v>18060</v>
      </c>
      <c r="C157" s="509">
        <v>3840</v>
      </c>
      <c r="D157" s="508" t="s">
        <v>2108</v>
      </c>
      <c r="E157" s="510">
        <v>7304480.1299999999</v>
      </c>
      <c r="F157" s="510">
        <v>6610874.5499999998</v>
      </c>
      <c r="G157" s="510">
        <v>693605.58</v>
      </c>
      <c r="H157" s="511">
        <v>10.491888399243637</v>
      </c>
    </row>
    <row r="158" spans="2:8" x14ac:dyDescent="0.25">
      <c r="B158" s="509">
        <v>18060</v>
      </c>
      <c r="C158" s="509">
        <v>3950</v>
      </c>
      <c r="D158" s="508" t="s">
        <v>2109</v>
      </c>
      <c r="E158" s="510">
        <v>7182288.7400000002</v>
      </c>
      <c r="F158" s="510">
        <v>7082824.0700000003</v>
      </c>
      <c r="G158" s="510">
        <v>99464.67</v>
      </c>
      <c r="H158" s="511">
        <v>1.4043080700153547</v>
      </c>
    </row>
    <row r="159" spans="2:8" x14ac:dyDescent="0.25">
      <c r="B159" s="509">
        <v>18060</v>
      </c>
      <c r="C159" s="509">
        <v>4100</v>
      </c>
      <c r="D159" s="508" t="s">
        <v>2110</v>
      </c>
      <c r="E159" s="510">
        <v>12126549.92</v>
      </c>
      <c r="F159" s="510">
        <v>10948000.65</v>
      </c>
      <c r="G159" s="510">
        <v>1178549.27</v>
      </c>
      <c r="H159" s="511">
        <v>10.76497259798756</v>
      </c>
    </row>
    <row r="160" spans="2:8" x14ac:dyDescent="0.25">
      <c r="B160" s="509">
        <v>18060</v>
      </c>
      <c r="C160" s="509">
        <v>1000</v>
      </c>
      <c r="D160" s="508" t="s">
        <v>2111</v>
      </c>
      <c r="E160" s="510">
        <v>486913912.93000001</v>
      </c>
      <c r="F160" s="510">
        <v>445737287.73000002</v>
      </c>
      <c r="G160" s="510">
        <v>41176625.200000003</v>
      </c>
      <c r="H160" s="511">
        <v>9.2378686579486349</v>
      </c>
    </row>
    <row r="161" spans="2:8" x14ac:dyDescent="0.25">
      <c r="B161" s="509">
        <v>18067</v>
      </c>
      <c r="C161" s="509">
        <v>0</v>
      </c>
      <c r="D161" s="508" t="s">
        <v>2112</v>
      </c>
      <c r="E161" s="510">
        <v>4983941.54</v>
      </c>
      <c r="F161" s="510">
        <v>4900839.09</v>
      </c>
      <c r="G161" s="510">
        <v>83102.45</v>
      </c>
      <c r="H161" s="511">
        <v>1.6956779946023488</v>
      </c>
    </row>
    <row r="162" spans="2:8" x14ac:dyDescent="0.25">
      <c r="B162" s="509">
        <v>18070</v>
      </c>
      <c r="C162" s="509">
        <v>0</v>
      </c>
      <c r="D162" s="508" t="s">
        <v>339</v>
      </c>
      <c r="E162" s="510">
        <v>63114672.450000003</v>
      </c>
      <c r="F162" s="510">
        <v>55224184.420000002</v>
      </c>
      <c r="G162" s="510">
        <v>7890488.0300000003</v>
      </c>
      <c r="H162" s="511">
        <v>14.288102419023467</v>
      </c>
    </row>
    <row r="163" spans="2:8" x14ac:dyDescent="0.25">
      <c r="B163" s="509">
        <v>18070</v>
      </c>
      <c r="C163" s="509">
        <v>3000</v>
      </c>
      <c r="D163" s="508" t="s">
        <v>2113</v>
      </c>
      <c r="E163" s="510">
        <v>9277520.4499999993</v>
      </c>
      <c r="F163" s="510">
        <v>3427105.16</v>
      </c>
      <c r="G163" s="510">
        <v>5850415.29</v>
      </c>
      <c r="H163" s="511">
        <v>170.71011879892242</v>
      </c>
    </row>
    <row r="164" spans="2:8" x14ac:dyDescent="0.25">
      <c r="B164" s="509">
        <v>18099</v>
      </c>
      <c r="C164" s="509">
        <v>0</v>
      </c>
      <c r="D164" s="508" t="s">
        <v>2114</v>
      </c>
      <c r="E164" s="510">
        <v>-4983941.54</v>
      </c>
      <c r="F164" s="510">
        <v>-4900839.0999999996</v>
      </c>
      <c r="G164" s="510">
        <v>-83102.44</v>
      </c>
      <c r="H164" s="511">
        <v>1.695677787095683</v>
      </c>
    </row>
    <row r="165" spans="2:8" x14ac:dyDescent="0.25">
      <c r="B165" s="508" t="s">
        <v>2115</v>
      </c>
      <c r="C165" s="508"/>
      <c r="D165" s="508"/>
      <c r="E165" s="510">
        <v>2189000644.4000001</v>
      </c>
      <c r="F165" s="510">
        <v>1797677551.73</v>
      </c>
      <c r="G165" s="510">
        <v>391323092.67000002</v>
      </c>
      <c r="H165" s="511">
        <v>21.768258289336099</v>
      </c>
    </row>
    <row r="166" spans="2:8" x14ac:dyDescent="0.25">
      <c r="B166" s="508" t="s">
        <v>2116</v>
      </c>
      <c r="C166" s="508" t="s">
        <v>341</v>
      </c>
      <c r="D166" s="508"/>
      <c r="E166" s="508"/>
      <c r="F166" s="508"/>
      <c r="G166" s="508"/>
      <c r="H166" s="508"/>
    </row>
    <row r="167" spans="2:8" x14ac:dyDescent="0.25">
      <c r="B167" s="509">
        <v>18320</v>
      </c>
      <c r="C167" s="509">
        <v>0</v>
      </c>
      <c r="D167" s="508" t="s">
        <v>2117</v>
      </c>
      <c r="E167" s="510">
        <v>-8225103.6200000001</v>
      </c>
      <c r="F167" s="510">
        <v>-7431883.9000000004</v>
      </c>
      <c r="G167" s="510">
        <v>-793219.72</v>
      </c>
      <c r="H167" s="511">
        <v>10.673198487398329</v>
      </c>
    </row>
    <row r="168" spans="2:8" x14ac:dyDescent="0.25">
      <c r="B168" s="509">
        <v>18330</v>
      </c>
      <c r="C168" s="509">
        <v>0</v>
      </c>
      <c r="D168" s="508" t="s">
        <v>2118</v>
      </c>
      <c r="E168" s="510">
        <v>-174213190.81999999</v>
      </c>
      <c r="F168" s="510">
        <v>-162221505.46000001</v>
      </c>
      <c r="G168" s="510">
        <v>-11991685.359999999</v>
      </c>
      <c r="H168" s="511">
        <v>7.3921674724914119</v>
      </c>
    </row>
    <row r="169" spans="2:8" x14ac:dyDescent="0.25">
      <c r="B169" s="509">
        <v>18330</v>
      </c>
      <c r="C169" s="509">
        <v>3000</v>
      </c>
      <c r="D169" s="508" t="s">
        <v>2119</v>
      </c>
      <c r="E169" s="510">
        <v>-40297050.409999996</v>
      </c>
      <c r="F169" s="510">
        <v>-35219147.329999998</v>
      </c>
      <c r="G169" s="510">
        <v>-5077903.08</v>
      </c>
      <c r="H169" s="511">
        <v>14.418018222930103</v>
      </c>
    </row>
    <row r="170" spans="2:8" x14ac:dyDescent="0.25">
      <c r="B170" s="509">
        <v>18330</v>
      </c>
      <c r="C170" s="509">
        <v>3100</v>
      </c>
      <c r="D170" s="508" t="s">
        <v>2120</v>
      </c>
      <c r="E170" s="510">
        <v>-50015.23</v>
      </c>
      <c r="F170" s="510">
        <v>-50015.23</v>
      </c>
      <c r="G170" s="510">
        <v>0</v>
      </c>
      <c r="H170" s="511">
        <v>0</v>
      </c>
    </row>
    <row r="171" spans="2:8" x14ac:dyDescent="0.25">
      <c r="B171" s="509">
        <v>18340</v>
      </c>
      <c r="C171" s="509">
        <v>0</v>
      </c>
      <c r="D171" s="508" t="s">
        <v>2121</v>
      </c>
      <c r="E171" s="510">
        <v>-27452837.75</v>
      </c>
      <c r="F171" s="510">
        <v>-24871152.09</v>
      </c>
      <c r="G171" s="510">
        <v>-2581685.66</v>
      </c>
      <c r="H171" s="511">
        <v>10.38024153709399</v>
      </c>
    </row>
    <row r="172" spans="2:8" x14ac:dyDescent="0.25">
      <c r="B172" s="509">
        <v>18340</v>
      </c>
      <c r="C172" s="509">
        <v>3000</v>
      </c>
      <c r="D172" s="508" t="s">
        <v>2122</v>
      </c>
      <c r="E172" s="510">
        <v>-201395.11</v>
      </c>
      <c r="F172" s="510">
        <v>-169550.85</v>
      </c>
      <c r="G172" s="510">
        <v>-31844.26</v>
      </c>
      <c r="H172" s="511">
        <v>18.781539579424106</v>
      </c>
    </row>
    <row r="173" spans="2:8" x14ac:dyDescent="0.25">
      <c r="B173" s="509">
        <v>18340</v>
      </c>
      <c r="C173" s="509">
        <v>3100</v>
      </c>
      <c r="D173" s="508" t="s">
        <v>2123</v>
      </c>
      <c r="E173" s="510">
        <v>-38936.160000000003</v>
      </c>
      <c r="F173" s="510">
        <v>-36340.42</v>
      </c>
      <c r="G173" s="510">
        <v>-2595.7399999999998</v>
      </c>
      <c r="H173" s="511">
        <v>7.1428453496134603</v>
      </c>
    </row>
    <row r="174" spans="2:8" x14ac:dyDescent="0.25">
      <c r="B174" s="509">
        <v>18350</v>
      </c>
      <c r="C174" s="509">
        <v>3100</v>
      </c>
      <c r="D174" s="508" t="s">
        <v>2124</v>
      </c>
      <c r="E174" s="510">
        <v>-17259756.52</v>
      </c>
      <c r="F174" s="510">
        <v>-15577197.77</v>
      </c>
      <c r="G174" s="510">
        <v>-1682558.75</v>
      </c>
      <c r="H174" s="511">
        <v>10.801421249465204</v>
      </c>
    </row>
    <row r="175" spans="2:8" x14ac:dyDescent="0.25">
      <c r="B175" s="509">
        <v>18350</v>
      </c>
      <c r="C175" s="509">
        <v>3950</v>
      </c>
      <c r="D175" s="508" t="s">
        <v>2125</v>
      </c>
      <c r="E175" s="510">
        <v>-12820816.65</v>
      </c>
      <c r="F175" s="510">
        <v>-11771190.640000001</v>
      </c>
      <c r="G175" s="510">
        <v>-1049626.01</v>
      </c>
      <c r="H175" s="511">
        <v>8.9169060471524233</v>
      </c>
    </row>
    <row r="176" spans="2:8" x14ac:dyDescent="0.25">
      <c r="B176" s="509">
        <v>18350</v>
      </c>
      <c r="C176" s="509">
        <v>0</v>
      </c>
      <c r="D176" s="508" t="s">
        <v>2126</v>
      </c>
      <c r="E176" s="510">
        <v>-160153299.46000001</v>
      </c>
      <c r="F176" s="510">
        <v>-143626000.90000001</v>
      </c>
      <c r="G176" s="510">
        <v>-16527298.560000001</v>
      </c>
      <c r="H176" s="511">
        <v>11.507177291322883</v>
      </c>
    </row>
    <row r="177" spans="2:8" x14ac:dyDescent="0.25">
      <c r="B177" s="509">
        <v>18350</v>
      </c>
      <c r="C177" s="509">
        <v>3000</v>
      </c>
      <c r="D177" s="508" t="s">
        <v>2127</v>
      </c>
      <c r="E177" s="510">
        <v>-6571191.4900000002</v>
      </c>
      <c r="F177" s="510">
        <v>-5114414.3499999996</v>
      </c>
      <c r="G177" s="510">
        <v>-1456777.14</v>
      </c>
      <c r="H177" s="511">
        <v>28.483752787843638</v>
      </c>
    </row>
    <row r="178" spans="2:8" x14ac:dyDescent="0.25">
      <c r="B178" s="509">
        <v>18360</v>
      </c>
      <c r="C178" s="509">
        <v>3800</v>
      </c>
      <c r="D178" s="508" t="s">
        <v>2128</v>
      </c>
      <c r="E178" s="510">
        <v>-23542.5</v>
      </c>
      <c r="F178" s="510">
        <v>-23542.5</v>
      </c>
      <c r="G178" s="510">
        <v>0</v>
      </c>
      <c r="H178" s="511">
        <v>0</v>
      </c>
    </row>
    <row r="179" spans="2:8" x14ac:dyDescent="0.25">
      <c r="B179" s="509">
        <v>18360</v>
      </c>
      <c r="C179" s="509">
        <v>3840</v>
      </c>
      <c r="D179" s="508" t="s">
        <v>2129</v>
      </c>
      <c r="E179" s="510">
        <v>-5707970.2999999998</v>
      </c>
      <c r="F179" s="510">
        <v>-5217051.12</v>
      </c>
      <c r="G179" s="510">
        <v>-490919.18</v>
      </c>
      <c r="H179" s="511">
        <v>9.4098978274914806</v>
      </c>
    </row>
    <row r="180" spans="2:8" x14ac:dyDescent="0.25">
      <c r="B180" s="509">
        <v>18360</v>
      </c>
      <c r="C180" s="509">
        <v>3950</v>
      </c>
      <c r="D180" s="508" t="s">
        <v>2130</v>
      </c>
      <c r="E180" s="510">
        <v>-5515494.75</v>
      </c>
      <c r="F180" s="510">
        <v>-4806608.1100000003</v>
      </c>
      <c r="G180" s="510">
        <v>-708886.64</v>
      </c>
      <c r="H180" s="511">
        <v>14.748168017383882</v>
      </c>
    </row>
    <row r="181" spans="2:8" x14ac:dyDescent="0.25">
      <c r="B181" s="509">
        <v>18360</v>
      </c>
      <c r="C181" s="509">
        <v>0</v>
      </c>
      <c r="D181" s="508" t="s">
        <v>2131</v>
      </c>
      <c r="E181" s="510">
        <v>-357566407</v>
      </c>
      <c r="F181" s="510">
        <v>-316156516.06</v>
      </c>
      <c r="G181" s="510">
        <v>-41409890.939999998</v>
      </c>
      <c r="H181" s="511">
        <v>13.097908420821936</v>
      </c>
    </row>
    <row r="182" spans="2:8" x14ac:dyDescent="0.25">
      <c r="B182" s="509">
        <v>18360</v>
      </c>
      <c r="C182" s="509">
        <v>3000</v>
      </c>
      <c r="D182" s="508" t="s">
        <v>2132</v>
      </c>
      <c r="E182" s="510">
        <v>-14913215.279999999</v>
      </c>
      <c r="F182" s="510">
        <v>-11780445.390000001</v>
      </c>
      <c r="G182" s="510">
        <v>-3132769.89</v>
      </c>
      <c r="H182" s="511">
        <v>26.592966448104725</v>
      </c>
    </row>
    <row r="183" spans="2:8" x14ac:dyDescent="0.25">
      <c r="B183" s="509">
        <v>18360</v>
      </c>
      <c r="C183" s="509">
        <v>3100</v>
      </c>
      <c r="D183" s="508" t="s">
        <v>2133</v>
      </c>
      <c r="E183" s="510">
        <v>-2053837.14</v>
      </c>
      <c r="F183" s="510">
        <v>-1976853.68</v>
      </c>
      <c r="G183" s="510">
        <v>-76983.460000000006</v>
      </c>
      <c r="H183" s="511">
        <v>3.8942416820652102</v>
      </c>
    </row>
    <row r="184" spans="2:8" x14ac:dyDescent="0.25">
      <c r="B184" s="509">
        <v>18367</v>
      </c>
      <c r="C184" s="509">
        <v>0</v>
      </c>
      <c r="D184" s="508" t="s">
        <v>2134</v>
      </c>
      <c r="E184" s="510">
        <v>-3494312.11</v>
      </c>
      <c r="F184" s="510">
        <v>-3443190.35</v>
      </c>
      <c r="G184" s="510">
        <v>-51121.760000000002</v>
      </c>
      <c r="H184" s="511">
        <v>1.4847207038669823</v>
      </c>
    </row>
    <row r="185" spans="2:8" x14ac:dyDescent="0.25">
      <c r="B185" s="509">
        <v>18370</v>
      </c>
      <c r="C185" s="509">
        <v>3000</v>
      </c>
      <c r="D185" s="508" t="s">
        <v>2135</v>
      </c>
      <c r="E185" s="510">
        <v>-3523545.23</v>
      </c>
      <c r="F185" s="510">
        <v>-2504168.59</v>
      </c>
      <c r="G185" s="510">
        <v>-1019376.64</v>
      </c>
      <c r="H185" s="511">
        <v>40.707188967656528</v>
      </c>
    </row>
    <row r="186" spans="2:8" x14ac:dyDescent="0.25">
      <c r="B186" s="509">
        <v>18370</v>
      </c>
      <c r="C186" s="509">
        <v>0</v>
      </c>
      <c r="D186" s="508" t="s">
        <v>2136</v>
      </c>
      <c r="E186" s="510">
        <v>-17864877.02</v>
      </c>
      <c r="F186" s="510">
        <v>-14282527.98</v>
      </c>
      <c r="G186" s="510">
        <v>-3582349.04</v>
      </c>
      <c r="H186" s="511">
        <v>25.082037612784006</v>
      </c>
    </row>
    <row r="187" spans="2:8" x14ac:dyDescent="0.25">
      <c r="B187" s="509">
        <v>18399</v>
      </c>
      <c r="C187" s="509">
        <v>0</v>
      </c>
      <c r="D187" s="508" t="s">
        <v>2137</v>
      </c>
      <c r="E187" s="510">
        <v>3494312.12</v>
      </c>
      <c r="F187" s="510">
        <v>3443190.35</v>
      </c>
      <c r="G187" s="510">
        <v>51121.77</v>
      </c>
      <c r="H187" s="511">
        <v>1.4847209942953052</v>
      </c>
    </row>
    <row r="188" spans="2:8" x14ac:dyDescent="0.25">
      <c r="B188" s="508" t="s">
        <v>2138</v>
      </c>
      <c r="C188" s="508"/>
      <c r="D188" s="508"/>
      <c r="E188" s="828">
        <v>-854452482.42999995</v>
      </c>
      <c r="F188" s="510">
        <v>-762836112.37</v>
      </c>
      <c r="G188" s="510">
        <v>-91616370.060000002</v>
      </c>
      <c r="H188" s="511">
        <v>12.009967616158571</v>
      </c>
    </row>
    <row r="189" spans="2:8" x14ac:dyDescent="0.25">
      <c r="B189" s="508" t="s">
        <v>2139</v>
      </c>
      <c r="C189" s="508" t="s">
        <v>2140</v>
      </c>
      <c r="D189" s="508"/>
      <c r="E189" s="508"/>
      <c r="F189" s="508"/>
      <c r="G189" s="508"/>
      <c r="H189" s="508"/>
    </row>
    <row r="190" spans="2:8" x14ac:dyDescent="0.25">
      <c r="B190" s="509">
        <v>18548</v>
      </c>
      <c r="C190" s="509">
        <v>0</v>
      </c>
      <c r="D190" s="508" t="s">
        <v>2141</v>
      </c>
      <c r="E190" s="510">
        <v>46140693.939999998</v>
      </c>
      <c r="F190" s="510">
        <v>14360936.85</v>
      </c>
      <c r="G190" s="510">
        <v>31779757.09</v>
      </c>
      <c r="H190" s="511">
        <v>221.29306341180663</v>
      </c>
    </row>
    <row r="191" spans="2:8" x14ac:dyDescent="0.25">
      <c r="B191" s="509">
        <v>18550</v>
      </c>
      <c r="C191" s="509">
        <v>0</v>
      </c>
      <c r="D191" s="508" t="s">
        <v>2142</v>
      </c>
      <c r="E191" s="510">
        <v>982225.5</v>
      </c>
      <c r="F191" s="510">
        <v>237531.27</v>
      </c>
      <c r="G191" s="510">
        <v>744694.23</v>
      </c>
      <c r="H191" s="511">
        <v>313.51418699525328</v>
      </c>
    </row>
    <row r="192" spans="2:8" x14ac:dyDescent="0.25">
      <c r="B192" s="509">
        <v>18590</v>
      </c>
      <c r="C192" s="509">
        <v>0</v>
      </c>
      <c r="D192" s="508" t="s">
        <v>2143</v>
      </c>
      <c r="E192" s="510">
        <v>143001990.30000001</v>
      </c>
      <c r="F192" s="510">
        <v>57112170.899999999</v>
      </c>
      <c r="G192" s="510">
        <v>85889819.400000006</v>
      </c>
      <c r="H192" s="511">
        <v>150.38794366683757</v>
      </c>
    </row>
    <row r="193" spans="1:8" x14ac:dyDescent="0.25">
      <c r="B193" s="509">
        <v>18595</v>
      </c>
      <c r="C193" s="509">
        <v>0</v>
      </c>
      <c r="D193" s="508" t="s">
        <v>2144</v>
      </c>
      <c r="E193" s="510">
        <v>5406792.8600000003</v>
      </c>
      <c r="F193" s="510">
        <v>173821231.43000001</v>
      </c>
      <c r="G193" s="510">
        <v>-168414438.56999999</v>
      </c>
      <c r="H193" s="511">
        <v>-96.889451987240477</v>
      </c>
    </row>
    <row r="194" spans="1:8" x14ac:dyDescent="0.25">
      <c r="B194" s="508" t="s">
        <v>2145</v>
      </c>
      <c r="C194" s="508"/>
      <c r="D194" s="508"/>
      <c r="E194" s="819">
        <v>195531702.59999999</v>
      </c>
      <c r="F194" s="510">
        <v>245531870.44999999</v>
      </c>
      <c r="G194" s="510">
        <v>-50000167.850000001</v>
      </c>
      <c r="H194" s="511">
        <v>-20.364023521004381</v>
      </c>
    </row>
    <row r="195" spans="1:8" x14ac:dyDescent="0.25">
      <c r="B195" s="508" t="s">
        <v>2146</v>
      </c>
      <c r="C195" s="508"/>
      <c r="D195" s="508"/>
      <c r="E195" s="828">
        <v>1530079864.5699999</v>
      </c>
      <c r="F195" s="510">
        <v>1280373309.8099999</v>
      </c>
      <c r="G195" s="510">
        <v>249706554.75999999</v>
      </c>
      <c r="H195" s="508"/>
    </row>
    <row r="196" spans="1:8" x14ac:dyDescent="0.25">
      <c r="B196" s="508" t="s">
        <v>2147</v>
      </c>
      <c r="C196" s="508" t="s">
        <v>2148</v>
      </c>
      <c r="D196" s="508"/>
      <c r="E196" s="508"/>
      <c r="F196" s="508"/>
      <c r="G196" s="508"/>
      <c r="H196" s="508"/>
    </row>
    <row r="197" spans="1:8" x14ac:dyDescent="0.25">
      <c r="A197" s="173" t="s">
        <v>373</v>
      </c>
      <c r="B197" s="509">
        <v>16800</v>
      </c>
      <c r="C197" s="509">
        <v>0</v>
      </c>
      <c r="D197" s="508" t="s">
        <v>2149</v>
      </c>
      <c r="E197" s="829">
        <v>714763.97</v>
      </c>
      <c r="F197" s="510">
        <v>219060.04</v>
      </c>
      <c r="G197" s="510">
        <v>495703.93</v>
      </c>
      <c r="H197" s="511">
        <v>226.28678877261231</v>
      </c>
    </row>
    <row r="198" spans="1:8" x14ac:dyDescent="0.25">
      <c r="A198" s="173" t="s">
        <v>373</v>
      </c>
      <c r="B198" s="509">
        <v>16840</v>
      </c>
      <c r="C198" s="509">
        <v>0</v>
      </c>
      <c r="D198" s="508" t="s">
        <v>2150</v>
      </c>
      <c r="E198" s="829">
        <v>2130557.2799999998</v>
      </c>
      <c r="F198" s="510">
        <v>1744011.6</v>
      </c>
      <c r="G198" s="510">
        <v>386545.68</v>
      </c>
      <c r="H198" s="511">
        <v>22.164169091535861</v>
      </c>
    </row>
    <row r="199" spans="1:8" x14ac:dyDescent="0.25">
      <c r="A199" s="173" t="s">
        <v>373</v>
      </c>
      <c r="B199" s="509">
        <v>16845</v>
      </c>
      <c r="C199" s="509">
        <v>0</v>
      </c>
      <c r="D199" s="508" t="s">
        <v>2151</v>
      </c>
      <c r="E199" s="829">
        <v>3428970.23</v>
      </c>
      <c r="F199" s="510">
        <v>0</v>
      </c>
      <c r="G199" s="510">
        <v>3428970.23</v>
      </c>
      <c r="H199" s="511">
        <v>100</v>
      </c>
    </row>
    <row r="200" spans="1:8" x14ac:dyDescent="0.25">
      <c r="A200" s="173" t="s">
        <v>373</v>
      </c>
      <c r="B200" s="509">
        <v>16855</v>
      </c>
      <c r="C200" s="509">
        <v>0</v>
      </c>
      <c r="D200" s="508" t="s">
        <v>2152</v>
      </c>
      <c r="E200" s="829">
        <v>28.61</v>
      </c>
      <c r="F200" s="510">
        <v>28.61</v>
      </c>
      <c r="G200" s="510">
        <v>0</v>
      </c>
      <c r="H200" s="511">
        <v>0</v>
      </c>
    </row>
    <row r="201" spans="1:8" x14ac:dyDescent="0.25">
      <c r="A201" s="173" t="s">
        <v>373</v>
      </c>
      <c r="B201" s="509">
        <v>16860</v>
      </c>
      <c r="C201" s="509">
        <v>0</v>
      </c>
      <c r="D201" s="508" t="s">
        <v>2153</v>
      </c>
      <c r="E201" s="829">
        <v>20254649.91</v>
      </c>
      <c r="F201" s="510">
        <v>0</v>
      </c>
      <c r="G201" s="510">
        <v>20254649.91</v>
      </c>
      <c r="H201" s="511">
        <v>100</v>
      </c>
    </row>
    <row r="202" spans="1:8" x14ac:dyDescent="0.25">
      <c r="A202" s="173" t="s">
        <v>373</v>
      </c>
      <c r="B202" s="509">
        <v>16861</v>
      </c>
      <c r="C202" s="509">
        <v>0</v>
      </c>
      <c r="D202" s="508" t="s">
        <v>2154</v>
      </c>
      <c r="E202" s="829">
        <v>4974000</v>
      </c>
      <c r="F202" s="510">
        <v>0</v>
      </c>
      <c r="G202" s="510">
        <v>4974000</v>
      </c>
      <c r="H202" s="511">
        <v>100</v>
      </c>
    </row>
    <row r="203" spans="1:8" x14ac:dyDescent="0.25">
      <c r="A203" s="173" t="s">
        <v>373</v>
      </c>
      <c r="B203" s="509">
        <v>16870</v>
      </c>
      <c r="C203" s="509">
        <v>0</v>
      </c>
      <c r="D203" s="508" t="s">
        <v>2155</v>
      </c>
      <c r="E203" s="829">
        <v>5825800</v>
      </c>
      <c r="F203" s="510">
        <v>5825800</v>
      </c>
      <c r="G203" s="510">
        <v>0</v>
      </c>
      <c r="H203" s="511">
        <v>0</v>
      </c>
    </row>
    <row r="204" spans="1:8" x14ac:dyDescent="0.25">
      <c r="A204" s="173" t="s">
        <v>373</v>
      </c>
      <c r="B204" s="509">
        <v>16875</v>
      </c>
      <c r="C204" s="509">
        <v>0</v>
      </c>
      <c r="D204" s="508" t="s">
        <v>2007</v>
      </c>
      <c r="E204" s="829">
        <v>1374866</v>
      </c>
      <c r="F204" s="510">
        <v>770030</v>
      </c>
      <c r="G204" s="510">
        <v>604836</v>
      </c>
      <c r="H204" s="511">
        <v>78.547069594691109</v>
      </c>
    </row>
    <row r="205" spans="1:8" x14ac:dyDescent="0.25">
      <c r="A205" s="173" t="s">
        <v>373</v>
      </c>
      <c r="B205" s="509">
        <v>16890</v>
      </c>
      <c r="C205" s="509">
        <v>0</v>
      </c>
      <c r="D205" s="508" t="s">
        <v>388</v>
      </c>
      <c r="E205" s="829">
        <v>2000000</v>
      </c>
      <c r="F205" s="510">
        <v>2000000</v>
      </c>
      <c r="G205" s="510">
        <v>0</v>
      </c>
      <c r="H205" s="511">
        <v>0</v>
      </c>
    </row>
    <row r="206" spans="1:8" x14ac:dyDescent="0.25">
      <c r="A206" s="173" t="s">
        <v>373</v>
      </c>
      <c r="B206" s="509">
        <v>19800</v>
      </c>
      <c r="C206" s="509">
        <v>0</v>
      </c>
      <c r="D206" s="508" t="s">
        <v>2156</v>
      </c>
      <c r="E206" s="829">
        <v>83544347.010000005</v>
      </c>
      <c r="F206" s="510">
        <v>13731843.039999999</v>
      </c>
      <c r="G206" s="510">
        <v>69812503.969999999</v>
      </c>
      <c r="H206" s="511">
        <v>508.39864515375353</v>
      </c>
    </row>
    <row r="207" spans="1:8" x14ac:dyDescent="0.25">
      <c r="A207" s="173" t="s">
        <v>373</v>
      </c>
      <c r="B207" s="509">
        <v>19805</v>
      </c>
      <c r="C207" s="509">
        <v>0</v>
      </c>
      <c r="D207" s="508" t="s">
        <v>2157</v>
      </c>
      <c r="E207" s="829">
        <v>-150000</v>
      </c>
      <c r="F207" s="510">
        <v>-150000</v>
      </c>
      <c r="G207" s="510">
        <v>0</v>
      </c>
      <c r="H207" s="511">
        <v>0</v>
      </c>
    </row>
    <row r="208" spans="1:8" x14ac:dyDescent="0.25">
      <c r="B208" s="508" t="s">
        <v>2158</v>
      </c>
      <c r="C208" s="508"/>
      <c r="D208" s="508"/>
      <c r="E208" s="510">
        <v>124097983.01000001</v>
      </c>
      <c r="F208" s="510">
        <v>24140773.289999999</v>
      </c>
      <c r="G208" s="510">
        <v>99957209.719999999</v>
      </c>
      <c r="H208" s="511">
        <v>414.05968449820108</v>
      </c>
    </row>
    <row r="209" spans="1:8" x14ac:dyDescent="0.25">
      <c r="B209" s="508" t="s">
        <v>859</v>
      </c>
      <c r="C209" s="508"/>
      <c r="D209" s="508"/>
      <c r="E209" s="510">
        <v>3271584290.98</v>
      </c>
      <c r="F209" s="510">
        <v>3271584290.98</v>
      </c>
      <c r="G209" s="510">
        <v>2974343763.77</v>
      </c>
      <c r="H209" s="510">
        <v>297240527.20999998</v>
      </c>
    </row>
    <row r="210" spans="1:8" x14ac:dyDescent="0.25">
      <c r="B210" s="508" t="s">
        <v>2159</v>
      </c>
      <c r="C210" s="508" t="s">
        <v>2160</v>
      </c>
      <c r="D210" s="508"/>
      <c r="E210" s="508"/>
      <c r="F210" s="508"/>
      <c r="G210" s="508"/>
      <c r="H210" s="508"/>
    </row>
    <row r="211" spans="1:8" x14ac:dyDescent="0.25">
      <c r="A211" s="173" t="s">
        <v>403</v>
      </c>
      <c r="B211" s="509">
        <v>20099</v>
      </c>
      <c r="C211" s="509">
        <v>0</v>
      </c>
      <c r="D211" s="508" t="s">
        <v>2161</v>
      </c>
      <c r="E211" s="510">
        <v>-22351820.780000001</v>
      </c>
      <c r="F211" s="510">
        <v>-19766205.539999999</v>
      </c>
      <c r="G211" s="510">
        <v>-2585615.2400000002</v>
      </c>
      <c r="H211" s="511">
        <v>13.080989341973625</v>
      </c>
    </row>
    <row r="212" spans="1:8" x14ac:dyDescent="0.25">
      <c r="B212" s="508" t="s">
        <v>2162</v>
      </c>
      <c r="C212" s="508"/>
      <c r="D212" s="508"/>
      <c r="E212" s="510">
        <v>-22351820.780000001</v>
      </c>
      <c r="F212" s="510">
        <v>-19766205.539999999</v>
      </c>
      <c r="G212" s="510">
        <v>-2585615.2400000002</v>
      </c>
      <c r="H212" s="511">
        <v>13.080989341973625</v>
      </c>
    </row>
    <row r="213" spans="1:8" x14ac:dyDescent="0.25">
      <c r="B213" s="508" t="s">
        <v>2163</v>
      </c>
      <c r="C213" s="508" t="s">
        <v>2164</v>
      </c>
      <c r="D213" s="508"/>
      <c r="E213" s="508"/>
      <c r="F213" s="508"/>
      <c r="G213" s="508"/>
      <c r="H213" s="508"/>
    </row>
    <row r="214" spans="1:8" x14ac:dyDescent="0.25">
      <c r="A214" s="173" t="s">
        <v>404</v>
      </c>
      <c r="B214" s="509">
        <v>20100</v>
      </c>
      <c r="C214" s="509">
        <v>0</v>
      </c>
      <c r="D214" s="508" t="s">
        <v>2165</v>
      </c>
      <c r="E214" s="510">
        <v>-11455000</v>
      </c>
      <c r="F214" s="510">
        <v>-11000000</v>
      </c>
      <c r="G214" s="510">
        <v>-455000</v>
      </c>
      <c r="H214" s="511">
        <v>4.1363636363636367</v>
      </c>
    </row>
    <row r="215" spans="1:8" x14ac:dyDescent="0.25">
      <c r="B215" s="508" t="s">
        <v>2166</v>
      </c>
      <c r="C215" s="508"/>
      <c r="D215" s="508"/>
      <c r="E215" s="510">
        <v>-11455000</v>
      </c>
      <c r="F215" s="510">
        <v>-11000000</v>
      </c>
      <c r="G215" s="510">
        <v>-455000</v>
      </c>
      <c r="H215" s="511">
        <v>4.1363636363636367</v>
      </c>
    </row>
    <row r="216" spans="1:8" x14ac:dyDescent="0.25">
      <c r="B216" s="508" t="s">
        <v>2167</v>
      </c>
      <c r="C216" s="508" t="s">
        <v>2168</v>
      </c>
      <c r="D216" s="508"/>
      <c r="E216" s="508"/>
      <c r="F216" s="508"/>
      <c r="G216" s="508"/>
      <c r="H216" s="508"/>
    </row>
    <row r="217" spans="1:8" x14ac:dyDescent="0.25">
      <c r="A217" s="173" t="s">
        <v>397</v>
      </c>
      <c r="B217" s="509">
        <v>20010</v>
      </c>
      <c r="C217" s="509">
        <v>0</v>
      </c>
      <c r="D217" s="508" t="s">
        <v>2169</v>
      </c>
      <c r="E217" s="510">
        <v>-1390579.25</v>
      </c>
      <c r="F217" s="510">
        <v>-1391393.14</v>
      </c>
      <c r="G217" s="510">
        <v>813.89</v>
      </c>
      <c r="H217" s="511">
        <v>-5.849461066050677E-2</v>
      </c>
    </row>
    <row r="218" spans="1:8" x14ac:dyDescent="0.25">
      <c r="A218" s="173" t="s">
        <v>397</v>
      </c>
      <c r="B218" s="509">
        <v>20020</v>
      </c>
      <c r="C218" s="509">
        <v>0</v>
      </c>
      <c r="D218" s="508" t="s">
        <v>2170</v>
      </c>
      <c r="E218" s="510">
        <v>-1069848.97</v>
      </c>
      <c r="F218" s="510">
        <v>-213924.56</v>
      </c>
      <c r="G218" s="510">
        <v>-855924.41</v>
      </c>
      <c r="H218" s="511">
        <v>400.10572418613367</v>
      </c>
    </row>
    <row r="219" spans="1:8" x14ac:dyDescent="0.25">
      <c r="A219" s="173" t="s">
        <v>397</v>
      </c>
      <c r="B219" s="509">
        <v>20200</v>
      </c>
      <c r="C219" s="509">
        <v>0</v>
      </c>
      <c r="D219" s="508" t="s">
        <v>2171</v>
      </c>
      <c r="E219" s="510">
        <v>-23123532.600000001</v>
      </c>
      <c r="F219" s="510">
        <v>-25678539.670000002</v>
      </c>
      <c r="G219" s="510">
        <v>2555007.0699999998</v>
      </c>
      <c r="H219" s="511">
        <v>-9.949970297512639</v>
      </c>
    </row>
    <row r="220" spans="1:8" x14ac:dyDescent="0.25">
      <c r="A220" s="173" t="s">
        <v>397</v>
      </c>
      <c r="B220" s="509">
        <v>20204</v>
      </c>
      <c r="C220" s="509">
        <v>430</v>
      </c>
      <c r="D220" s="508" t="s">
        <v>2172</v>
      </c>
      <c r="E220" s="510">
        <v>-2782967.93</v>
      </c>
      <c r="F220" s="510">
        <v>-2041972.42</v>
      </c>
      <c r="G220" s="510">
        <v>-740995.51</v>
      </c>
      <c r="H220" s="511">
        <v>36.288223226834759</v>
      </c>
    </row>
    <row r="221" spans="1:8" x14ac:dyDescent="0.25">
      <c r="A221" s="173" t="s">
        <v>397</v>
      </c>
      <c r="B221" s="509">
        <v>20204</v>
      </c>
      <c r="C221" s="509">
        <v>440</v>
      </c>
      <c r="D221" s="508" t="s">
        <v>2173</v>
      </c>
      <c r="E221" s="510">
        <v>-46.51</v>
      </c>
      <c r="F221" s="510">
        <v>397.7</v>
      </c>
      <c r="G221" s="510">
        <v>-444.21</v>
      </c>
      <c r="H221" s="511">
        <v>-111.69474478249937</v>
      </c>
    </row>
    <row r="222" spans="1:8" x14ac:dyDescent="0.25">
      <c r="A222" s="173" t="s">
        <v>397</v>
      </c>
      <c r="B222" s="509">
        <v>20204</v>
      </c>
      <c r="C222" s="509">
        <v>460</v>
      </c>
      <c r="D222" s="508" t="s">
        <v>2174</v>
      </c>
      <c r="E222" s="510">
        <v>1724.07</v>
      </c>
      <c r="F222" s="510">
        <v>-8128.95</v>
      </c>
      <c r="G222" s="510">
        <v>9853.02</v>
      </c>
      <c r="H222" s="511">
        <v>-121.20901223405237</v>
      </c>
    </row>
    <row r="223" spans="1:8" x14ac:dyDescent="0.25">
      <c r="A223" s="173" t="s">
        <v>397</v>
      </c>
      <c r="B223" s="509">
        <v>20205</v>
      </c>
      <c r="C223" s="509">
        <v>4000</v>
      </c>
      <c r="D223" s="508" t="s">
        <v>2175</v>
      </c>
      <c r="E223" s="510">
        <v>-120259.17</v>
      </c>
      <c r="F223" s="510">
        <v>-115591.02</v>
      </c>
      <c r="G223" s="510">
        <v>-4668.1499999999996</v>
      </c>
      <c r="H223" s="511">
        <v>4.0385057593574309</v>
      </c>
    </row>
    <row r="224" spans="1:8" x14ac:dyDescent="0.25">
      <c r="A224" s="173" t="s">
        <v>397</v>
      </c>
      <c r="B224" s="509">
        <v>20209</v>
      </c>
      <c r="C224" s="509">
        <v>0</v>
      </c>
      <c r="D224" s="508" t="s">
        <v>2176</v>
      </c>
      <c r="E224" s="510">
        <v>-12829516.83</v>
      </c>
      <c r="F224" s="510">
        <v>-19751249.739999998</v>
      </c>
      <c r="G224" s="510">
        <v>6921732.9100000001</v>
      </c>
      <c r="H224" s="511">
        <v>-35.044531364423932</v>
      </c>
    </row>
    <row r="225" spans="1:8" x14ac:dyDescent="0.25">
      <c r="A225" s="173" t="s">
        <v>397</v>
      </c>
      <c r="B225" s="509">
        <v>20210</v>
      </c>
      <c r="C225" s="509">
        <v>8500</v>
      </c>
      <c r="D225" s="508" t="s">
        <v>2177</v>
      </c>
      <c r="E225" s="510">
        <v>-982020.7</v>
      </c>
      <c r="F225" s="510">
        <v>-362097.74</v>
      </c>
      <c r="G225" s="510">
        <v>-619922.96</v>
      </c>
      <c r="H225" s="511">
        <v>171.20321159695723</v>
      </c>
    </row>
    <row r="226" spans="1:8" x14ac:dyDescent="0.25">
      <c r="A226" s="173" t="s">
        <v>397</v>
      </c>
      <c r="B226" s="509">
        <v>20210</v>
      </c>
      <c r="C226" s="509">
        <v>9000</v>
      </c>
      <c r="D226" s="508" t="s">
        <v>2178</v>
      </c>
      <c r="E226" s="510">
        <v>0</v>
      </c>
      <c r="F226" s="510">
        <v>-45400</v>
      </c>
      <c r="G226" s="510">
        <v>45400</v>
      </c>
      <c r="H226" s="511">
        <v>-100</v>
      </c>
    </row>
    <row r="227" spans="1:8" x14ac:dyDescent="0.25">
      <c r="A227" s="173" t="s">
        <v>397</v>
      </c>
      <c r="B227" s="509">
        <v>20210</v>
      </c>
      <c r="C227" s="509">
        <v>9300</v>
      </c>
      <c r="D227" s="508" t="s">
        <v>2179</v>
      </c>
      <c r="E227" s="510">
        <v>-4278587.04</v>
      </c>
      <c r="F227" s="510">
        <v>-3931324.69</v>
      </c>
      <c r="G227" s="510">
        <v>-347262.35</v>
      </c>
      <c r="H227" s="511">
        <v>8.8332146892705516</v>
      </c>
    </row>
    <row r="228" spans="1:8" x14ac:dyDescent="0.25">
      <c r="A228" s="173" t="s">
        <v>397</v>
      </c>
      <c r="B228" s="509">
        <v>20210</v>
      </c>
      <c r="C228" s="509">
        <v>9500</v>
      </c>
      <c r="D228" s="508" t="s">
        <v>2180</v>
      </c>
      <c r="E228" s="510">
        <v>-30740.51</v>
      </c>
      <c r="F228" s="510">
        <v>-111556.89</v>
      </c>
      <c r="G228" s="510">
        <v>80816.38</v>
      </c>
      <c r="H228" s="511">
        <v>-72.444095564155646</v>
      </c>
    </row>
    <row r="229" spans="1:8" x14ac:dyDescent="0.25">
      <c r="A229" s="173" t="s">
        <v>397</v>
      </c>
      <c r="B229" s="509">
        <v>20210</v>
      </c>
      <c r="C229" s="509">
        <v>5000</v>
      </c>
      <c r="D229" s="508" t="s">
        <v>2181</v>
      </c>
      <c r="E229" s="510">
        <v>0</v>
      </c>
      <c r="F229" s="510">
        <v>-147155.25</v>
      </c>
      <c r="G229" s="510">
        <v>147155.25</v>
      </c>
      <c r="H229" s="511">
        <v>-100</v>
      </c>
    </row>
    <row r="230" spans="1:8" x14ac:dyDescent="0.25">
      <c r="A230" s="173" t="s">
        <v>397</v>
      </c>
      <c r="B230" s="509">
        <v>20210</v>
      </c>
      <c r="C230" s="509">
        <v>6500</v>
      </c>
      <c r="D230" s="508" t="s">
        <v>2182</v>
      </c>
      <c r="E230" s="510">
        <v>0</v>
      </c>
      <c r="F230" s="510">
        <v>-51559.97</v>
      </c>
      <c r="G230" s="510">
        <v>51559.97</v>
      </c>
      <c r="H230" s="511">
        <v>-100</v>
      </c>
    </row>
    <row r="231" spans="1:8" x14ac:dyDescent="0.25">
      <c r="A231" s="173" t="s">
        <v>397</v>
      </c>
      <c r="B231" s="509">
        <v>20210</v>
      </c>
      <c r="C231" s="509">
        <v>1000</v>
      </c>
      <c r="D231" s="508" t="s">
        <v>2183</v>
      </c>
      <c r="E231" s="510">
        <v>-20706064.379999999</v>
      </c>
      <c r="F231" s="510">
        <v>-4870622.92</v>
      </c>
      <c r="G231" s="510">
        <v>-15835441.460000001</v>
      </c>
      <c r="H231" s="511">
        <v>325.12148281846464</v>
      </c>
    </row>
    <row r="232" spans="1:8" x14ac:dyDescent="0.25">
      <c r="A232" s="173" t="s">
        <v>397</v>
      </c>
      <c r="B232" s="509">
        <v>20210</v>
      </c>
      <c r="C232" s="509">
        <v>1500</v>
      </c>
      <c r="D232" s="508" t="s">
        <v>2184</v>
      </c>
      <c r="E232" s="510">
        <v>-431000</v>
      </c>
      <c r="F232" s="510">
        <v>-687500</v>
      </c>
      <c r="G232" s="510">
        <v>256500</v>
      </c>
      <c r="H232" s="511">
        <v>-37.309090909090912</v>
      </c>
    </row>
    <row r="233" spans="1:8" x14ac:dyDescent="0.25">
      <c r="A233" s="173" t="s">
        <v>397</v>
      </c>
      <c r="B233" s="509">
        <v>20210</v>
      </c>
      <c r="C233" s="509">
        <v>2000</v>
      </c>
      <c r="D233" s="508" t="s">
        <v>2185</v>
      </c>
      <c r="E233" s="510">
        <v>0</v>
      </c>
      <c r="F233" s="510">
        <v>-437475</v>
      </c>
      <c r="G233" s="510">
        <v>437475</v>
      </c>
      <c r="H233" s="511">
        <v>-100</v>
      </c>
    </row>
    <row r="234" spans="1:8" x14ac:dyDescent="0.25">
      <c r="A234" s="173" t="s">
        <v>397</v>
      </c>
      <c r="B234" s="509">
        <v>20210</v>
      </c>
      <c r="C234" s="509">
        <v>2500</v>
      </c>
      <c r="D234" s="508" t="s">
        <v>2186</v>
      </c>
      <c r="E234" s="510">
        <v>-4928000</v>
      </c>
      <c r="F234" s="510">
        <v>-4032000</v>
      </c>
      <c r="G234" s="510">
        <v>-896000</v>
      </c>
      <c r="H234" s="511">
        <v>22.222222222222221</v>
      </c>
    </row>
    <row r="235" spans="1:8" x14ac:dyDescent="0.25">
      <c r="A235" s="173" t="s">
        <v>397</v>
      </c>
      <c r="B235" s="509">
        <v>20210</v>
      </c>
      <c r="C235" s="509">
        <v>3000</v>
      </c>
      <c r="D235" s="508" t="s">
        <v>2187</v>
      </c>
      <c r="E235" s="510">
        <v>0</v>
      </c>
      <c r="F235" s="510">
        <v>-438488.96</v>
      </c>
      <c r="G235" s="510">
        <v>438488.96</v>
      </c>
      <c r="H235" s="511">
        <v>-100</v>
      </c>
    </row>
    <row r="236" spans="1:8" x14ac:dyDescent="0.25">
      <c r="A236" s="173" t="s">
        <v>397</v>
      </c>
      <c r="B236" s="509">
        <v>20210</v>
      </c>
      <c r="C236" s="509">
        <v>1</v>
      </c>
      <c r="D236" s="508" t="s">
        <v>2188</v>
      </c>
      <c r="E236" s="510">
        <v>-11175730.300000001</v>
      </c>
      <c r="F236" s="510">
        <v>-11175126.800000001</v>
      </c>
      <c r="G236" s="510">
        <v>-603.5</v>
      </c>
      <c r="H236" s="511">
        <v>5.4003861504282888E-3</v>
      </c>
    </row>
    <row r="237" spans="1:8" x14ac:dyDescent="0.25">
      <c r="A237" s="173" t="s">
        <v>397</v>
      </c>
      <c r="B237" s="509">
        <v>20211</v>
      </c>
      <c r="C237" s="509">
        <v>0</v>
      </c>
      <c r="D237" s="508" t="s">
        <v>2189</v>
      </c>
      <c r="E237" s="510">
        <v>-4502287.66</v>
      </c>
      <c r="F237" s="510">
        <v>-4139614.24</v>
      </c>
      <c r="G237" s="510">
        <v>-362673.42</v>
      </c>
      <c r="H237" s="511">
        <v>8.7610438792963468</v>
      </c>
    </row>
    <row r="238" spans="1:8" x14ac:dyDescent="0.25">
      <c r="A238" s="173" t="s">
        <v>397</v>
      </c>
      <c r="B238" s="509">
        <v>20213</v>
      </c>
      <c r="C238" s="509">
        <v>0</v>
      </c>
      <c r="D238" s="508" t="s">
        <v>2190</v>
      </c>
      <c r="E238" s="510">
        <v>-543906.32999999996</v>
      </c>
      <c r="F238" s="510">
        <v>-476003.43</v>
      </c>
      <c r="G238" s="510">
        <v>-67902.899999999994</v>
      </c>
      <c r="H238" s="511">
        <v>14.265212332608613</v>
      </c>
    </row>
    <row r="239" spans="1:8" x14ac:dyDescent="0.25">
      <c r="A239" s="173" t="s">
        <v>397</v>
      </c>
      <c r="B239" s="509">
        <v>20214</v>
      </c>
      <c r="C239" s="509">
        <v>0</v>
      </c>
      <c r="D239" s="508" t="s">
        <v>2191</v>
      </c>
      <c r="E239" s="510">
        <v>-349610.92</v>
      </c>
      <c r="F239" s="510">
        <v>-274358.96999999997</v>
      </c>
      <c r="G239" s="510">
        <v>-75251.95</v>
      </c>
      <c r="H239" s="511">
        <v>27.428281276897927</v>
      </c>
    </row>
    <row r="240" spans="1:8" x14ac:dyDescent="0.25">
      <c r="A240" s="173" t="s">
        <v>397</v>
      </c>
      <c r="B240" s="509">
        <v>20215</v>
      </c>
      <c r="C240" s="509">
        <v>0</v>
      </c>
      <c r="D240" s="508" t="s">
        <v>2192</v>
      </c>
      <c r="E240" s="510">
        <v>-1184025.69</v>
      </c>
      <c r="F240" s="510">
        <v>-401795.96</v>
      </c>
      <c r="G240" s="510">
        <v>-782229.73</v>
      </c>
      <c r="H240" s="511">
        <v>194.68332384427157</v>
      </c>
    </row>
    <row r="241" spans="1:8" x14ac:dyDescent="0.25">
      <c r="A241" s="173" t="s">
        <v>397</v>
      </c>
      <c r="B241" s="509">
        <v>20217</v>
      </c>
      <c r="C241" s="509">
        <v>2000</v>
      </c>
      <c r="D241" s="508" t="s">
        <v>2193</v>
      </c>
      <c r="E241" s="510">
        <v>85398.31</v>
      </c>
      <c r="F241" s="510">
        <v>114476.47</v>
      </c>
      <c r="G241" s="510">
        <v>-29078.16</v>
      </c>
      <c r="H241" s="511">
        <v>-25.400992885262795</v>
      </c>
    </row>
    <row r="242" spans="1:8" x14ac:dyDescent="0.25">
      <c r="A242" s="173" t="s">
        <v>397</v>
      </c>
      <c r="B242" s="509">
        <v>20217</v>
      </c>
      <c r="C242" s="509">
        <v>3000</v>
      </c>
      <c r="D242" s="508" t="s">
        <v>2194</v>
      </c>
      <c r="E242" s="510">
        <v>-20114.060000000001</v>
      </c>
      <c r="F242" s="510">
        <v>-9007.9599999999991</v>
      </c>
      <c r="G242" s="510">
        <v>-11106.1</v>
      </c>
      <c r="H242" s="511">
        <v>123.29206612817995</v>
      </c>
    </row>
    <row r="243" spans="1:8" x14ac:dyDescent="0.25">
      <c r="A243" s="173" t="s">
        <v>397</v>
      </c>
      <c r="B243" s="509">
        <v>20217</v>
      </c>
      <c r="C243" s="509">
        <v>4000</v>
      </c>
      <c r="D243" s="508" t="s">
        <v>2195</v>
      </c>
      <c r="E243" s="510">
        <v>13549.83</v>
      </c>
      <c r="F243" s="510">
        <v>0</v>
      </c>
      <c r="G243" s="510">
        <v>13549.83</v>
      </c>
      <c r="H243" s="511">
        <v>100</v>
      </c>
    </row>
    <row r="244" spans="1:8" x14ac:dyDescent="0.25">
      <c r="A244" s="173" t="s">
        <v>397</v>
      </c>
      <c r="B244" s="509">
        <v>20217</v>
      </c>
      <c r="C244" s="509">
        <v>5000</v>
      </c>
      <c r="D244" s="508" t="s">
        <v>2196</v>
      </c>
      <c r="E244" s="510">
        <v>5258.49</v>
      </c>
      <c r="F244" s="510">
        <v>0</v>
      </c>
      <c r="G244" s="510">
        <v>5258.49</v>
      </c>
      <c r="H244" s="511">
        <v>100</v>
      </c>
    </row>
    <row r="245" spans="1:8" x14ac:dyDescent="0.25">
      <c r="A245" s="173" t="s">
        <v>397</v>
      </c>
      <c r="B245" s="509">
        <v>20217</v>
      </c>
      <c r="C245" s="509">
        <v>1000</v>
      </c>
      <c r="D245" s="508" t="s">
        <v>2197</v>
      </c>
      <c r="E245" s="510">
        <v>-3746759.38</v>
      </c>
      <c r="F245" s="510">
        <v>-2581523.37</v>
      </c>
      <c r="G245" s="510">
        <v>-1165236.01</v>
      </c>
      <c r="H245" s="511">
        <v>45.137534819218011</v>
      </c>
    </row>
    <row r="246" spans="1:8" x14ac:dyDescent="0.25">
      <c r="A246" s="173" t="s">
        <v>397</v>
      </c>
      <c r="B246" s="509">
        <v>20219</v>
      </c>
      <c r="C246" s="509">
        <v>0</v>
      </c>
      <c r="D246" s="508" t="s">
        <v>2198</v>
      </c>
      <c r="E246" s="510">
        <v>-573943.75</v>
      </c>
      <c r="F246" s="510">
        <v>-191853.42</v>
      </c>
      <c r="G246" s="510">
        <v>-382090.33</v>
      </c>
      <c r="H246" s="511">
        <v>199.15742445456536</v>
      </c>
    </row>
    <row r="247" spans="1:8" x14ac:dyDescent="0.25">
      <c r="A247" s="173" t="s">
        <v>397</v>
      </c>
      <c r="B247" s="509">
        <v>20242</v>
      </c>
      <c r="C247" s="509">
        <v>0</v>
      </c>
      <c r="D247" s="508" t="s">
        <v>2199</v>
      </c>
      <c r="E247" s="510">
        <v>8608.98</v>
      </c>
      <c r="F247" s="510">
        <v>-5892.01</v>
      </c>
      <c r="G247" s="510">
        <v>14500.99</v>
      </c>
      <c r="H247" s="511">
        <v>-246.11278663817612</v>
      </c>
    </row>
    <row r="248" spans="1:8" x14ac:dyDescent="0.25">
      <c r="A248" s="173" t="s">
        <v>397</v>
      </c>
      <c r="B248" s="509">
        <v>20299</v>
      </c>
      <c r="C248" s="509">
        <v>0</v>
      </c>
      <c r="D248" s="508" t="s">
        <v>2200</v>
      </c>
      <c r="E248" s="510">
        <v>-7558300</v>
      </c>
      <c r="F248" s="510">
        <v>-2195100</v>
      </c>
      <c r="G248" s="510">
        <v>-5363200</v>
      </c>
      <c r="H248" s="511">
        <v>244.32599881554373</v>
      </c>
    </row>
    <row r="249" spans="1:8" x14ac:dyDescent="0.25">
      <c r="B249" s="508" t="s">
        <v>2201</v>
      </c>
      <c r="C249" s="508"/>
      <c r="D249" s="508"/>
      <c r="E249" s="510">
        <v>-102213302.3</v>
      </c>
      <c r="F249" s="510">
        <v>-85651382.909999996</v>
      </c>
      <c r="G249" s="510">
        <v>-16561919.390000001</v>
      </c>
      <c r="H249" s="511">
        <v>19.336429637572561</v>
      </c>
    </row>
    <row r="250" spans="1:8" x14ac:dyDescent="0.25">
      <c r="B250" s="508" t="s">
        <v>2202</v>
      </c>
      <c r="C250" s="508" t="s">
        <v>2203</v>
      </c>
      <c r="D250" s="508"/>
      <c r="E250" s="508"/>
      <c r="F250" s="508"/>
      <c r="G250" s="508"/>
      <c r="H250" s="508"/>
    </row>
    <row r="251" spans="1:8" x14ac:dyDescent="0.25">
      <c r="A251" s="173" t="s">
        <v>398</v>
      </c>
      <c r="B251" s="509">
        <v>20300</v>
      </c>
      <c r="C251" s="509">
        <v>0</v>
      </c>
      <c r="D251" s="508" t="s">
        <v>2204</v>
      </c>
      <c r="E251" s="510">
        <v>-16193995.91</v>
      </c>
      <c r="F251" s="510">
        <v>-18340647.640000001</v>
      </c>
      <c r="G251" s="510">
        <v>2146651.73</v>
      </c>
      <c r="H251" s="511">
        <v>-11.704339847401375</v>
      </c>
    </row>
    <row r="252" spans="1:8" x14ac:dyDescent="0.25">
      <c r="A252" s="173" t="s">
        <v>398</v>
      </c>
      <c r="B252" s="509">
        <v>20301</v>
      </c>
      <c r="C252" s="509">
        <v>0</v>
      </c>
      <c r="D252" s="508" t="s">
        <v>2205</v>
      </c>
      <c r="E252" s="510">
        <v>-19097388.399999999</v>
      </c>
      <c r="F252" s="510">
        <v>-15251088.76</v>
      </c>
      <c r="G252" s="510">
        <v>-3846299.64</v>
      </c>
      <c r="H252" s="511">
        <v>25.219836436123398</v>
      </c>
    </row>
    <row r="253" spans="1:8" x14ac:dyDescent="0.25">
      <c r="A253" s="173" t="s">
        <v>398</v>
      </c>
      <c r="B253" s="509">
        <v>20302</v>
      </c>
      <c r="C253" s="509">
        <v>0</v>
      </c>
      <c r="D253" s="508" t="s">
        <v>2206</v>
      </c>
      <c r="E253" s="510">
        <v>0.3</v>
      </c>
      <c r="F253" s="510">
        <v>-161721.01999999999</v>
      </c>
      <c r="G253" s="510">
        <v>161721.32</v>
      </c>
      <c r="H253" s="511">
        <v>-100.0001855046425</v>
      </c>
    </row>
    <row r="254" spans="1:8" x14ac:dyDescent="0.25">
      <c r="A254" s="173" t="s">
        <v>398</v>
      </c>
      <c r="B254" s="509">
        <v>20305</v>
      </c>
      <c r="C254" s="509">
        <v>5000</v>
      </c>
      <c r="D254" s="508" t="s">
        <v>2207</v>
      </c>
      <c r="E254" s="510">
        <v>-2382222.7200000002</v>
      </c>
      <c r="F254" s="510">
        <v>-1923151.72</v>
      </c>
      <c r="G254" s="510">
        <v>-459071</v>
      </c>
      <c r="H254" s="511">
        <v>23.870763560973757</v>
      </c>
    </row>
    <row r="255" spans="1:8" x14ac:dyDescent="0.25">
      <c r="A255" s="173" t="s">
        <v>398</v>
      </c>
      <c r="B255" s="509">
        <v>20305</v>
      </c>
      <c r="C255" s="509">
        <v>6000</v>
      </c>
      <c r="D255" s="508" t="s">
        <v>2208</v>
      </c>
      <c r="E255" s="510">
        <v>-75766.55</v>
      </c>
      <c r="F255" s="510">
        <v>-75000</v>
      </c>
      <c r="G255" s="510">
        <v>-766.55</v>
      </c>
      <c r="H255" s="511">
        <v>1.0220666666666667</v>
      </c>
    </row>
    <row r="256" spans="1:8" x14ac:dyDescent="0.25">
      <c r="A256" s="173" t="s">
        <v>398</v>
      </c>
      <c r="B256" s="509">
        <v>20305</v>
      </c>
      <c r="C256" s="509">
        <v>7000</v>
      </c>
      <c r="D256" s="508" t="s">
        <v>2209</v>
      </c>
      <c r="E256" s="510">
        <v>1790253.31</v>
      </c>
      <c r="F256" s="510">
        <v>1575179.57</v>
      </c>
      <c r="G256" s="510">
        <v>215073.74</v>
      </c>
      <c r="H256" s="511">
        <v>13.653918835425223</v>
      </c>
    </row>
    <row r="257" spans="1:8" x14ac:dyDescent="0.25">
      <c r="A257" s="173" t="s">
        <v>398</v>
      </c>
      <c r="B257" s="509">
        <v>20305</v>
      </c>
      <c r="C257" s="509">
        <v>8000</v>
      </c>
      <c r="D257" s="508" t="s">
        <v>2210</v>
      </c>
      <c r="E257" s="510">
        <v>0</v>
      </c>
      <c r="F257" s="510">
        <v>-2000</v>
      </c>
      <c r="G257" s="510">
        <v>2000</v>
      </c>
      <c r="H257" s="511">
        <v>-100</v>
      </c>
    </row>
    <row r="258" spans="1:8" x14ac:dyDescent="0.25">
      <c r="A258" s="173" t="s">
        <v>398</v>
      </c>
      <c r="B258" s="509">
        <v>20305</v>
      </c>
      <c r="C258" s="509">
        <v>1000</v>
      </c>
      <c r="D258" s="508" t="s">
        <v>2211</v>
      </c>
      <c r="E258" s="510">
        <v>-440000</v>
      </c>
      <c r="F258" s="510">
        <v>-311941.26</v>
      </c>
      <c r="G258" s="510">
        <v>-128058.74</v>
      </c>
      <c r="H258" s="511">
        <v>41.052196814233554</v>
      </c>
    </row>
    <row r="259" spans="1:8" x14ac:dyDescent="0.25">
      <c r="A259" s="173" t="s">
        <v>398</v>
      </c>
      <c r="B259" s="509">
        <v>20305</v>
      </c>
      <c r="C259" s="509">
        <v>2000</v>
      </c>
      <c r="D259" s="508" t="s">
        <v>2212</v>
      </c>
      <c r="E259" s="510">
        <v>-8240120.1600000001</v>
      </c>
      <c r="F259" s="510">
        <v>-7406962.46</v>
      </c>
      <c r="G259" s="510">
        <v>-833157.7</v>
      </c>
      <c r="H259" s="511">
        <v>11.248304612036604</v>
      </c>
    </row>
    <row r="260" spans="1:8" x14ac:dyDescent="0.25">
      <c r="A260" s="173" t="s">
        <v>398</v>
      </c>
      <c r="B260" s="509">
        <v>20305</v>
      </c>
      <c r="C260" s="509">
        <v>2500</v>
      </c>
      <c r="D260" s="508" t="s">
        <v>2213</v>
      </c>
      <c r="E260" s="510">
        <v>-300000</v>
      </c>
      <c r="F260" s="510">
        <v>0</v>
      </c>
      <c r="G260" s="510">
        <v>-300000</v>
      </c>
      <c r="H260" s="511">
        <v>100</v>
      </c>
    </row>
    <row r="261" spans="1:8" x14ac:dyDescent="0.25">
      <c r="A261" s="173" t="s">
        <v>398</v>
      </c>
      <c r="B261" s="509">
        <v>20305</v>
      </c>
      <c r="C261" s="509">
        <v>3000</v>
      </c>
      <c r="D261" s="508" t="s">
        <v>2214</v>
      </c>
      <c r="E261" s="510">
        <v>-54000</v>
      </c>
      <c r="F261" s="510">
        <v>0</v>
      </c>
      <c r="G261" s="510">
        <v>-54000</v>
      </c>
      <c r="H261" s="511">
        <v>100</v>
      </c>
    </row>
    <row r="262" spans="1:8" x14ac:dyDescent="0.25">
      <c r="A262" s="173" t="s">
        <v>398</v>
      </c>
      <c r="B262" s="509">
        <v>20305</v>
      </c>
      <c r="C262" s="509">
        <v>4000</v>
      </c>
      <c r="D262" s="508" t="s">
        <v>2215</v>
      </c>
      <c r="E262" s="510">
        <v>-264109.7</v>
      </c>
      <c r="F262" s="510">
        <v>-737000</v>
      </c>
      <c r="G262" s="510">
        <v>472890.3</v>
      </c>
      <c r="H262" s="511">
        <v>-64.164219810040706</v>
      </c>
    </row>
    <row r="263" spans="1:8" x14ac:dyDescent="0.25">
      <c r="A263" s="173" t="s">
        <v>398</v>
      </c>
      <c r="B263" s="509">
        <v>20306</v>
      </c>
      <c r="C263" s="509">
        <v>0</v>
      </c>
      <c r="D263" s="508" t="s">
        <v>2216</v>
      </c>
      <c r="E263" s="510">
        <v>488.8</v>
      </c>
      <c r="F263" s="510">
        <v>-1292593.8700000001</v>
      </c>
      <c r="G263" s="510">
        <v>1293082.67</v>
      </c>
      <c r="H263" s="511">
        <v>-100.03781543540818</v>
      </c>
    </row>
    <row r="264" spans="1:8" x14ac:dyDescent="0.25">
      <c r="A264" s="173" t="s">
        <v>398</v>
      </c>
      <c r="B264" s="509">
        <v>20320</v>
      </c>
      <c r="C264" s="509">
        <v>0</v>
      </c>
      <c r="D264" s="508" t="s">
        <v>2217</v>
      </c>
      <c r="E264" s="510">
        <v>0</v>
      </c>
      <c r="F264" s="510">
        <v>6291.51</v>
      </c>
      <c r="G264" s="510">
        <v>-6291.51</v>
      </c>
      <c r="H264" s="511">
        <v>-100</v>
      </c>
    </row>
    <row r="265" spans="1:8" x14ac:dyDescent="0.25">
      <c r="A265" s="173" t="s">
        <v>398</v>
      </c>
      <c r="B265" s="509">
        <v>20322</v>
      </c>
      <c r="C265" s="509">
        <v>0</v>
      </c>
      <c r="D265" s="508" t="s">
        <v>2218</v>
      </c>
      <c r="E265" s="510">
        <v>0.91</v>
      </c>
      <c r="F265" s="510">
        <v>1471.16</v>
      </c>
      <c r="G265" s="510">
        <v>-1470.25</v>
      </c>
      <c r="H265" s="511">
        <v>-99.938144049593518</v>
      </c>
    </row>
    <row r="266" spans="1:8" x14ac:dyDescent="0.25">
      <c r="A266" s="173" t="s">
        <v>398</v>
      </c>
      <c r="B266" s="509">
        <v>20323</v>
      </c>
      <c r="C266" s="509">
        <v>2</v>
      </c>
      <c r="D266" s="508" t="s">
        <v>2219</v>
      </c>
      <c r="E266" s="510">
        <v>-1958</v>
      </c>
      <c r="F266" s="510">
        <v>-1599</v>
      </c>
      <c r="G266" s="510">
        <v>-359</v>
      </c>
      <c r="H266" s="511">
        <v>22.451532207629771</v>
      </c>
    </row>
    <row r="267" spans="1:8" x14ac:dyDescent="0.25">
      <c r="A267" s="173" t="s">
        <v>398</v>
      </c>
      <c r="B267" s="509">
        <v>20324</v>
      </c>
      <c r="C267" s="509">
        <v>0</v>
      </c>
      <c r="D267" s="508" t="s">
        <v>2220</v>
      </c>
      <c r="E267" s="510">
        <v>-3459812.25</v>
      </c>
      <c r="F267" s="510">
        <v>-3249035.16</v>
      </c>
      <c r="G267" s="510">
        <v>-210777.09</v>
      </c>
      <c r="H267" s="511">
        <v>6.4873748550015691</v>
      </c>
    </row>
    <row r="268" spans="1:8" x14ac:dyDescent="0.25">
      <c r="A268" s="173" t="s">
        <v>398</v>
      </c>
      <c r="B268" s="509">
        <v>20325</v>
      </c>
      <c r="C268" s="509">
        <v>0</v>
      </c>
      <c r="D268" s="508" t="s">
        <v>2221</v>
      </c>
      <c r="E268" s="510">
        <v>-507760.53</v>
      </c>
      <c r="F268" s="510">
        <v>0</v>
      </c>
      <c r="G268" s="510">
        <v>-507760.53</v>
      </c>
      <c r="H268" s="511">
        <v>100</v>
      </c>
    </row>
    <row r="269" spans="1:8" x14ac:dyDescent="0.25">
      <c r="A269" s="173" t="s">
        <v>398</v>
      </c>
      <c r="B269" s="509">
        <v>20326</v>
      </c>
      <c r="C269" s="509">
        <v>0</v>
      </c>
      <c r="D269" s="508" t="s">
        <v>2222</v>
      </c>
      <c r="E269" s="510">
        <v>-180281.25</v>
      </c>
      <c r="F269" s="510">
        <v>-98344.74</v>
      </c>
      <c r="G269" s="510">
        <v>-81936.509999999995</v>
      </c>
      <c r="H269" s="511">
        <v>83.315599797203191</v>
      </c>
    </row>
    <row r="270" spans="1:8" x14ac:dyDescent="0.25">
      <c r="A270" s="173" t="s">
        <v>398</v>
      </c>
      <c r="B270" s="509">
        <v>20330</v>
      </c>
      <c r="C270" s="509">
        <v>0</v>
      </c>
      <c r="D270" s="508" t="s">
        <v>2223</v>
      </c>
      <c r="E270" s="510">
        <v>240</v>
      </c>
      <c r="F270" s="510">
        <v>0</v>
      </c>
      <c r="G270" s="510">
        <v>240</v>
      </c>
      <c r="H270" s="511">
        <v>100</v>
      </c>
    </row>
    <row r="271" spans="1:8" x14ac:dyDescent="0.25">
      <c r="A271" s="173" t="s">
        <v>398</v>
      </c>
      <c r="B271" s="509">
        <v>20331</v>
      </c>
      <c r="C271" s="509">
        <v>0</v>
      </c>
      <c r="D271" s="508" t="s">
        <v>2224</v>
      </c>
      <c r="E271" s="510">
        <v>158.51</v>
      </c>
      <c r="F271" s="510">
        <v>-1869136.76</v>
      </c>
      <c r="G271" s="510">
        <v>1869295.27</v>
      </c>
      <c r="H271" s="511">
        <v>-100.00848038535179</v>
      </c>
    </row>
    <row r="272" spans="1:8" x14ac:dyDescent="0.25">
      <c r="A272" s="173" t="s">
        <v>398</v>
      </c>
      <c r="B272" s="509">
        <v>20337</v>
      </c>
      <c r="C272" s="509">
        <v>0</v>
      </c>
      <c r="D272" s="508" t="s">
        <v>2225</v>
      </c>
      <c r="E272" s="510">
        <v>483.4</v>
      </c>
      <c r="F272" s="510">
        <v>416</v>
      </c>
      <c r="G272" s="510">
        <v>67.400000000000006</v>
      </c>
      <c r="H272" s="511">
        <v>16.20192307692308</v>
      </c>
    </row>
    <row r="273" spans="1:8" x14ac:dyDescent="0.25">
      <c r="A273" s="173" t="s">
        <v>398</v>
      </c>
      <c r="B273" s="509">
        <v>20338</v>
      </c>
      <c r="C273" s="509">
        <v>0</v>
      </c>
      <c r="D273" s="508" t="s">
        <v>2226</v>
      </c>
      <c r="E273" s="510">
        <v>527.73</v>
      </c>
      <c r="F273" s="510">
        <v>0</v>
      </c>
      <c r="G273" s="510">
        <v>527.73</v>
      </c>
      <c r="H273" s="511">
        <v>100</v>
      </c>
    </row>
    <row r="274" spans="1:8" x14ac:dyDescent="0.25">
      <c r="A274" s="173" t="s">
        <v>398</v>
      </c>
      <c r="B274" s="509">
        <v>20341</v>
      </c>
      <c r="C274" s="509">
        <v>0</v>
      </c>
      <c r="D274" s="508" t="s">
        <v>2227</v>
      </c>
      <c r="E274" s="510">
        <v>3631.61</v>
      </c>
      <c r="F274" s="510">
        <v>2491.1999999999998</v>
      </c>
      <c r="G274" s="510">
        <v>1140.4100000000001</v>
      </c>
      <c r="H274" s="511">
        <v>45.777536929993587</v>
      </c>
    </row>
    <row r="275" spans="1:8" x14ac:dyDescent="0.25">
      <c r="A275" s="173" t="s">
        <v>398</v>
      </c>
      <c r="B275" s="509">
        <v>20348</v>
      </c>
      <c r="C275" s="509">
        <v>0</v>
      </c>
      <c r="D275" s="508" t="s">
        <v>2228</v>
      </c>
      <c r="E275" s="510">
        <v>-6416.55</v>
      </c>
      <c r="F275" s="510">
        <v>-559.14</v>
      </c>
      <c r="G275" s="510">
        <v>-5857.41</v>
      </c>
      <c r="H275" s="511">
        <v>1047.5748470865974</v>
      </c>
    </row>
    <row r="276" spans="1:8" x14ac:dyDescent="0.25">
      <c r="A276" s="173" t="s">
        <v>398</v>
      </c>
      <c r="B276" s="509">
        <v>20348</v>
      </c>
      <c r="C276" s="509">
        <v>60</v>
      </c>
      <c r="D276" s="508" t="s">
        <v>2229</v>
      </c>
      <c r="E276" s="510">
        <v>-25774.7</v>
      </c>
      <c r="F276" s="510">
        <v>-19079.22</v>
      </c>
      <c r="G276" s="510">
        <v>-6695.48</v>
      </c>
      <c r="H276" s="511">
        <v>35.093048877260181</v>
      </c>
    </row>
    <row r="277" spans="1:8" x14ac:dyDescent="0.25">
      <c r="A277" s="173" t="s">
        <v>398</v>
      </c>
      <c r="B277" s="509">
        <v>20350</v>
      </c>
      <c r="C277" s="509">
        <v>0</v>
      </c>
      <c r="D277" s="508" t="s">
        <v>2230</v>
      </c>
      <c r="E277" s="510">
        <v>-39089983.740000002</v>
      </c>
      <c r="F277" s="510">
        <v>-43155473.549999997</v>
      </c>
      <c r="G277" s="510">
        <v>4065489.81</v>
      </c>
      <c r="H277" s="511">
        <v>-9.4205658646978279</v>
      </c>
    </row>
    <row r="278" spans="1:8" x14ac:dyDescent="0.25">
      <c r="A278" s="173" t="s">
        <v>398</v>
      </c>
      <c r="B278" s="509">
        <v>20353</v>
      </c>
      <c r="C278" s="509">
        <v>0</v>
      </c>
      <c r="D278" s="508" t="s">
        <v>2231</v>
      </c>
      <c r="E278" s="510">
        <v>-67.760000000000005</v>
      </c>
      <c r="F278" s="510">
        <v>1315.77</v>
      </c>
      <c r="G278" s="510">
        <v>-1383.53</v>
      </c>
      <c r="H278" s="511">
        <v>-105.14983621757602</v>
      </c>
    </row>
    <row r="279" spans="1:8" x14ac:dyDescent="0.25">
      <c r="A279" s="173" t="s">
        <v>398</v>
      </c>
      <c r="B279" s="509">
        <v>20354</v>
      </c>
      <c r="C279" s="509">
        <v>0</v>
      </c>
      <c r="D279" s="508" t="s">
        <v>2232</v>
      </c>
      <c r="E279" s="510">
        <v>3180.73</v>
      </c>
      <c r="F279" s="510">
        <v>2372.79</v>
      </c>
      <c r="G279" s="510">
        <v>807.94</v>
      </c>
      <c r="H279" s="511">
        <v>34.050210933120923</v>
      </c>
    </row>
    <row r="280" spans="1:8" x14ac:dyDescent="0.25">
      <c r="A280" s="173" t="s">
        <v>398</v>
      </c>
      <c r="B280" s="509">
        <v>20360</v>
      </c>
      <c r="C280" s="509">
        <v>0</v>
      </c>
      <c r="D280" s="508" t="s">
        <v>2233</v>
      </c>
      <c r="E280" s="510">
        <v>-220</v>
      </c>
      <c r="F280" s="510">
        <v>0</v>
      </c>
      <c r="G280" s="510">
        <v>-220</v>
      </c>
      <c r="H280" s="511">
        <v>100</v>
      </c>
    </row>
    <row r="281" spans="1:8" x14ac:dyDescent="0.25">
      <c r="A281" s="173" t="s">
        <v>398</v>
      </c>
      <c r="B281" s="509">
        <v>20362</v>
      </c>
      <c r="C281" s="509">
        <v>0</v>
      </c>
      <c r="D281" s="508" t="s">
        <v>2234</v>
      </c>
      <c r="E281" s="510">
        <v>-16</v>
      </c>
      <c r="F281" s="510">
        <v>0</v>
      </c>
      <c r="G281" s="510">
        <v>-16</v>
      </c>
      <c r="H281" s="511">
        <v>100</v>
      </c>
    </row>
    <row r="282" spans="1:8" x14ac:dyDescent="0.25">
      <c r="A282" s="173" t="s">
        <v>398</v>
      </c>
      <c r="B282" s="509">
        <v>20364</v>
      </c>
      <c r="C282" s="509">
        <v>0</v>
      </c>
      <c r="D282" s="508" t="s">
        <v>2235</v>
      </c>
      <c r="E282" s="510">
        <v>-380</v>
      </c>
      <c r="F282" s="510">
        <v>-709</v>
      </c>
      <c r="G282" s="510">
        <v>329</v>
      </c>
      <c r="H282" s="511">
        <v>-46.403385049365305</v>
      </c>
    </row>
    <row r="283" spans="1:8" x14ac:dyDescent="0.25">
      <c r="B283" s="508" t="s">
        <v>2236</v>
      </c>
      <c r="C283" s="508"/>
      <c r="D283" s="508"/>
      <c r="E283" s="510">
        <v>-88521308.920000002</v>
      </c>
      <c r="F283" s="510">
        <v>-92306505.299999997</v>
      </c>
      <c r="G283" s="510">
        <v>3785196.38</v>
      </c>
      <c r="H283" s="511">
        <v>-4.1006821433635174</v>
      </c>
    </row>
    <row r="284" spans="1:8" x14ac:dyDescent="0.25">
      <c r="B284" s="508" t="s">
        <v>2237</v>
      </c>
      <c r="C284" s="508" t="s">
        <v>2238</v>
      </c>
      <c r="D284" s="508"/>
      <c r="E284" s="508"/>
      <c r="F284" s="508"/>
      <c r="G284" s="508"/>
      <c r="H284" s="508"/>
    </row>
    <row r="285" spans="1:8" x14ac:dyDescent="0.25">
      <c r="A285" s="173" t="s">
        <v>399</v>
      </c>
      <c r="B285" s="509">
        <v>20400</v>
      </c>
      <c r="C285" s="509">
        <v>0</v>
      </c>
      <c r="D285" s="508" t="s">
        <v>2239</v>
      </c>
      <c r="E285" s="510">
        <v>-13401082.970000001</v>
      </c>
      <c r="F285" s="510">
        <v>-13570363.789999999</v>
      </c>
      <c r="G285" s="510">
        <v>169280.82</v>
      </c>
      <c r="H285" s="511">
        <v>-1.2474302282503511</v>
      </c>
    </row>
    <row r="286" spans="1:8" x14ac:dyDescent="0.25">
      <c r="B286" s="508" t="s">
        <v>2240</v>
      </c>
      <c r="C286" s="508"/>
      <c r="D286" s="508"/>
      <c r="E286" s="510">
        <v>-13401082.970000001</v>
      </c>
      <c r="F286" s="510">
        <v>-13570363.789999999</v>
      </c>
      <c r="G286" s="510">
        <v>169280.82</v>
      </c>
      <c r="H286" s="511">
        <v>-1.2474302282503511</v>
      </c>
    </row>
    <row r="287" spans="1:8" x14ac:dyDescent="0.25">
      <c r="B287" s="508" t="s">
        <v>2241</v>
      </c>
      <c r="C287" s="508" t="s">
        <v>2242</v>
      </c>
      <c r="D287" s="508"/>
      <c r="E287" s="508"/>
      <c r="F287" s="508"/>
      <c r="G287" s="508"/>
      <c r="H287" s="508"/>
    </row>
    <row r="288" spans="1:8" x14ac:dyDescent="0.25">
      <c r="A288" s="173" t="s">
        <v>403</v>
      </c>
      <c r="B288" s="509">
        <v>20218</v>
      </c>
      <c r="C288" s="509">
        <v>0</v>
      </c>
      <c r="D288" s="508" t="s">
        <v>2243</v>
      </c>
      <c r="E288" s="510">
        <v>-2537365</v>
      </c>
      <c r="F288" s="510">
        <v>-1697205</v>
      </c>
      <c r="G288" s="510">
        <v>-840160</v>
      </c>
      <c r="H288" s="511">
        <v>49.502564510474578</v>
      </c>
    </row>
    <row r="289" spans="1:8" x14ac:dyDescent="0.25">
      <c r="A289" s="173" t="s">
        <v>403</v>
      </c>
      <c r="B289" s="509">
        <v>20615</v>
      </c>
      <c r="C289" s="509">
        <v>0</v>
      </c>
      <c r="D289" s="508" t="s">
        <v>2244</v>
      </c>
      <c r="E289" s="510">
        <v>-17979.169999999998</v>
      </c>
      <c r="F289" s="510">
        <v>-17979.169999999998</v>
      </c>
      <c r="G289" s="510">
        <v>0</v>
      </c>
      <c r="H289" s="511">
        <v>0</v>
      </c>
    </row>
    <row r="290" spans="1:8" x14ac:dyDescent="0.25">
      <c r="A290" s="173" t="s">
        <v>403</v>
      </c>
      <c r="B290" s="509">
        <v>20620</v>
      </c>
      <c r="C290" s="509">
        <v>0</v>
      </c>
      <c r="D290" s="508" t="s">
        <v>2245</v>
      </c>
      <c r="E290" s="510">
        <v>0</v>
      </c>
      <c r="F290" s="510">
        <v>-1300000</v>
      </c>
      <c r="G290" s="510">
        <v>1300000</v>
      </c>
      <c r="H290" s="511">
        <v>-100</v>
      </c>
    </row>
    <row r="291" spans="1:8" x14ac:dyDescent="0.25">
      <c r="A291" s="173" t="s">
        <v>403</v>
      </c>
      <c r="B291" s="509">
        <v>20660</v>
      </c>
      <c r="C291" s="509">
        <v>5</v>
      </c>
      <c r="D291" s="508" t="s">
        <v>2246</v>
      </c>
      <c r="E291" s="510">
        <v>0</v>
      </c>
      <c r="F291" s="510">
        <v>-13440756</v>
      </c>
      <c r="G291" s="510">
        <v>13440756</v>
      </c>
      <c r="H291" s="511">
        <v>-100</v>
      </c>
    </row>
    <row r="292" spans="1:8" x14ac:dyDescent="0.25">
      <c r="A292" s="173" t="s">
        <v>403</v>
      </c>
      <c r="B292" s="509">
        <v>20660</v>
      </c>
      <c r="C292" s="509">
        <v>7</v>
      </c>
      <c r="D292" s="508" t="s">
        <v>2247</v>
      </c>
      <c r="E292" s="510">
        <v>-3542827.62</v>
      </c>
      <c r="F292" s="510">
        <v>-3228000</v>
      </c>
      <c r="G292" s="510">
        <v>-314827.62</v>
      </c>
      <c r="H292" s="511">
        <v>9.7530241635687727</v>
      </c>
    </row>
    <row r="293" spans="1:8" x14ac:dyDescent="0.25">
      <c r="A293" s="173" t="s">
        <v>403</v>
      </c>
      <c r="B293" s="509">
        <v>20660</v>
      </c>
      <c r="C293" s="509">
        <v>0</v>
      </c>
      <c r="D293" s="508" t="s">
        <v>2248</v>
      </c>
      <c r="E293" s="510">
        <v>-1323634.19</v>
      </c>
      <c r="F293" s="510">
        <v>-1246119.2</v>
      </c>
      <c r="G293" s="510">
        <v>-77514.990000000005</v>
      </c>
      <c r="H293" s="511">
        <v>6.2205116492868422</v>
      </c>
    </row>
    <row r="294" spans="1:8" x14ac:dyDescent="0.25">
      <c r="A294" s="173" t="s">
        <v>403</v>
      </c>
      <c r="B294" s="509">
        <v>20660</v>
      </c>
      <c r="C294" s="509">
        <v>3</v>
      </c>
      <c r="D294" s="508" t="s">
        <v>2249</v>
      </c>
      <c r="E294" s="510">
        <v>-450535</v>
      </c>
      <c r="F294" s="510">
        <v>-450535</v>
      </c>
      <c r="G294" s="510">
        <v>0</v>
      </c>
      <c r="H294" s="511">
        <v>0</v>
      </c>
    </row>
    <row r="295" spans="1:8" x14ac:dyDescent="0.25">
      <c r="A295" s="173" t="s">
        <v>403</v>
      </c>
      <c r="B295" s="509">
        <v>20660</v>
      </c>
      <c r="C295" s="509">
        <v>4</v>
      </c>
      <c r="D295" s="508" t="s">
        <v>2250</v>
      </c>
      <c r="E295" s="510">
        <v>-1212000</v>
      </c>
      <c r="F295" s="510">
        <v>-1209000</v>
      </c>
      <c r="G295" s="510">
        <v>-3000</v>
      </c>
      <c r="H295" s="511">
        <v>0.24813895781637715</v>
      </c>
    </row>
    <row r="296" spans="1:8" x14ac:dyDescent="0.25">
      <c r="A296" s="173" t="s">
        <v>403</v>
      </c>
      <c r="B296" s="509">
        <v>20661</v>
      </c>
      <c r="C296" s="509">
        <v>0</v>
      </c>
      <c r="D296" s="508" t="s">
        <v>2251</v>
      </c>
      <c r="E296" s="510">
        <v>-1390953.89</v>
      </c>
      <c r="F296" s="510">
        <v>-1456151.01</v>
      </c>
      <c r="G296" s="510">
        <v>65197.120000000003</v>
      </c>
      <c r="H296" s="511">
        <v>-4.4773598035000504</v>
      </c>
    </row>
    <row r="297" spans="1:8" x14ac:dyDescent="0.25">
      <c r="A297" s="173" t="s">
        <v>403</v>
      </c>
      <c r="B297" s="509">
        <v>20665</v>
      </c>
      <c r="C297" s="509">
        <v>0</v>
      </c>
      <c r="D297" s="508" t="s">
        <v>2252</v>
      </c>
      <c r="E297" s="510">
        <v>-1028561.49</v>
      </c>
      <c r="F297" s="510">
        <v>-1047964.09</v>
      </c>
      <c r="G297" s="510">
        <v>19402.599999999999</v>
      </c>
      <c r="H297" s="511">
        <v>-1.8514565704250419</v>
      </c>
    </row>
    <row r="298" spans="1:8" x14ac:dyDescent="0.25">
      <c r="A298" s="173" t="s">
        <v>403</v>
      </c>
      <c r="B298" s="509">
        <v>20671</v>
      </c>
      <c r="C298" s="509">
        <v>2016</v>
      </c>
      <c r="D298" s="508" t="s">
        <v>2253</v>
      </c>
      <c r="E298" s="510">
        <v>0</v>
      </c>
      <c r="F298" s="510">
        <v>593000</v>
      </c>
      <c r="G298" s="510">
        <v>-593000</v>
      </c>
      <c r="H298" s="511">
        <v>-100</v>
      </c>
    </row>
    <row r="299" spans="1:8" x14ac:dyDescent="0.25">
      <c r="A299" s="173" t="s">
        <v>403</v>
      </c>
      <c r="B299" s="509">
        <v>20671</v>
      </c>
      <c r="C299" s="509">
        <v>2017</v>
      </c>
      <c r="D299" s="508" t="s">
        <v>2254</v>
      </c>
      <c r="E299" s="510">
        <v>776880</v>
      </c>
      <c r="F299" s="510">
        <v>776880</v>
      </c>
      <c r="G299" s="510">
        <v>0</v>
      </c>
      <c r="H299" s="511">
        <v>0</v>
      </c>
    </row>
    <row r="300" spans="1:8" x14ac:dyDescent="0.25">
      <c r="A300" s="173" t="s">
        <v>403</v>
      </c>
      <c r="B300" s="509">
        <v>20671</v>
      </c>
      <c r="C300" s="509">
        <v>2018</v>
      </c>
      <c r="D300" s="508" t="s">
        <v>2255</v>
      </c>
      <c r="E300" s="510">
        <v>-1363996</v>
      </c>
      <c r="F300" s="510">
        <v>-792518</v>
      </c>
      <c r="G300" s="510">
        <v>-571478</v>
      </c>
      <c r="H300" s="511">
        <v>72.109150833167192</v>
      </c>
    </row>
    <row r="301" spans="1:8" x14ac:dyDescent="0.25">
      <c r="A301" s="173" t="s">
        <v>403</v>
      </c>
      <c r="B301" s="509">
        <v>20671</v>
      </c>
      <c r="C301" s="509">
        <v>2019</v>
      </c>
      <c r="D301" s="508" t="s">
        <v>2256</v>
      </c>
      <c r="E301" s="510">
        <v>-453608</v>
      </c>
      <c r="F301" s="510">
        <v>0</v>
      </c>
      <c r="G301" s="510">
        <v>-453608</v>
      </c>
      <c r="H301" s="511">
        <v>100</v>
      </c>
    </row>
    <row r="302" spans="1:8" x14ac:dyDescent="0.25">
      <c r="A302" s="173" t="s">
        <v>403</v>
      </c>
      <c r="B302" s="509">
        <v>20672</v>
      </c>
      <c r="C302" s="509">
        <v>0</v>
      </c>
      <c r="D302" s="508" t="s">
        <v>2257</v>
      </c>
      <c r="E302" s="510">
        <v>-950000</v>
      </c>
      <c r="F302" s="510">
        <v>-950000</v>
      </c>
      <c r="G302" s="510">
        <v>0</v>
      </c>
      <c r="H302" s="511">
        <v>0</v>
      </c>
    </row>
    <row r="303" spans="1:8" x14ac:dyDescent="0.25">
      <c r="A303" s="173" t="s">
        <v>403</v>
      </c>
      <c r="B303" s="509">
        <v>20681</v>
      </c>
      <c r="C303" s="509">
        <v>0</v>
      </c>
      <c r="D303" s="508" t="s">
        <v>2258</v>
      </c>
      <c r="E303" s="510">
        <v>0</v>
      </c>
      <c r="F303" s="510">
        <v>-57207.62</v>
      </c>
      <c r="G303" s="510">
        <v>57207.62</v>
      </c>
      <c r="H303" s="511">
        <v>-100</v>
      </c>
    </row>
    <row r="304" spans="1:8" x14ac:dyDescent="0.25">
      <c r="A304" s="173" t="s">
        <v>403</v>
      </c>
      <c r="B304" s="509">
        <v>20682</v>
      </c>
      <c r="C304" s="509">
        <v>0</v>
      </c>
      <c r="D304" s="508" t="s">
        <v>2259</v>
      </c>
      <c r="E304" s="510">
        <v>0</v>
      </c>
      <c r="F304" s="510">
        <v>78519.95</v>
      </c>
      <c r="G304" s="510">
        <v>-78519.95</v>
      </c>
      <c r="H304" s="511">
        <v>-100</v>
      </c>
    </row>
    <row r="305" spans="1:8" x14ac:dyDescent="0.25">
      <c r="A305" s="173" t="s">
        <v>403</v>
      </c>
      <c r="B305" s="509">
        <v>20683</v>
      </c>
      <c r="C305" s="509">
        <v>0</v>
      </c>
      <c r="D305" s="508" t="s">
        <v>2260</v>
      </c>
      <c r="E305" s="510">
        <v>0</v>
      </c>
      <c r="F305" s="510">
        <v>-21312.33</v>
      </c>
      <c r="G305" s="510">
        <v>21312.33</v>
      </c>
      <c r="H305" s="511">
        <v>-100</v>
      </c>
    </row>
    <row r="306" spans="1:8" x14ac:dyDescent="0.25">
      <c r="B306" s="508" t="s">
        <v>2261</v>
      </c>
      <c r="C306" s="508"/>
      <c r="D306" s="508"/>
      <c r="E306" s="510">
        <v>-13494580.359999999</v>
      </c>
      <c r="F306" s="510">
        <v>-25466347.469999999</v>
      </c>
      <c r="G306" s="510">
        <v>11971767.109999999</v>
      </c>
      <c r="H306" s="511">
        <v>-47.01014593515243</v>
      </c>
    </row>
    <row r="307" spans="1:8" x14ac:dyDescent="0.25">
      <c r="B307" s="508" t="s">
        <v>2262</v>
      </c>
      <c r="C307" s="508" t="s">
        <v>2263</v>
      </c>
      <c r="D307" s="508"/>
      <c r="E307" s="508"/>
      <c r="F307" s="508"/>
      <c r="G307" s="508"/>
      <c r="H307" s="508"/>
    </row>
    <row r="308" spans="1:8" x14ac:dyDescent="0.25">
      <c r="A308" s="173" t="s">
        <v>418</v>
      </c>
      <c r="B308" s="509">
        <v>20660</v>
      </c>
      <c r="C308" s="509">
        <v>1000</v>
      </c>
      <c r="D308" s="508" t="s">
        <v>2264</v>
      </c>
      <c r="E308" s="510">
        <v>-3136384.71</v>
      </c>
      <c r="F308" s="510">
        <v>0</v>
      </c>
      <c r="G308" s="510">
        <v>-3136384.71</v>
      </c>
      <c r="H308" s="511">
        <v>100</v>
      </c>
    </row>
    <row r="309" spans="1:8" x14ac:dyDescent="0.25">
      <c r="A309" s="173" t="s">
        <v>418</v>
      </c>
      <c r="B309" s="509">
        <v>21000</v>
      </c>
      <c r="C309" s="509">
        <v>0</v>
      </c>
      <c r="D309" s="508" t="s">
        <v>2265</v>
      </c>
      <c r="E309" s="510">
        <v>0</v>
      </c>
      <c r="F309" s="510">
        <v>-41417.67</v>
      </c>
      <c r="G309" s="510">
        <v>41417.67</v>
      </c>
      <c r="H309" s="511">
        <v>-100</v>
      </c>
    </row>
    <row r="310" spans="1:8" x14ac:dyDescent="0.25">
      <c r="A310" s="173" t="s">
        <v>418</v>
      </c>
      <c r="B310" s="509">
        <v>21000</v>
      </c>
      <c r="C310" s="509">
        <v>9300</v>
      </c>
      <c r="D310" s="508" t="s">
        <v>2266</v>
      </c>
      <c r="E310" s="510">
        <v>-1166666.8</v>
      </c>
      <c r="F310" s="510">
        <v>-791666.7</v>
      </c>
      <c r="G310" s="510">
        <v>-375000.1</v>
      </c>
      <c r="H310" s="511">
        <v>47.368431689750253</v>
      </c>
    </row>
    <row r="311" spans="1:8" x14ac:dyDescent="0.25">
      <c r="A311" s="173" t="s">
        <v>418</v>
      </c>
      <c r="B311" s="509">
        <v>21030</v>
      </c>
      <c r="C311" s="509">
        <v>0</v>
      </c>
      <c r="D311" s="508" t="s">
        <v>2267</v>
      </c>
      <c r="E311" s="510">
        <v>-7166270.2000000002</v>
      </c>
      <c r="F311" s="510">
        <v>-4591191.3899999997</v>
      </c>
      <c r="G311" s="510">
        <v>-2575078.81</v>
      </c>
      <c r="H311" s="511">
        <v>56.087376701584198</v>
      </c>
    </row>
    <row r="312" spans="1:8" x14ac:dyDescent="0.25">
      <c r="A312" s="173" t="s">
        <v>418</v>
      </c>
      <c r="B312" s="509">
        <v>21032</v>
      </c>
      <c r="C312" s="509">
        <v>0</v>
      </c>
      <c r="D312" s="508" t="s">
        <v>2268</v>
      </c>
      <c r="E312" s="510">
        <v>-2261642.9</v>
      </c>
      <c r="F312" s="510">
        <v>0</v>
      </c>
      <c r="G312" s="510">
        <v>-2261642.9</v>
      </c>
      <c r="H312" s="511">
        <v>100</v>
      </c>
    </row>
    <row r="313" spans="1:8" x14ac:dyDescent="0.25">
      <c r="A313" s="173" t="s">
        <v>418</v>
      </c>
      <c r="B313" s="509">
        <v>21300</v>
      </c>
      <c r="C313" s="509">
        <v>0</v>
      </c>
      <c r="D313" s="508" t="s">
        <v>2269</v>
      </c>
      <c r="E313" s="510">
        <v>-759529.16</v>
      </c>
      <c r="F313" s="510">
        <v>-753097.16</v>
      </c>
      <c r="G313" s="510">
        <v>-6432</v>
      </c>
      <c r="H313" s="511">
        <v>0.85407306541960681</v>
      </c>
    </row>
    <row r="314" spans="1:8" x14ac:dyDescent="0.25">
      <c r="A314" s="173" t="s">
        <v>418</v>
      </c>
      <c r="B314" s="509">
        <v>21400</v>
      </c>
      <c r="C314" s="509">
        <v>0</v>
      </c>
      <c r="D314" s="508" t="s">
        <v>2270</v>
      </c>
      <c r="E314" s="510">
        <v>-3428970.23</v>
      </c>
      <c r="F314" s="510">
        <v>0</v>
      </c>
      <c r="G314" s="510">
        <v>-3428970.23</v>
      </c>
      <c r="H314" s="511">
        <v>100</v>
      </c>
    </row>
    <row r="315" spans="1:8" x14ac:dyDescent="0.25">
      <c r="A315" s="173" t="s">
        <v>418</v>
      </c>
      <c r="B315" s="509">
        <v>23000</v>
      </c>
      <c r="C315" s="509">
        <v>0</v>
      </c>
      <c r="D315" s="508" t="s">
        <v>2271</v>
      </c>
      <c r="E315" s="510">
        <v>-9095484</v>
      </c>
      <c r="F315" s="510">
        <v>-6931391</v>
      </c>
      <c r="G315" s="510">
        <v>-2164093</v>
      </c>
      <c r="H315" s="511">
        <v>31.221626366194027</v>
      </c>
    </row>
    <row r="316" spans="1:8" x14ac:dyDescent="0.25">
      <c r="A316" s="173" t="s">
        <v>418</v>
      </c>
      <c r="B316" s="509">
        <v>23500</v>
      </c>
      <c r="C316" s="509">
        <v>0</v>
      </c>
      <c r="D316" s="508" t="s">
        <v>2272</v>
      </c>
      <c r="E316" s="510">
        <v>-2321839.5699999998</v>
      </c>
      <c r="F316" s="510">
        <v>-2359923.7400000002</v>
      </c>
      <c r="G316" s="510">
        <v>38084.17</v>
      </c>
      <c r="H316" s="511">
        <v>-1.6137881641887293</v>
      </c>
    </row>
    <row r="317" spans="1:8" x14ac:dyDescent="0.25">
      <c r="A317" s="173" t="s">
        <v>418</v>
      </c>
      <c r="B317" s="509">
        <v>26080</v>
      </c>
      <c r="C317" s="509">
        <v>0</v>
      </c>
      <c r="D317" s="508" t="s">
        <v>2273</v>
      </c>
      <c r="E317" s="510">
        <v>-7985916.9800000004</v>
      </c>
      <c r="F317" s="510">
        <v>-5106446.99</v>
      </c>
      <c r="G317" s="510">
        <v>-2879469.99</v>
      </c>
      <c r="H317" s="511">
        <v>56.388913771921871</v>
      </c>
    </row>
    <row r="318" spans="1:8" x14ac:dyDescent="0.25">
      <c r="A318" s="173" t="s">
        <v>418</v>
      </c>
      <c r="B318" s="509">
        <v>26081</v>
      </c>
      <c r="C318" s="509">
        <v>0</v>
      </c>
      <c r="D318" s="508" t="s">
        <v>2274</v>
      </c>
      <c r="E318" s="510">
        <v>-9053057.0299999993</v>
      </c>
      <c r="F318" s="510">
        <v>-5992512.0300000003</v>
      </c>
      <c r="G318" s="510">
        <v>-3060545</v>
      </c>
      <c r="H318" s="511">
        <v>51.07282195977502</v>
      </c>
    </row>
    <row r="319" spans="1:8" x14ac:dyDescent="0.25">
      <c r="B319" s="508" t="s">
        <v>2275</v>
      </c>
      <c r="C319" s="508"/>
      <c r="D319" s="508"/>
      <c r="E319" s="510">
        <v>-46375761.579999998</v>
      </c>
      <c r="F319" s="510">
        <v>-26567646.68</v>
      </c>
      <c r="G319" s="510">
        <v>-19808114.899999999</v>
      </c>
      <c r="H319" s="511">
        <v>74.557280660132577</v>
      </c>
    </row>
    <row r="320" spans="1:8" x14ac:dyDescent="0.25">
      <c r="B320" s="508" t="s">
        <v>2276</v>
      </c>
      <c r="C320" s="508" t="s">
        <v>2277</v>
      </c>
      <c r="D320" s="508"/>
      <c r="E320" s="508"/>
      <c r="F320" s="508"/>
      <c r="G320" s="508"/>
      <c r="H320" s="508"/>
    </row>
    <row r="321" spans="1:8" x14ac:dyDescent="0.25">
      <c r="A321" s="173" t="s">
        <v>416</v>
      </c>
      <c r="B321" s="509">
        <v>26009</v>
      </c>
      <c r="C321" s="509">
        <v>0</v>
      </c>
      <c r="D321" s="508" t="s">
        <v>2278</v>
      </c>
      <c r="E321" s="510">
        <v>0</v>
      </c>
      <c r="F321" s="510">
        <v>-1070000</v>
      </c>
      <c r="G321" s="510">
        <v>1070000</v>
      </c>
      <c r="H321" s="511">
        <v>-100</v>
      </c>
    </row>
    <row r="322" spans="1:8" x14ac:dyDescent="0.25">
      <c r="A322" s="173" t="s">
        <v>416</v>
      </c>
      <c r="B322" s="509">
        <v>26010</v>
      </c>
      <c r="C322" s="509">
        <v>0</v>
      </c>
      <c r="D322" s="508" t="s">
        <v>2279</v>
      </c>
      <c r="E322" s="510">
        <v>-75000000</v>
      </c>
      <c r="F322" s="510">
        <v>-75000000</v>
      </c>
      <c r="G322" s="510">
        <v>0</v>
      </c>
      <c r="H322" s="511">
        <v>0</v>
      </c>
    </row>
    <row r="323" spans="1:8" x14ac:dyDescent="0.25">
      <c r="A323" s="173" t="s">
        <v>416</v>
      </c>
      <c r="B323" s="509">
        <v>26011</v>
      </c>
      <c r="C323" s="509">
        <v>0</v>
      </c>
      <c r="D323" s="508" t="s">
        <v>2280</v>
      </c>
      <c r="E323" s="510">
        <v>-12380000</v>
      </c>
      <c r="F323" s="510">
        <v>-16120000</v>
      </c>
      <c r="G323" s="510">
        <v>3740000</v>
      </c>
      <c r="H323" s="511">
        <v>-23.200992555831267</v>
      </c>
    </row>
    <row r="324" spans="1:8" x14ac:dyDescent="0.25">
      <c r="A324" s="173" t="s">
        <v>416</v>
      </c>
      <c r="B324" s="509">
        <v>26018</v>
      </c>
      <c r="C324" s="509">
        <v>0</v>
      </c>
      <c r="D324" s="508" t="s">
        <v>2281</v>
      </c>
      <c r="E324" s="510">
        <v>-0.06</v>
      </c>
      <c r="F324" s="510">
        <v>3726.9</v>
      </c>
      <c r="G324" s="510">
        <v>-3726.96</v>
      </c>
      <c r="H324" s="511">
        <v>-100.00160991708928</v>
      </c>
    </row>
    <row r="325" spans="1:8" x14ac:dyDescent="0.25">
      <c r="A325" s="173" t="s">
        <v>416</v>
      </c>
      <c r="B325" s="509">
        <v>26019</v>
      </c>
      <c r="C325" s="509">
        <v>0</v>
      </c>
      <c r="D325" s="508" t="s">
        <v>2282</v>
      </c>
      <c r="E325" s="510">
        <v>-1633942.71</v>
      </c>
      <c r="F325" s="510">
        <v>-1717726.95</v>
      </c>
      <c r="G325" s="510">
        <v>83784.240000000005</v>
      </c>
      <c r="H325" s="511">
        <v>-4.8776227211199075</v>
      </c>
    </row>
    <row r="326" spans="1:8" x14ac:dyDescent="0.25">
      <c r="A326" s="173" t="s">
        <v>416</v>
      </c>
      <c r="B326" s="509">
        <v>26020</v>
      </c>
      <c r="C326" s="509">
        <v>0</v>
      </c>
      <c r="D326" s="508" t="s">
        <v>2283</v>
      </c>
      <c r="E326" s="510">
        <v>-445489.07</v>
      </c>
      <c r="F326" s="510">
        <v>-730856.99</v>
      </c>
      <c r="G326" s="510">
        <v>285367.92</v>
      </c>
      <c r="H326" s="511">
        <v>-39.045657892661055</v>
      </c>
    </row>
    <row r="327" spans="1:8" x14ac:dyDescent="0.25">
      <c r="A327" s="173" t="s">
        <v>416</v>
      </c>
      <c r="B327" s="509">
        <v>26021</v>
      </c>
      <c r="C327" s="509">
        <v>0</v>
      </c>
      <c r="D327" s="508" t="s">
        <v>2284</v>
      </c>
      <c r="E327" s="510">
        <v>-2771898.59</v>
      </c>
      <c r="F327" s="510">
        <v>-2895026.99</v>
      </c>
      <c r="G327" s="510">
        <v>123128.4</v>
      </c>
      <c r="H327" s="511">
        <v>-4.2531002448443491</v>
      </c>
    </row>
    <row r="328" spans="1:8" x14ac:dyDescent="0.25">
      <c r="A328" s="173" t="s">
        <v>416</v>
      </c>
      <c r="B328" s="509">
        <v>26022</v>
      </c>
      <c r="C328" s="509">
        <v>0</v>
      </c>
      <c r="D328" s="508" t="s">
        <v>2285</v>
      </c>
      <c r="E328" s="510">
        <v>-1309844.1100000001</v>
      </c>
      <c r="F328" s="510">
        <v>-1454170.03</v>
      </c>
      <c r="G328" s="510">
        <v>144325.92000000001</v>
      </c>
      <c r="H328" s="511">
        <v>-9.9249686778374873</v>
      </c>
    </row>
    <row r="329" spans="1:8" x14ac:dyDescent="0.25">
      <c r="A329" s="173" t="s">
        <v>416</v>
      </c>
      <c r="B329" s="509">
        <v>26023</v>
      </c>
      <c r="C329" s="509">
        <v>0</v>
      </c>
      <c r="D329" s="508" t="s">
        <v>2286</v>
      </c>
      <c r="E329" s="510">
        <v>-46335000</v>
      </c>
      <c r="F329" s="510">
        <v>-46335000</v>
      </c>
      <c r="G329" s="510">
        <v>0</v>
      </c>
      <c r="H329" s="511">
        <v>0</v>
      </c>
    </row>
    <row r="330" spans="1:8" x14ac:dyDescent="0.25">
      <c r="A330" s="173" t="s">
        <v>416</v>
      </c>
      <c r="B330" s="509">
        <v>26024</v>
      </c>
      <c r="C330" s="509">
        <v>0</v>
      </c>
      <c r="D330" s="508" t="s">
        <v>2287</v>
      </c>
      <c r="E330" s="510">
        <v>-27760000</v>
      </c>
      <c r="F330" s="510">
        <v>-27805000</v>
      </c>
      <c r="G330" s="510">
        <v>45000</v>
      </c>
      <c r="H330" s="511">
        <v>-0.16184139543247614</v>
      </c>
    </row>
    <row r="331" spans="1:8" x14ac:dyDescent="0.25">
      <c r="A331" s="173" t="s">
        <v>416</v>
      </c>
      <c r="B331" s="509">
        <v>26025</v>
      </c>
      <c r="C331" s="509">
        <v>0</v>
      </c>
      <c r="D331" s="508" t="s">
        <v>2288</v>
      </c>
      <c r="E331" s="510">
        <v>-55010000</v>
      </c>
      <c r="F331" s="510">
        <v>-56865000</v>
      </c>
      <c r="G331" s="510">
        <v>1855000</v>
      </c>
      <c r="H331" s="511">
        <v>-3.2621120196957709</v>
      </c>
    </row>
    <row r="332" spans="1:8" x14ac:dyDescent="0.25">
      <c r="A332" s="173" t="s">
        <v>416</v>
      </c>
      <c r="B332" s="509">
        <v>26026</v>
      </c>
      <c r="C332" s="509">
        <v>0</v>
      </c>
      <c r="D332" s="508" t="s">
        <v>2289</v>
      </c>
      <c r="E332" s="510">
        <v>-52090000</v>
      </c>
      <c r="F332" s="510">
        <v>-55490000</v>
      </c>
      <c r="G332" s="510">
        <v>3400000</v>
      </c>
      <c r="H332" s="511">
        <v>-6.1272301315552351</v>
      </c>
    </row>
    <row r="333" spans="1:8" x14ac:dyDescent="0.25">
      <c r="A333" s="173" t="s">
        <v>416</v>
      </c>
      <c r="B333" s="509">
        <v>26027</v>
      </c>
      <c r="C333" s="509">
        <v>0</v>
      </c>
      <c r="D333" s="508" t="s">
        <v>2290</v>
      </c>
      <c r="E333" s="510">
        <v>-4104677.5</v>
      </c>
      <c r="F333" s="510">
        <v>-4270057.0599999996</v>
      </c>
      <c r="G333" s="510">
        <v>165379.56</v>
      </c>
      <c r="H333" s="511">
        <v>-3.8730058562730307</v>
      </c>
    </row>
    <row r="334" spans="1:8" x14ac:dyDescent="0.25">
      <c r="A334" s="173" t="s">
        <v>416</v>
      </c>
      <c r="B334" s="509">
        <v>26028</v>
      </c>
      <c r="C334" s="509">
        <v>0</v>
      </c>
      <c r="D334" s="508" t="s">
        <v>2291</v>
      </c>
      <c r="E334" s="510">
        <v>-24352556.140000001</v>
      </c>
      <c r="F334" s="510">
        <v>-25928147.620000001</v>
      </c>
      <c r="G334" s="510">
        <v>1575591.48</v>
      </c>
      <c r="H334" s="511">
        <v>-6.0767606814481727</v>
      </c>
    </row>
    <row r="335" spans="1:8" x14ac:dyDescent="0.25">
      <c r="A335" s="173" t="s">
        <v>416</v>
      </c>
      <c r="B335" s="509">
        <v>26029</v>
      </c>
      <c r="C335" s="509">
        <v>0</v>
      </c>
      <c r="D335" s="508" t="s">
        <v>2292</v>
      </c>
      <c r="E335" s="510">
        <v>-100000000</v>
      </c>
      <c r="F335" s="510">
        <v>-100000000</v>
      </c>
      <c r="G335" s="510">
        <v>0</v>
      </c>
      <c r="H335" s="511">
        <v>0</v>
      </c>
    </row>
    <row r="336" spans="1:8" x14ac:dyDescent="0.25">
      <c r="A336" s="173" t="s">
        <v>416</v>
      </c>
      <c r="B336" s="509">
        <v>26030</v>
      </c>
      <c r="C336" s="509">
        <v>0</v>
      </c>
      <c r="D336" s="508" t="s">
        <v>2293</v>
      </c>
      <c r="E336" s="510">
        <v>-167180000</v>
      </c>
      <c r="F336" s="510">
        <v>-167230000</v>
      </c>
      <c r="G336" s="510">
        <v>50000</v>
      </c>
      <c r="H336" s="511">
        <v>-2.9898941577468155E-2</v>
      </c>
    </row>
    <row r="337" spans="1:8" x14ac:dyDescent="0.25">
      <c r="A337" s="173" t="s">
        <v>416</v>
      </c>
      <c r="B337" s="509">
        <v>26031</v>
      </c>
      <c r="C337" s="509">
        <v>0</v>
      </c>
      <c r="D337" s="508" t="s">
        <v>2294</v>
      </c>
      <c r="E337" s="510">
        <v>-11389522.83</v>
      </c>
      <c r="F337" s="510">
        <v>-11860897.35</v>
      </c>
      <c r="G337" s="510">
        <v>471374.52</v>
      </c>
      <c r="H337" s="511">
        <v>-3.9741893559174937</v>
      </c>
    </row>
    <row r="338" spans="1:8" x14ac:dyDescent="0.25">
      <c r="A338" s="173" t="s">
        <v>416</v>
      </c>
      <c r="B338" s="509">
        <v>26032</v>
      </c>
      <c r="C338" s="509">
        <v>0</v>
      </c>
      <c r="D338" s="508" t="s">
        <v>2295</v>
      </c>
      <c r="E338" s="510">
        <v>-111525000</v>
      </c>
      <c r="F338" s="510">
        <v>-112820000</v>
      </c>
      <c r="G338" s="510">
        <v>1295000</v>
      </c>
      <c r="H338" s="511">
        <v>-1.1478461265733026</v>
      </c>
    </row>
    <row r="339" spans="1:8" x14ac:dyDescent="0.25">
      <c r="A339" s="173" t="s">
        <v>416</v>
      </c>
      <c r="B339" s="509">
        <v>26033</v>
      </c>
      <c r="C339" s="509">
        <v>0</v>
      </c>
      <c r="D339" s="508" t="s">
        <v>2296</v>
      </c>
      <c r="E339" s="510">
        <v>5047781.2300000004</v>
      </c>
      <c r="F339" s="510">
        <v>5370684.5499999998</v>
      </c>
      <c r="G339" s="510">
        <v>-322903.32</v>
      </c>
      <c r="H339" s="511">
        <v>-6.0123307744819989</v>
      </c>
    </row>
    <row r="340" spans="1:8" x14ac:dyDescent="0.25">
      <c r="B340" s="508" t="s">
        <v>2297</v>
      </c>
      <c r="C340" s="508"/>
      <c r="D340" s="508"/>
      <c r="E340" s="510">
        <v>-688240149.77999997</v>
      </c>
      <c r="F340" s="510">
        <v>-702217471.53999996</v>
      </c>
      <c r="G340" s="510">
        <v>13977321.76</v>
      </c>
      <c r="H340" s="511">
        <v>-1.9904548557225434</v>
      </c>
    </row>
    <row r="341" spans="1:8" x14ac:dyDescent="0.25">
      <c r="B341" s="508" t="s">
        <v>2298</v>
      </c>
      <c r="C341" s="508"/>
      <c r="D341" s="508"/>
      <c r="E341" s="510">
        <v>-986053006.69000006</v>
      </c>
      <c r="F341" s="510">
        <v>-976545923.23000002</v>
      </c>
      <c r="G341" s="510">
        <v>-9507083.4600000009</v>
      </c>
      <c r="H341" s="508"/>
    </row>
    <row r="342" spans="1:8" x14ac:dyDescent="0.25">
      <c r="B342" s="508" t="s">
        <v>2299</v>
      </c>
      <c r="C342" s="508" t="s">
        <v>2300</v>
      </c>
      <c r="D342" s="508"/>
      <c r="E342" s="508"/>
      <c r="F342" s="508"/>
      <c r="G342" s="508"/>
      <c r="H342" s="508"/>
    </row>
    <row r="343" spans="1:8" x14ac:dyDescent="0.25">
      <c r="A343" s="173" t="s">
        <v>421</v>
      </c>
      <c r="B343" s="509">
        <v>30000</v>
      </c>
      <c r="C343" s="509">
        <v>0</v>
      </c>
      <c r="D343" s="508" t="s">
        <v>2301</v>
      </c>
      <c r="E343" s="510">
        <v>-1878585130.6400001</v>
      </c>
      <c r="F343" s="510">
        <v>-1797818107.6400001</v>
      </c>
      <c r="G343" s="510">
        <v>-80767023</v>
      </c>
      <c r="H343" s="511">
        <v>4.4925024760165009</v>
      </c>
    </row>
    <row r="344" spans="1:8" x14ac:dyDescent="0.25">
      <c r="A344" s="173" t="s">
        <v>421</v>
      </c>
      <c r="B344" s="509">
        <v>30010</v>
      </c>
      <c r="C344" s="509">
        <v>0</v>
      </c>
      <c r="D344" s="508" t="s">
        <v>2302</v>
      </c>
      <c r="E344" s="510">
        <v>-161783106.78</v>
      </c>
      <c r="F344" s="510">
        <v>0</v>
      </c>
      <c r="G344" s="510">
        <v>-161783106.78</v>
      </c>
      <c r="H344" s="511">
        <v>100</v>
      </c>
    </row>
    <row r="345" spans="1:8" x14ac:dyDescent="0.25">
      <c r="A345" s="173" t="s">
        <v>421</v>
      </c>
      <c r="B345" s="509">
        <v>30010</v>
      </c>
      <c r="C345" s="509">
        <v>1</v>
      </c>
      <c r="D345" s="508" t="s">
        <v>2303</v>
      </c>
      <c r="E345" s="510">
        <v>-25616939.370000001</v>
      </c>
      <c r="F345" s="510">
        <v>-25616939.370000001</v>
      </c>
      <c r="G345" s="510">
        <v>0</v>
      </c>
      <c r="H345" s="511">
        <v>0</v>
      </c>
    </row>
    <row r="346" spans="1:8" x14ac:dyDescent="0.25">
      <c r="A346" s="173" t="s">
        <v>421</v>
      </c>
      <c r="B346" s="509">
        <v>30015</v>
      </c>
      <c r="C346" s="509">
        <v>0</v>
      </c>
      <c r="D346" s="508" t="s">
        <v>2304</v>
      </c>
      <c r="E346" s="510">
        <v>0.57999999999999996</v>
      </c>
      <c r="F346" s="510">
        <v>3.75</v>
      </c>
      <c r="G346" s="510">
        <v>-3.17</v>
      </c>
      <c r="H346" s="511">
        <v>-84.533333333333346</v>
      </c>
    </row>
    <row r="347" spans="1:8" x14ac:dyDescent="0.25">
      <c r="A347" s="173" t="s">
        <v>421</v>
      </c>
      <c r="B347" s="509">
        <v>30150</v>
      </c>
      <c r="C347" s="509">
        <v>3003</v>
      </c>
      <c r="D347" s="508" t="s">
        <v>2305</v>
      </c>
      <c r="E347" s="510">
        <v>-89610191.349999994</v>
      </c>
      <c r="F347" s="510">
        <v>-155355151</v>
      </c>
      <c r="G347" s="510">
        <v>65744959.649999999</v>
      </c>
      <c r="H347" s="511">
        <v>-42.319137297224216</v>
      </c>
    </row>
    <row r="348" spans="1:8" x14ac:dyDescent="0.25">
      <c r="A348" s="173" t="s">
        <v>421</v>
      </c>
      <c r="B348" s="509">
        <v>30150</v>
      </c>
      <c r="C348" s="509">
        <v>3004</v>
      </c>
      <c r="D348" s="508" t="s">
        <v>2306</v>
      </c>
      <c r="E348" s="510">
        <v>5815923.6600000001</v>
      </c>
      <c r="F348" s="510">
        <v>-13886380</v>
      </c>
      <c r="G348" s="510">
        <v>19702303.66</v>
      </c>
      <c r="H348" s="511">
        <v>-141.88221595549018</v>
      </c>
    </row>
    <row r="349" spans="1:8" x14ac:dyDescent="0.25">
      <c r="A349" s="173" t="s">
        <v>421</v>
      </c>
      <c r="B349" s="509">
        <v>30150</v>
      </c>
      <c r="C349" s="509">
        <v>3005</v>
      </c>
      <c r="D349" s="508" t="s">
        <v>2307</v>
      </c>
      <c r="E349" s="510">
        <v>-23830593.829999998</v>
      </c>
      <c r="F349" s="510">
        <v>-20303722</v>
      </c>
      <c r="G349" s="510">
        <v>-3526871.83</v>
      </c>
      <c r="H349" s="511">
        <v>17.370567967784428</v>
      </c>
    </row>
    <row r="350" spans="1:8" x14ac:dyDescent="0.25">
      <c r="A350" s="173" t="s">
        <v>421</v>
      </c>
      <c r="B350" s="509">
        <v>30151</v>
      </c>
      <c r="C350" s="509">
        <v>0</v>
      </c>
      <c r="D350" s="508" t="s">
        <v>2308</v>
      </c>
      <c r="E350" s="510">
        <v>40758597.939999998</v>
      </c>
      <c r="F350" s="510">
        <v>39903575</v>
      </c>
      <c r="G350" s="510">
        <v>855022.94</v>
      </c>
      <c r="H350" s="511">
        <v>2.142722650790061</v>
      </c>
    </row>
    <row r="351" spans="1:8" x14ac:dyDescent="0.25">
      <c r="A351" s="173" t="s">
        <v>421</v>
      </c>
      <c r="B351" s="509">
        <v>30250</v>
      </c>
      <c r="C351" s="509">
        <v>7481</v>
      </c>
      <c r="D351" s="508" t="s">
        <v>2309</v>
      </c>
      <c r="E351" s="510">
        <v>-22218120.170000002</v>
      </c>
      <c r="F351" s="510">
        <v>-20628811.559999999</v>
      </c>
      <c r="G351" s="510">
        <v>-1589308.61</v>
      </c>
      <c r="H351" s="511">
        <v>7.7043149353389113</v>
      </c>
    </row>
    <row r="352" spans="1:8" x14ac:dyDescent="0.25">
      <c r="A352" s="173" t="s">
        <v>421</v>
      </c>
      <c r="B352" s="509">
        <v>30250</v>
      </c>
      <c r="C352" s="509">
        <v>9800</v>
      </c>
      <c r="D352" s="508" t="s">
        <v>2310</v>
      </c>
      <c r="E352" s="510">
        <v>-91202089.019999996</v>
      </c>
      <c r="F352" s="510">
        <v>-80219612.829999998</v>
      </c>
      <c r="G352" s="510">
        <v>-10982476.189999999</v>
      </c>
      <c r="H352" s="511">
        <v>13.690512584838665</v>
      </c>
    </row>
    <row r="353" spans="1:8" x14ac:dyDescent="0.25">
      <c r="A353" s="173" t="s">
        <v>421</v>
      </c>
      <c r="B353" s="509">
        <v>30502</v>
      </c>
      <c r="C353" s="509">
        <v>0</v>
      </c>
      <c r="D353" s="508" t="s">
        <v>2311</v>
      </c>
      <c r="E353" s="510">
        <v>0</v>
      </c>
      <c r="F353" s="510">
        <v>5614</v>
      </c>
      <c r="G353" s="510">
        <v>-5614</v>
      </c>
      <c r="H353" s="511">
        <v>-100</v>
      </c>
    </row>
    <row r="354" spans="1:8" x14ac:dyDescent="0.25">
      <c r="B354" s="508" t="s">
        <v>2312</v>
      </c>
      <c r="C354" s="508"/>
      <c r="D354" s="508"/>
      <c r="E354" s="510">
        <v>-2246271648.98</v>
      </c>
      <c r="F354" s="510">
        <v>-2073919531.6500001</v>
      </c>
      <c r="G354" s="510">
        <v>-172352117.33000001</v>
      </c>
      <c r="H354" s="511">
        <v>8.3104534529783578</v>
      </c>
    </row>
    <row r="355" spans="1:8" x14ac:dyDescent="0.25">
      <c r="B355" s="508" t="s">
        <v>2313</v>
      </c>
      <c r="C355" s="508" t="s">
        <v>2314</v>
      </c>
      <c r="D355" s="508"/>
      <c r="E355" s="508"/>
      <c r="F355" s="508"/>
      <c r="G355" s="508"/>
      <c r="H355" s="508"/>
    </row>
    <row r="356" spans="1:8" x14ac:dyDescent="0.25">
      <c r="A356" s="173" t="s">
        <v>421</v>
      </c>
      <c r="B356" s="509">
        <v>30030</v>
      </c>
      <c r="C356" s="509">
        <v>1269</v>
      </c>
      <c r="D356" s="508" t="s">
        <v>2315</v>
      </c>
      <c r="E356" s="510">
        <v>-0.05</v>
      </c>
      <c r="F356" s="510">
        <v>-0.05</v>
      </c>
      <c r="G356" s="510">
        <v>0</v>
      </c>
      <c r="H356" s="511">
        <v>0</v>
      </c>
    </row>
    <row r="357" spans="1:8" x14ac:dyDescent="0.25">
      <c r="A357" s="173" t="s">
        <v>421</v>
      </c>
      <c r="B357" s="509">
        <v>30030</v>
      </c>
      <c r="C357" s="509">
        <v>7000</v>
      </c>
      <c r="D357" s="508" t="s">
        <v>2316</v>
      </c>
      <c r="E357" s="510">
        <v>-17262.580000000002</v>
      </c>
      <c r="F357" s="510">
        <v>-27608.16</v>
      </c>
      <c r="G357" s="510">
        <v>10345.58</v>
      </c>
      <c r="H357" s="511">
        <v>-37.472906560958783</v>
      </c>
    </row>
    <row r="358" spans="1:8" x14ac:dyDescent="0.25">
      <c r="A358" s="173" t="s">
        <v>421</v>
      </c>
      <c r="B358" s="509">
        <v>30030</v>
      </c>
      <c r="C358" s="509">
        <v>7210</v>
      </c>
      <c r="D358" s="508" t="s">
        <v>2317</v>
      </c>
      <c r="E358" s="510">
        <v>-1338.98</v>
      </c>
      <c r="F358" s="510">
        <v>4189.09</v>
      </c>
      <c r="G358" s="510">
        <v>-5528.07</v>
      </c>
      <c r="H358" s="511">
        <v>-131.96350520041346</v>
      </c>
    </row>
    <row r="359" spans="1:8" x14ac:dyDescent="0.25">
      <c r="A359" s="173" t="s">
        <v>421</v>
      </c>
      <c r="B359" s="509">
        <v>30030</v>
      </c>
      <c r="C359" s="509">
        <v>7211</v>
      </c>
      <c r="D359" s="508" t="s">
        <v>2318</v>
      </c>
      <c r="E359" s="510">
        <v>-483511.92</v>
      </c>
      <c r="F359" s="510">
        <v>-393035.11</v>
      </c>
      <c r="G359" s="510">
        <v>-90476.81</v>
      </c>
      <c r="H359" s="511">
        <v>23.020032485138543</v>
      </c>
    </row>
    <row r="360" spans="1:8" x14ac:dyDescent="0.25">
      <c r="A360" s="173" t="s">
        <v>421</v>
      </c>
      <c r="B360" s="509">
        <v>30030</v>
      </c>
      <c r="C360" s="509">
        <v>7212</v>
      </c>
      <c r="D360" s="508" t="s">
        <v>2319</v>
      </c>
      <c r="E360" s="510">
        <v>-12761.6</v>
      </c>
      <c r="F360" s="510">
        <v>-4041.31</v>
      </c>
      <c r="G360" s="510">
        <v>-8720.2900000000009</v>
      </c>
      <c r="H360" s="511">
        <v>215.7787944998033</v>
      </c>
    </row>
    <row r="361" spans="1:8" x14ac:dyDescent="0.25">
      <c r="A361" s="173" t="s">
        <v>421</v>
      </c>
      <c r="B361" s="509">
        <v>30030</v>
      </c>
      <c r="C361" s="509">
        <v>7213</v>
      </c>
      <c r="D361" s="508" t="s">
        <v>2320</v>
      </c>
      <c r="E361" s="510">
        <v>0.02</v>
      </c>
      <c r="F361" s="510">
        <v>0.02</v>
      </c>
      <c r="G361" s="510">
        <v>0</v>
      </c>
      <c r="H361" s="511">
        <v>0</v>
      </c>
    </row>
    <row r="362" spans="1:8" x14ac:dyDescent="0.25">
      <c r="A362" s="173" t="s">
        <v>421</v>
      </c>
      <c r="B362" s="509">
        <v>30030</v>
      </c>
      <c r="C362" s="509">
        <v>7695</v>
      </c>
      <c r="D362" s="508" t="s">
        <v>2321</v>
      </c>
      <c r="E362" s="510">
        <v>21175.97</v>
      </c>
      <c r="F362" s="510">
        <v>9983.9699999999993</v>
      </c>
      <c r="G362" s="510">
        <v>11192</v>
      </c>
      <c r="H362" s="511">
        <v>112.09969581238725</v>
      </c>
    </row>
    <row r="363" spans="1:8" x14ac:dyDescent="0.25">
      <c r="A363" s="173" t="s">
        <v>421</v>
      </c>
      <c r="B363" s="509">
        <v>30030</v>
      </c>
      <c r="C363" s="509">
        <v>8201</v>
      </c>
      <c r="D363" s="508" t="s">
        <v>2322</v>
      </c>
      <c r="E363" s="510">
        <v>193188.22</v>
      </c>
      <c r="F363" s="510">
        <v>115187</v>
      </c>
      <c r="G363" s="510">
        <v>78001.22</v>
      </c>
      <c r="H363" s="511">
        <v>67.71703404029968</v>
      </c>
    </row>
    <row r="364" spans="1:8" x14ac:dyDescent="0.25">
      <c r="A364" s="173" t="s">
        <v>421</v>
      </c>
      <c r="B364" s="509">
        <v>30030</v>
      </c>
      <c r="C364" s="509">
        <v>8202</v>
      </c>
      <c r="D364" s="508" t="s">
        <v>2323</v>
      </c>
      <c r="E364" s="510">
        <v>69255.759999999995</v>
      </c>
      <c r="F364" s="510">
        <v>49426.44</v>
      </c>
      <c r="G364" s="510">
        <v>19829.32</v>
      </c>
      <c r="H364" s="511">
        <v>40.118851367810429</v>
      </c>
    </row>
    <row r="365" spans="1:8" x14ac:dyDescent="0.25">
      <c r="A365" s="173" t="s">
        <v>421</v>
      </c>
      <c r="B365" s="509">
        <v>30030</v>
      </c>
      <c r="C365" s="509">
        <v>7540</v>
      </c>
      <c r="D365" s="508" t="s">
        <v>2324</v>
      </c>
      <c r="E365" s="510">
        <v>-3154.04</v>
      </c>
      <c r="F365" s="510">
        <v>-795.96</v>
      </c>
      <c r="G365" s="510">
        <v>-2358.08</v>
      </c>
      <c r="H365" s="511">
        <v>296.25609327101864</v>
      </c>
    </row>
    <row r="366" spans="1:8" x14ac:dyDescent="0.25">
      <c r="A366" s="173" t="s">
        <v>421</v>
      </c>
      <c r="B366" s="509">
        <v>30030</v>
      </c>
      <c r="C366" s="509">
        <v>7544</v>
      </c>
      <c r="D366" s="508" t="s">
        <v>2325</v>
      </c>
      <c r="E366" s="510">
        <v>-11721.41</v>
      </c>
      <c r="F366" s="510">
        <v>-7533.38</v>
      </c>
      <c r="G366" s="510">
        <v>-4188.03</v>
      </c>
      <c r="H366" s="511">
        <v>55.592974202814673</v>
      </c>
    </row>
    <row r="367" spans="1:8" x14ac:dyDescent="0.25">
      <c r="A367" s="173" t="s">
        <v>421</v>
      </c>
      <c r="B367" s="509">
        <v>30030</v>
      </c>
      <c r="C367" s="509">
        <v>7642</v>
      </c>
      <c r="D367" s="508" t="s">
        <v>2326</v>
      </c>
      <c r="E367" s="510">
        <v>764.65</v>
      </c>
      <c r="F367" s="510">
        <v>764.65</v>
      </c>
      <c r="G367" s="510">
        <v>0</v>
      </c>
      <c r="H367" s="511">
        <v>0</v>
      </c>
    </row>
    <row r="368" spans="1:8" x14ac:dyDescent="0.25">
      <c r="A368" s="173" t="s">
        <v>421</v>
      </c>
      <c r="B368" s="509">
        <v>30030</v>
      </c>
      <c r="C368" s="509">
        <v>7656</v>
      </c>
      <c r="D368" s="508" t="s">
        <v>2327</v>
      </c>
      <c r="E368" s="510">
        <v>155.47999999999999</v>
      </c>
      <c r="F368" s="510">
        <v>155.47999999999999</v>
      </c>
      <c r="G368" s="510">
        <v>0</v>
      </c>
      <c r="H368" s="511">
        <v>0</v>
      </c>
    </row>
    <row r="369" spans="1:8" x14ac:dyDescent="0.25">
      <c r="A369" s="173" t="s">
        <v>421</v>
      </c>
      <c r="B369" s="509">
        <v>30030</v>
      </c>
      <c r="C369" s="509">
        <v>7658</v>
      </c>
      <c r="D369" s="508" t="s">
        <v>2328</v>
      </c>
      <c r="E369" s="510">
        <v>4309.7299999999996</v>
      </c>
      <c r="F369" s="510">
        <v>2450.4499999999998</v>
      </c>
      <c r="G369" s="510">
        <v>1859.28</v>
      </c>
      <c r="H369" s="511">
        <v>75.875043359382971</v>
      </c>
    </row>
    <row r="370" spans="1:8" x14ac:dyDescent="0.25">
      <c r="A370" s="173" t="s">
        <v>421</v>
      </c>
      <c r="B370" s="509">
        <v>30030</v>
      </c>
      <c r="C370" s="509">
        <v>7660</v>
      </c>
      <c r="D370" s="508" t="s">
        <v>2329</v>
      </c>
      <c r="E370" s="510">
        <v>5862.23</v>
      </c>
      <c r="F370" s="510">
        <v>4235.6499999999996</v>
      </c>
      <c r="G370" s="510">
        <v>1626.58</v>
      </c>
      <c r="H370" s="511">
        <v>38.402134265106888</v>
      </c>
    </row>
    <row r="371" spans="1:8" x14ac:dyDescent="0.25">
      <c r="A371" s="173" t="s">
        <v>421</v>
      </c>
      <c r="B371" s="509">
        <v>30030</v>
      </c>
      <c r="C371" s="509">
        <v>7520</v>
      </c>
      <c r="D371" s="508" t="s">
        <v>2330</v>
      </c>
      <c r="E371" s="510">
        <v>-9124.91</v>
      </c>
      <c r="F371" s="510">
        <v>-3842.64</v>
      </c>
      <c r="G371" s="510">
        <v>-5282.27</v>
      </c>
      <c r="H371" s="511">
        <v>137.46460766556325</v>
      </c>
    </row>
    <row r="372" spans="1:8" x14ac:dyDescent="0.25">
      <c r="A372" s="173" t="s">
        <v>421</v>
      </c>
      <c r="B372" s="509">
        <v>30030</v>
      </c>
      <c r="C372" s="509">
        <v>7523</v>
      </c>
      <c r="D372" s="508" t="s">
        <v>2331</v>
      </c>
      <c r="E372" s="510">
        <v>-79240.960000000006</v>
      </c>
      <c r="F372" s="510">
        <v>-27652.45</v>
      </c>
      <c r="G372" s="510">
        <v>-51588.51</v>
      </c>
      <c r="H372" s="511">
        <v>186.56035902786192</v>
      </c>
    </row>
    <row r="373" spans="1:8" x14ac:dyDescent="0.25">
      <c r="A373" s="173" t="s">
        <v>421</v>
      </c>
      <c r="B373" s="509">
        <v>30030</v>
      </c>
      <c r="C373" s="509">
        <v>7524</v>
      </c>
      <c r="D373" s="508" t="s">
        <v>2332</v>
      </c>
      <c r="E373" s="510">
        <v>2354.04</v>
      </c>
      <c r="F373" s="510">
        <v>1146.79</v>
      </c>
      <c r="G373" s="510">
        <v>1207.25</v>
      </c>
      <c r="H373" s="511">
        <v>105.27210736054552</v>
      </c>
    </row>
    <row r="374" spans="1:8" x14ac:dyDescent="0.25">
      <c r="A374" s="173" t="s">
        <v>421</v>
      </c>
      <c r="B374" s="509">
        <v>30030</v>
      </c>
      <c r="C374" s="509">
        <v>7526</v>
      </c>
      <c r="D374" s="508" t="s">
        <v>2333</v>
      </c>
      <c r="E374" s="510">
        <v>6342.76</v>
      </c>
      <c r="F374" s="510">
        <v>1388</v>
      </c>
      <c r="G374" s="510">
        <v>4954.76</v>
      </c>
      <c r="H374" s="511">
        <v>356.97118155619597</v>
      </c>
    </row>
    <row r="375" spans="1:8" x14ac:dyDescent="0.25">
      <c r="A375" s="173" t="s">
        <v>421</v>
      </c>
      <c r="B375" s="509">
        <v>30030</v>
      </c>
      <c r="C375" s="509">
        <v>7530</v>
      </c>
      <c r="D375" s="508" t="s">
        <v>2334</v>
      </c>
      <c r="E375" s="510">
        <v>-8668.52</v>
      </c>
      <c r="F375" s="510">
        <v>-2107.2800000000002</v>
      </c>
      <c r="G375" s="510">
        <v>-6561.24</v>
      </c>
      <c r="H375" s="511">
        <v>311.36061652936485</v>
      </c>
    </row>
    <row r="376" spans="1:8" x14ac:dyDescent="0.25">
      <c r="A376" s="173" t="s">
        <v>421</v>
      </c>
      <c r="B376" s="509">
        <v>30030</v>
      </c>
      <c r="C376" s="509">
        <v>7531</v>
      </c>
      <c r="D376" s="508" t="s">
        <v>2335</v>
      </c>
      <c r="E376" s="510">
        <v>-2499.17</v>
      </c>
      <c r="F376" s="510">
        <v>-268.44</v>
      </c>
      <c r="G376" s="510">
        <v>-2230.73</v>
      </c>
      <c r="H376" s="511">
        <v>830.99761585456713</v>
      </c>
    </row>
    <row r="377" spans="1:8" x14ac:dyDescent="0.25">
      <c r="A377" s="173" t="s">
        <v>421</v>
      </c>
      <c r="B377" s="509">
        <v>30030</v>
      </c>
      <c r="C377" s="509">
        <v>7417</v>
      </c>
      <c r="D377" s="508" t="s">
        <v>2336</v>
      </c>
      <c r="E377" s="510">
        <v>3840.45</v>
      </c>
      <c r="F377" s="510">
        <v>0</v>
      </c>
      <c r="G377" s="510">
        <v>3840.45</v>
      </c>
      <c r="H377" s="511">
        <v>100</v>
      </c>
    </row>
    <row r="378" spans="1:8" x14ac:dyDescent="0.25">
      <c r="A378" s="173" t="s">
        <v>421</v>
      </c>
      <c r="B378" s="509">
        <v>30030</v>
      </c>
      <c r="C378" s="509">
        <v>7418</v>
      </c>
      <c r="D378" s="508" t="s">
        <v>2337</v>
      </c>
      <c r="E378" s="510">
        <v>26313.09</v>
      </c>
      <c r="F378" s="510">
        <v>0</v>
      </c>
      <c r="G378" s="510">
        <v>26313.09</v>
      </c>
      <c r="H378" s="511">
        <v>100</v>
      </c>
    </row>
    <row r="379" spans="1:8" x14ac:dyDescent="0.25">
      <c r="A379" s="173" t="s">
        <v>421</v>
      </c>
      <c r="B379" s="509">
        <v>30030</v>
      </c>
      <c r="C379" s="509">
        <v>7514</v>
      </c>
      <c r="D379" s="508" t="s">
        <v>2338</v>
      </c>
      <c r="E379" s="510">
        <v>2432.4699999999998</v>
      </c>
      <c r="F379" s="510">
        <v>-156.49</v>
      </c>
      <c r="G379" s="510">
        <v>2588.96</v>
      </c>
      <c r="H379" s="511">
        <v>-1654.3932519649818</v>
      </c>
    </row>
    <row r="380" spans="1:8" x14ac:dyDescent="0.25">
      <c r="A380" s="173" t="s">
        <v>421</v>
      </c>
      <c r="B380" s="509">
        <v>30030</v>
      </c>
      <c r="C380" s="509">
        <v>7516</v>
      </c>
      <c r="D380" s="508" t="s">
        <v>2339</v>
      </c>
      <c r="E380" s="510">
        <v>930.65</v>
      </c>
      <c r="F380" s="510">
        <v>313.08</v>
      </c>
      <c r="G380" s="510">
        <v>617.57000000000005</v>
      </c>
      <c r="H380" s="511">
        <v>197.25629232145135</v>
      </c>
    </row>
    <row r="381" spans="1:8" x14ac:dyDescent="0.25">
      <c r="A381" s="173" t="s">
        <v>421</v>
      </c>
      <c r="B381" s="509">
        <v>30030</v>
      </c>
      <c r="C381" s="509">
        <v>7518</v>
      </c>
      <c r="D381" s="508" t="s">
        <v>2340</v>
      </c>
      <c r="E381" s="510">
        <v>-3826.8</v>
      </c>
      <c r="F381" s="510">
        <v>-3034.9</v>
      </c>
      <c r="G381" s="510">
        <v>-791.9</v>
      </c>
      <c r="H381" s="511">
        <v>26.093116741902534</v>
      </c>
    </row>
    <row r="382" spans="1:8" x14ac:dyDescent="0.25">
      <c r="A382" s="173" t="s">
        <v>421</v>
      </c>
      <c r="B382" s="509">
        <v>30030</v>
      </c>
      <c r="C382" s="509">
        <v>7411</v>
      </c>
      <c r="D382" s="508" t="s">
        <v>2341</v>
      </c>
      <c r="E382" s="510">
        <v>2727.34</v>
      </c>
      <c r="F382" s="510">
        <v>-8001.5</v>
      </c>
      <c r="G382" s="510">
        <v>10728.84</v>
      </c>
      <c r="H382" s="511">
        <v>-134.08535899518841</v>
      </c>
    </row>
    <row r="383" spans="1:8" x14ac:dyDescent="0.25">
      <c r="A383" s="173" t="s">
        <v>421</v>
      </c>
      <c r="B383" s="509">
        <v>30030</v>
      </c>
      <c r="C383" s="509">
        <v>7412</v>
      </c>
      <c r="D383" s="508" t="s">
        <v>2342</v>
      </c>
      <c r="E383" s="510">
        <v>78002.320000000007</v>
      </c>
      <c r="F383" s="510">
        <v>78002.320000000007</v>
      </c>
      <c r="G383" s="510">
        <v>0</v>
      </c>
      <c r="H383" s="511">
        <v>0</v>
      </c>
    </row>
    <row r="384" spans="1:8" x14ac:dyDescent="0.25">
      <c r="A384" s="173" t="s">
        <v>421</v>
      </c>
      <c r="B384" s="509">
        <v>30030</v>
      </c>
      <c r="C384" s="509">
        <v>7413</v>
      </c>
      <c r="D384" s="508" t="s">
        <v>2334</v>
      </c>
      <c r="E384" s="510">
        <v>0.36</v>
      </c>
      <c r="F384" s="510">
        <v>0.36</v>
      </c>
      <c r="G384" s="510">
        <v>0</v>
      </c>
      <c r="H384" s="511">
        <v>0</v>
      </c>
    </row>
    <row r="385" spans="1:8" x14ac:dyDescent="0.25">
      <c r="A385" s="173" t="s">
        <v>421</v>
      </c>
      <c r="B385" s="509">
        <v>30030</v>
      </c>
      <c r="C385" s="509">
        <v>7414</v>
      </c>
      <c r="D385" s="508" t="s">
        <v>2343</v>
      </c>
      <c r="E385" s="510">
        <v>26925.19</v>
      </c>
      <c r="F385" s="510">
        <v>7902.65</v>
      </c>
      <c r="G385" s="510">
        <v>19022.54</v>
      </c>
      <c r="H385" s="511">
        <v>240.71090077379108</v>
      </c>
    </row>
    <row r="386" spans="1:8" x14ac:dyDescent="0.25">
      <c r="A386" s="173" t="s">
        <v>421</v>
      </c>
      <c r="B386" s="509">
        <v>30030</v>
      </c>
      <c r="C386" s="509">
        <v>7415</v>
      </c>
      <c r="D386" s="508" t="s">
        <v>2344</v>
      </c>
      <c r="E386" s="510">
        <v>12937.34</v>
      </c>
      <c r="F386" s="510">
        <v>6357.82</v>
      </c>
      <c r="G386" s="510">
        <v>6579.52</v>
      </c>
      <c r="H386" s="511">
        <v>103.48704430134858</v>
      </c>
    </row>
    <row r="387" spans="1:8" x14ac:dyDescent="0.25">
      <c r="A387" s="173" t="s">
        <v>421</v>
      </c>
      <c r="B387" s="509">
        <v>30030</v>
      </c>
      <c r="C387" s="509">
        <v>7416</v>
      </c>
      <c r="D387" s="508" t="s">
        <v>2345</v>
      </c>
      <c r="E387" s="510">
        <v>-80156.990000000005</v>
      </c>
      <c r="F387" s="510">
        <v>-85270.69</v>
      </c>
      <c r="G387" s="510">
        <v>5113.7</v>
      </c>
      <c r="H387" s="511">
        <v>-5.9970196089652834</v>
      </c>
    </row>
    <row r="388" spans="1:8" x14ac:dyDescent="0.25">
      <c r="A388" s="173" t="s">
        <v>421</v>
      </c>
      <c r="B388" s="509">
        <v>30030</v>
      </c>
      <c r="C388" s="509">
        <v>7405</v>
      </c>
      <c r="D388" s="508" t="s">
        <v>2346</v>
      </c>
      <c r="E388" s="510">
        <v>945</v>
      </c>
      <c r="F388" s="510">
        <v>945</v>
      </c>
      <c r="G388" s="510">
        <v>0</v>
      </c>
      <c r="H388" s="511">
        <v>0</v>
      </c>
    </row>
    <row r="389" spans="1:8" x14ac:dyDescent="0.25">
      <c r="A389" s="173" t="s">
        <v>421</v>
      </c>
      <c r="B389" s="509">
        <v>30030</v>
      </c>
      <c r="C389" s="509">
        <v>7406</v>
      </c>
      <c r="D389" s="508" t="s">
        <v>2347</v>
      </c>
      <c r="E389" s="510">
        <v>12215.75</v>
      </c>
      <c r="F389" s="510">
        <v>17236.830000000002</v>
      </c>
      <c r="G389" s="510">
        <v>-5021.08</v>
      </c>
      <c r="H389" s="511">
        <v>-29.129950228667337</v>
      </c>
    </row>
    <row r="390" spans="1:8" x14ac:dyDescent="0.25">
      <c r="A390" s="173" t="s">
        <v>421</v>
      </c>
      <c r="B390" s="509">
        <v>30030</v>
      </c>
      <c r="C390" s="509">
        <v>7407</v>
      </c>
      <c r="D390" s="508" t="s">
        <v>2348</v>
      </c>
      <c r="E390" s="510">
        <v>-20190.02</v>
      </c>
      <c r="F390" s="510">
        <v>-20190.02</v>
      </c>
      <c r="G390" s="510">
        <v>0</v>
      </c>
      <c r="H390" s="511">
        <v>0</v>
      </c>
    </row>
    <row r="391" spans="1:8" x14ac:dyDescent="0.25">
      <c r="A391" s="173" t="s">
        <v>421</v>
      </c>
      <c r="B391" s="509">
        <v>30030</v>
      </c>
      <c r="C391" s="509">
        <v>7408</v>
      </c>
      <c r="D391" s="508" t="s">
        <v>2349</v>
      </c>
      <c r="E391" s="510">
        <v>-14336.04</v>
      </c>
      <c r="F391" s="510">
        <v>-21915.54</v>
      </c>
      <c r="G391" s="510">
        <v>7579.5</v>
      </c>
      <c r="H391" s="511">
        <v>-34.585047870141459</v>
      </c>
    </row>
    <row r="392" spans="1:8" x14ac:dyDescent="0.25">
      <c r="A392" s="173" t="s">
        <v>421</v>
      </c>
      <c r="B392" s="509">
        <v>30030</v>
      </c>
      <c r="C392" s="509">
        <v>7409</v>
      </c>
      <c r="D392" s="508" t="s">
        <v>2350</v>
      </c>
      <c r="E392" s="510">
        <v>31008.49</v>
      </c>
      <c r="F392" s="510">
        <v>28811.33</v>
      </c>
      <c r="G392" s="510">
        <v>2197.16</v>
      </c>
      <c r="H392" s="511">
        <v>7.6260276773061149</v>
      </c>
    </row>
    <row r="393" spans="1:8" x14ac:dyDescent="0.25">
      <c r="A393" s="173" t="s">
        <v>421</v>
      </c>
      <c r="B393" s="509">
        <v>30030</v>
      </c>
      <c r="C393" s="509">
        <v>7410</v>
      </c>
      <c r="D393" s="508" t="s">
        <v>2351</v>
      </c>
      <c r="E393" s="510">
        <v>225967.52</v>
      </c>
      <c r="F393" s="510">
        <v>84230.399999999994</v>
      </c>
      <c r="G393" s="510">
        <v>141737.12</v>
      </c>
      <c r="H393" s="511">
        <v>168.27311754425955</v>
      </c>
    </row>
    <row r="394" spans="1:8" x14ac:dyDescent="0.25">
      <c r="A394" s="173" t="s">
        <v>421</v>
      </c>
      <c r="B394" s="509">
        <v>30030</v>
      </c>
      <c r="C394" s="509">
        <v>7302</v>
      </c>
      <c r="D394" s="508" t="s">
        <v>2352</v>
      </c>
      <c r="E394" s="510">
        <v>-187774.52</v>
      </c>
      <c r="F394" s="510">
        <v>-157239</v>
      </c>
      <c r="G394" s="510">
        <v>-30535.52</v>
      </c>
      <c r="H394" s="511">
        <v>19.419813150681446</v>
      </c>
    </row>
    <row r="395" spans="1:8" x14ac:dyDescent="0.25">
      <c r="A395" s="173" t="s">
        <v>421</v>
      </c>
      <c r="B395" s="509">
        <v>30030</v>
      </c>
      <c r="C395" s="509">
        <v>7303</v>
      </c>
      <c r="D395" s="508" t="s">
        <v>2353</v>
      </c>
      <c r="E395" s="510">
        <v>-1257659.97</v>
      </c>
      <c r="F395" s="510">
        <v>-1101236</v>
      </c>
      <c r="G395" s="510">
        <v>-156423.97</v>
      </c>
      <c r="H395" s="511">
        <v>14.204400328358318</v>
      </c>
    </row>
    <row r="396" spans="1:8" x14ac:dyDescent="0.25">
      <c r="A396" s="173" t="s">
        <v>421</v>
      </c>
      <c r="B396" s="509">
        <v>30030</v>
      </c>
      <c r="C396" s="509">
        <v>7401</v>
      </c>
      <c r="D396" s="508" t="s">
        <v>2354</v>
      </c>
      <c r="E396" s="510">
        <v>-4416.09</v>
      </c>
      <c r="F396" s="510">
        <v>-4416.09</v>
      </c>
      <c r="G396" s="510">
        <v>0</v>
      </c>
      <c r="H396" s="511">
        <v>0</v>
      </c>
    </row>
    <row r="397" spans="1:8" x14ac:dyDescent="0.25">
      <c r="A397" s="173" t="s">
        <v>421</v>
      </c>
      <c r="B397" s="509">
        <v>30030</v>
      </c>
      <c r="C397" s="509">
        <v>7402</v>
      </c>
      <c r="D397" s="508" t="s">
        <v>2355</v>
      </c>
      <c r="E397" s="510">
        <v>1214.3499999999999</v>
      </c>
      <c r="F397" s="510">
        <v>1214.3499999999999</v>
      </c>
      <c r="G397" s="510">
        <v>0</v>
      </c>
      <c r="H397" s="511">
        <v>0</v>
      </c>
    </row>
    <row r="398" spans="1:8" x14ac:dyDescent="0.25">
      <c r="A398" s="173" t="s">
        <v>421</v>
      </c>
      <c r="B398" s="509">
        <v>30030</v>
      </c>
      <c r="C398" s="509">
        <v>7403</v>
      </c>
      <c r="D398" s="508" t="s">
        <v>2356</v>
      </c>
      <c r="E398" s="510">
        <v>-42161.18</v>
      </c>
      <c r="F398" s="510">
        <v>-42161.18</v>
      </c>
      <c r="G398" s="510">
        <v>0</v>
      </c>
      <c r="H398" s="511">
        <v>0</v>
      </c>
    </row>
    <row r="399" spans="1:8" x14ac:dyDescent="0.25">
      <c r="A399" s="173" t="s">
        <v>421</v>
      </c>
      <c r="B399" s="509">
        <v>30030</v>
      </c>
      <c r="C399" s="509">
        <v>7404</v>
      </c>
      <c r="D399" s="508" t="s">
        <v>2357</v>
      </c>
      <c r="E399" s="510">
        <v>-1165.25</v>
      </c>
      <c r="F399" s="510">
        <v>-1165.25</v>
      </c>
      <c r="G399" s="510">
        <v>0</v>
      </c>
      <c r="H399" s="511">
        <v>0</v>
      </c>
    </row>
    <row r="400" spans="1:8" x14ac:dyDescent="0.25">
      <c r="A400" s="173" t="s">
        <v>421</v>
      </c>
      <c r="B400" s="509">
        <v>30030</v>
      </c>
      <c r="C400" s="509">
        <v>7292</v>
      </c>
      <c r="D400" s="508" t="s">
        <v>2358</v>
      </c>
      <c r="E400" s="510">
        <v>34314.019999999997</v>
      </c>
      <c r="F400" s="510">
        <v>44279.62</v>
      </c>
      <c r="G400" s="510">
        <v>-9965.6</v>
      </c>
      <c r="H400" s="511">
        <v>-22.506064866862001</v>
      </c>
    </row>
    <row r="401" spans="1:8" x14ac:dyDescent="0.25">
      <c r="A401" s="173" t="s">
        <v>421</v>
      </c>
      <c r="B401" s="509">
        <v>30030</v>
      </c>
      <c r="C401" s="509">
        <v>7293</v>
      </c>
      <c r="D401" s="508" t="s">
        <v>2359</v>
      </c>
      <c r="E401" s="510">
        <v>-678793.58</v>
      </c>
      <c r="F401" s="510">
        <v>-678793.58</v>
      </c>
      <c r="G401" s="510">
        <v>0</v>
      </c>
      <c r="H401" s="511">
        <v>0</v>
      </c>
    </row>
    <row r="402" spans="1:8" x14ac:dyDescent="0.25">
      <c r="A402" s="173" t="s">
        <v>421</v>
      </c>
      <c r="B402" s="509">
        <v>30030</v>
      </c>
      <c r="C402" s="509">
        <v>7295</v>
      </c>
      <c r="D402" s="508" t="s">
        <v>2360</v>
      </c>
      <c r="E402" s="510">
        <v>9290.8700000000008</v>
      </c>
      <c r="F402" s="510">
        <v>14481.78</v>
      </c>
      <c r="G402" s="510">
        <v>-5190.91</v>
      </c>
      <c r="H402" s="511">
        <v>-35.844419677691555</v>
      </c>
    </row>
    <row r="403" spans="1:8" x14ac:dyDescent="0.25">
      <c r="A403" s="173" t="s">
        <v>421</v>
      </c>
      <c r="B403" s="509">
        <v>30030</v>
      </c>
      <c r="C403" s="509">
        <v>7296</v>
      </c>
      <c r="D403" s="508" t="s">
        <v>2361</v>
      </c>
      <c r="E403" s="510">
        <v>-124.38</v>
      </c>
      <c r="F403" s="510">
        <v>1342.96</v>
      </c>
      <c r="G403" s="510">
        <v>-1467.34</v>
      </c>
      <c r="H403" s="511">
        <v>-109.26163102400669</v>
      </c>
    </row>
    <row r="404" spans="1:8" x14ac:dyDescent="0.25">
      <c r="A404" s="173" t="s">
        <v>421</v>
      </c>
      <c r="B404" s="509">
        <v>30030</v>
      </c>
      <c r="C404" s="509">
        <v>7301</v>
      </c>
      <c r="D404" s="508" t="s">
        <v>2362</v>
      </c>
      <c r="E404" s="510">
        <v>-226838.89</v>
      </c>
      <c r="F404" s="510">
        <v>-132144.53</v>
      </c>
      <c r="G404" s="510">
        <v>-94694.36</v>
      </c>
      <c r="H404" s="511">
        <v>71.659689583821589</v>
      </c>
    </row>
    <row r="405" spans="1:8" x14ac:dyDescent="0.25">
      <c r="A405" s="173" t="s">
        <v>421</v>
      </c>
      <c r="B405" s="509">
        <v>30030</v>
      </c>
      <c r="C405" s="509">
        <v>7272</v>
      </c>
      <c r="D405" s="508" t="s">
        <v>2363</v>
      </c>
      <c r="E405" s="510">
        <v>-21453.200000000001</v>
      </c>
      <c r="F405" s="510">
        <v>-10291.11</v>
      </c>
      <c r="G405" s="510">
        <v>-11162.09</v>
      </c>
      <c r="H405" s="511">
        <v>108.46342134133246</v>
      </c>
    </row>
    <row r="406" spans="1:8" x14ac:dyDescent="0.25">
      <c r="A406" s="173" t="s">
        <v>421</v>
      </c>
      <c r="B406" s="509">
        <v>30030</v>
      </c>
      <c r="C406" s="509">
        <v>7273</v>
      </c>
      <c r="D406" s="508" t="s">
        <v>2364</v>
      </c>
      <c r="E406" s="510">
        <v>-12252.89</v>
      </c>
      <c r="F406" s="510">
        <v>-7139.1</v>
      </c>
      <c r="G406" s="510">
        <v>-5113.79</v>
      </c>
      <c r="H406" s="511">
        <v>71.630737768065998</v>
      </c>
    </row>
    <row r="407" spans="1:8" x14ac:dyDescent="0.25">
      <c r="A407" s="173" t="s">
        <v>421</v>
      </c>
      <c r="B407" s="509">
        <v>30030</v>
      </c>
      <c r="C407" s="509">
        <v>7276</v>
      </c>
      <c r="D407" s="508" t="s">
        <v>2365</v>
      </c>
      <c r="E407" s="510">
        <v>8836.65</v>
      </c>
      <c r="F407" s="510">
        <v>12993.69</v>
      </c>
      <c r="G407" s="510">
        <v>-4157.04</v>
      </c>
      <c r="H407" s="511">
        <v>-31.992759562526121</v>
      </c>
    </row>
    <row r="408" spans="1:8" x14ac:dyDescent="0.25">
      <c r="A408" s="173" t="s">
        <v>421</v>
      </c>
      <c r="B408" s="509">
        <v>30030</v>
      </c>
      <c r="C408" s="509">
        <v>7279</v>
      </c>
      <c r="D408" s="508" t="s">
        <v>2366</v>
      </c>
      <c r="E408" s="510">
        <v>100.89</v>
      </c>
      <c r="F408" s="510">
        <v>100.89</v>
      </c>
      <c r="G408" s="510">
        <v>0</v>
      </c>
      <c r="H408" s="511">
        <v>0</v>
      </c>
    </row>
    <row r="409" spans="1:8" x14ac:dyDescent="0.25">
      <c r="A409" s="173" t="s">
        <v>421</v>
      </c>
      <c r="B409" s="509">
        <v>30030</v>
      </c>
      <c r="C409" s="509">
        <v>7280</v>
      </c>
      <c r="D409" s="508" t="s">
        <v>2367</v>
      </c>
      <c r="E409" s="510">
        <v>-1979.03</v>
      </c>
      <c r="F409" s="510">
        <v>-1979.03</v>
      </c>
      <c r="G409" s="510">
        <v>0</v>
      </c>
      <c r="H409" s="511">
        <v>0</v>
      </c>
    </row>
    <row r="410" spans="1:8" x14ac:dyDescent="0.25">
      <c r="A410" s="173" t="s">
        <v>421</v>
      </c>
      <c r="B410" s="509">
        <v>30030</v>
      </c>
      <c r="C410" s="509">
        <v>7263</v>
      </c>
      <c r="D410" s="508" t="s">
        <v>2368</v>
      </c>
      <c r="E410" s="510">
        <v>-25514.16</v>
      </c>
      <c r="F410" s="510">
        <v>14361.84</v>
      </c>
      <c r="G410" s="510">
        <v>-39876</v>
      </c>
      <c r="H410" s="511">
        <v>-277.65244564763287</v>
      </c>
    </row>
    <row r="411" spans="1:8" x14ac:dyDescent="0.25">
      <c r="A411" s="173" t="s">
        <v>421</v>
      </c>
      <c r="B411" s="509">
        <v>30030</v>
      </c>
      <c r="C411" s="509">
        <v>7264</v>
      </c>
      <c r="D411" s="508" t="s">
        <v>2369</v>
      </c>
      <c r="E411" s="510">
        <v>9499.27</v>
      </c>
      <c r="F411" s="510">
        <v>1153.06</v>
      </c>
      <c r="G411" s="510">
        <v>8346.2099999999991</v>
      </c>
      <c r="H411" s="511">
        <v>723.83137044039336</v>
      </c>
    </row>
    <row r="412" spans="1:8" x14ac:dyDescent="0.25">
      <c r="A412" s="173" t="s">
        <v>421</v>
      </c>
      <c r="B412" s="509">
        <v>30030</v>
      </c>
      <c r="C412" s="509">
        <v>7265</v>
      </c>
      <c r="D412" s="508" t="s">
        <v>2370</v>
      </c>
      <c r="E412" s="510">
        <v>-1144.2</v>
      </c>
      <c r="F412" s="510">
        <v>-1144.2</v>
      </c>
      <c r="G412" s="510">
        <v>0</v>
      </c>
      <c r="H412" s="511">
        <v>0</v>
      </c>
    </row>
    <row r="413" spans="1:8" x14ac:dyDescent="0.25">
      <c r="A413" s="173" t="s">
        <v>421</v>
      </c>
      <c r="B413" s="509">
        <v>30030</v>
      </c>
      <c r="C413" s="509">
        <v>7266</v>
      </c>
      <c r="D413" s="508" t="s">
        <v>2371</v>
      </c>
      <c r="E413" s="510">
        <v>13604.44</v>
      </c>
      <c r="F413" s="510">
        <v>18718.38</v>
      </c>
      <c r="G413" s="510">
        <v>-5113.9399999999996</v>
      </c>
      <c r="H413" s="511">
        <v>-27.320419822655595</v>
      </c>
    </row>
    <row r="414" spans="1:8" x14ac:dyDescent="0.25">
      <c r="A414" s="173" t="s">
        <v>421</v>
      </c>
      <c r="B414" s="509">
        <v>30030</v>
      </c>
      <c r="C414" s="509">
        <v>7270</v>
      </c>
      <c r="D414" s="508" t="s">
        <v>107</v>
      </c>
      <c r="E414" s="510">
        <v>19134.18</v>
      </c>
      <c r="F414" s="510">
        <v>201.17</v>
      </c>
      <c r="G414" s="510">
        <v>18933.009999999998</v>
      </c>
      <c r="H414" s="511">
        <v>9411.4480290301726</v>
      </c>
    </row>
    <row r="415" spans="1:8" x14ac:dyDescent="0.25">
      <c r="A415" s="173" t="s">
        <v>421</v>
      </c>
      <c r="B415" s="509">
        <v>30030</v>
      </c>
      <c r="C415" s="509">
        <v>7271</v>
      </c>
      <c r="D415" s="508" t="s">
        <v>2372</v>
      </c>
      <c r="E415" s="510">
        <v>-7654.69</v>
      </c>
      <c r="F415" s="510">
        <v>-7654.69</v>
      </c>
      <c r="G415" s="510">
        <v>0</v>
      </c>
      <c r="H415" s="511">
        <v>0</v>
      </c>
    </row>
    <row r="416" spans="1:8" x14ac:dyDescent="0.25">
      <c r="A416" s="173" t="s">
        <v>421</v>
      </c>
      <c r="B416" s="509">
        <v>30030</v>
      </c>
      <c r="C416" s="509">
        <v>7254</v>
      </c>
      <c r="D416" s="508" t="s">
        <v>2373</v>
      </c>
      <c r="E416" s="510">
        <v>18659.89</v>
      </c>
      <c r="F416" s="510">
        <v>2368.35</v>
      </c>
      <c r="G416" s="510">
        <v>16291.54</v>
      </c>
      <c r="H416" s="511">
        <v>687.88565879198609</v>
      </c>
    </row>
    <row r="417" spans="1:8" x14ac:dyDescent="0.25">
      <c r="A417" s="173" t="s">
        <v>421</v>
      </c>
      <c r="B417" s="509">
        <v>30030</v>
      </c>
      <c r="C417" s="509">
        <v>7255</v>
      </c>
      <c r="D417" s="508" t="s">
        <v>2374</v>
      </c>
      <c r="E417" s="510">
        <v>-2505.09</v>
      </c>
      <c r="F417" s="510">
        <v>-2627.51</v>
      </c>
      <c r="G417" s="510">
        <v>122.42</v>
      </c>
      <c r="H417" s="511">
        <v>-4.6591639993758349</v>
      </c>
    </row>
    <row r="418" spans="1:8" x14ac:dyDescent="0.25">
      <c r="A418" s="173" t="s">
        <v>421</v>
      </c>
      <c r="B418" s="509">
        <v>30030</v>
      </c>
      <c r="C418" s="509">
        <v>7256</v>
      </c>
      <c r="D418" s="508" t="s">
        <v>2375</v>
      </c>
      <c r="E418" s="510">
        <v>13600.39</v>
      </c>
      <c r="F418" s="510">
        <v>21960</v>
      </c>
      <c r="G418" s="510">
        <v>-8359.61</v>
      </c>
      <c r="H418" s="511">
        <v>-38.067440801457195</v>
      </c>
    </row>
    <row r="419" spans="1:8" x14ac:dyDescent="0.25">
      <c r="A419" s="173" t="s">
        <v>421</v>
      </c>
      <c r="B419" s="509">
        <v>30030</v>
      </c>
      <c r="C419" s="509">
        <v>7258</v>
      </c>
      <c r="D419" s="508" t="s">
        <v>2376</v>
      </c>
      <c r="E419" s="510">
        <v>950.55</v>
      </c>
      <c r="F419" s="510">
        <v>3100.81</v>
      </c>
      <c r="G419" s="510">
        <v>-2150.2600000000002</v>
      </c>
      <c r="H419" s="511">
        <v>-69.345106601178401</v>
      </c>
    </row>
    <row r="420" spans="1:8" x14ac:dyDescent="0.25">
      <c r="A420" s="173" t="s">
        <v>421</v>
      </c>
      <c r="B420" s="509">
        <v>30030</v>
      </c>
      <c r="C420" s="509">
        <v>7260</v>
      </c>
      <c r="D420" s="508" t="s">
        <v>2377</v>
      </c>
      <c r="E420" s="510">
        <v>17450.53</v>
      </c>
      <c r="F420" s="510">
        <v>9066.7800000000007</v>
      </c>
      <c r="G420" s="510">
        <v>8383.75</v>
      </c>
      <c r="H420" s="511">
        <v>92.466675048914823</v>
      </c>
    </row>
    <row r="421" spans="1:8" x14ac:dyDescent="0.25">
      <c r="A421" s="173" t="s">
        <v>421</v>
      </c>
      <c r="B421" s="509">
        <v>30030</v>
      </c>
      <c r="C421" s="509">
        <v>7262</v>
      </c>
      <c r="D421" s="508" t="s">
        <v>2378</v>
      </c>
      <c r="E421" s="510">
        <v>9765.14</v>
      </c>
      <c r="F421" s="510">
        <v>4834.96</v>
      </c>
      <c r="G421" s="510">
        <v>4930.18</v>
      </c>
      <c r="H421" s="511">
        <v>101.96940615847907</v>
      </c>
    </row>
    <row r="422" spans="1:8" x14ac:dyDescent="0.25">
      <c r="A422" s="173" t="s">
        <v>421</v>
      </c>
      <c r="B422" s="509">
        <v>30030</v>
      </c>
      <c r="C422" s="509">
        <v>7244</v>
      </c>
      <c r="D422" s="508" t="s">
        <v>2379</v>
      </c>
      <c r="E422" s="510">
        <v>-55828.19</v>
      </c>
      <c r="F422" s="510">
        <v>-35725.33</v>
      </c>
      <c r="G422" s="510">
        <v>-20102.86</v>
      </c>
      <c r="H422" s="511">
        <v>56.27060687752919</v>
      </c>
    </row>
    <row r="423" spans="1:8" x14ac:dyDescent="0.25">
      <c r="A423" s="173" t="s">
        <v>421</v>
      </c>
      <c r="B423" s="509">
        <v>30030</v>
      </c>
      <c r="C423" s="509">
        <v>7245</v>
      </c>
      <c r="D423" s="508" t="s">
        <v>2380</v>
      </c>
      <c r="E423" s="510">
        <v>-513510.65</v>
      </c>
      <c r="F423" s="510">
        <v>-398773.32</v>
      </c>
      <c r="G423" s="510">
        <v>-114737.33</v>
      </c>
      <c r="H423" s="511">
        <v>28.772569338390046</v>
      </c>
    </row>
    <row r="424" spans="1:8" x14ac:dyDescent="0.25">
      <c r="A424" s="173" t="s">
        <v>421</v>
      </c>
      <c r="B424" s="509">
        <v>30030</v>
      </c>
      <c r="C424" s="509">
        <v>7246</v>
      </c>
      <c r="D424" s="508" t="s">
        <v>2381</v>
      </c>
      <c r="E424" s="510">
        <v>0.4</v>
      </c>
      <c r="F424" s="510">
        <v>0.4</v>
      </c>
      <c r="G424" s="510">
        <v>0</v>
      </c>
      <c r="H424" s="511">
        <v>0</v>
      </c>
    </row>
    <row r="425" spans="1:8" x14ac:dyDescent="0.25">
      <c r="A425" s="173" t="s">
        <v>421</v>
      </c>
      <c r="B425" s="509">
        <v>30030</v>
      </c>
      <c r="C425" s="509">
        <v>7247</v>
      </c>
      <c r="D425" s="508" t="s">
        <v>2382</v>
      </c>
      <c r="E425" s="510">
        <v>10336.700000000001</v>
      </c>
      <c r="F425" s="510">
        <v>-275.83999999999997</v>
      </c>
      <c r="G425" s="510">
        <v>10612.54</v>
      </c>
      <c r="H425" s="511">
        <v>-3847.3535382830623</v>
      </c>
    </row>
    <row r="426" spans="1:8" x14ac:dyDescent="0.25">
      <c r="A426" s="173" t="s">
        <v>421</v>
      </c>
      <c r="B426" s="509">
        <v>30030</v>
      </c>
      <c r="C426" s="509">
        <v>7250</v>
      </c>
      <c r="D426" s="508" t="s">
        <v>2383</v>
      </c>
      <c r="E426" s="510">
        <v>14743.59</v>
      </c>
      <c r="F426" s="510">
        <v>5411.66</v>
      </c>
      <c r="G426" s="510">
        <v>9331.93</v>
      </c>
      <c r="H426" s="511">
        <v>172.44117331835332</v>
      </c>
    </row>
    <row r="427" spans="1:8" x14ac:dyDescent="0.25">
      <c r="A427" s="173" t="s">
        <v>421</v>
      </c>
      <c r="B427" s="509">
        <v>30030</v>
      </c>
      <c r="C427" s="509">
        <v>7252</v>
      </c>
      <c r="D427" s="508" t="s">
        <v>2384</v>
      </c>
      <c r="E427" s="510">
        <v>1063.3499999999999</v>
      </c>
      <c r="F427" s="510">
        <v>482.11</v>
      </c>
      <c r="G427" s="510">
        <v>581.24</v>
      </c>
      <c r="H427" s="511">
        <v>120.56169753790627</v>
      </c>
    </row>
    <row r="428" spans="1:8" x14ac:dyDescent="0.25">
      <c r="A428" s="173" t="s">
        <v>421</v>
      </c>
      <c r="B428" s="509">
        <v>30030</v>
      </c>
      <c r="C428" s="509">
        <v>7238</v>
      </c>
      <c r="D428" s="508" t="s">
        <v>2385</v>
      </c>
      <c r="E428" s="510">
        <v>-14298.81</v>
      </c>
      <c r="F428" s="510">
        <v>-28142.84</v>
      </c>
      <c r="G428" s="510">
        <v>13844.03</v>
      </c>
      <c r="H428" s="511">
        <v>-49.192014736252631</v>
      </c>
    </row>
    <row r="429" spans="1:8" x14ac:dyDescent="0.25">
      <c r="A429" s="173" t="s">
        <v>421</v>
      </c>
      <c r="B429" s="509">
        <v>30030</v>
      </c>
      <c r="C429" s="509">
        <v>7239</v>
      </c>
      <c r="D429" s="508" t="s">
        <v>2386</v>
      </c>
      <c r="E429" s="510">
        <v>259.41000000000003</v>
      </c>
      <c r="F429" s="510">
        <v>259.41000000000003</v>
      </c>
      <c r="G429" s="510">
        <v>0</v>
      </c>
      <c r="H429" s="511">
        <v>0</v>
      </c>
    </row>
    <row r="430" spans="1:8" x14ac:dyDescent="0.25">
      <c r="A430" s="173" t="s">
        <v>421</v>
      </c>
      <c r="B430" s="509">
        <v>30030</v>
      </c>
      <c r="C430" s="509">
        <v>7240</v>
      </c>
      <c r="D430" s="508" t="s">
        <v>2387</v>
      </c>
      <c r="E430" s="510">
        <v>17791.59</v>
      </c>
      <c r="F430" s="510">
        <v>-5318.58</v>
      </c>
      <c r="G430" s="510">
        <v>23110.17</v>
      </c>
      <c r="H430" s="511">
        <v>-434.51767201019823</v>
      </c>
    </row>
    <row r="431" spans="1:8" x14ac:dyDescent="0.25">
      <c r="A431" s="173" t="s">
        <v>421</v>
      </c>
      <c r="B431" s="509">
        <v>30030</v>
      </c>
      <c r="C431" s="509">
        <v>7241</v>
      </c>
      <c r="D431" s="508" t="s">
        <v>2388</v>
      </c>
      <c r="E431" s="510">
        <v>-301523.83</v>
      </c>
      <c r="F431" s="510">
        <v>-237902.6</v>
      </c>
      <c r="G431" s="510">
        <v>-63621.23</v>
      </c>
      <c r="H431" s="511">
        <v>26.742553465157588</v>
      </c>
    </row>
    <row r="432" spans="1:8" x14ac:dyDescent="0.25">
      <c r="A432" s="173" t="s">
        <v>421</v>
      </c>
      <c r="B432" s="509">
        <v>30030</v>
      </c>
      <c r="C432" s="509">
        <v>7242</v>
      </c>
      <c r="D432" s="508" t="s">
        <v>2389</v>
      </c>
      <c r="E432" s="510">
        <v>-1042.21</v>
      </c>
      <c r="F432" s="510">
        <v>246.65</v>
      </c>
      <c r="G432" s="510">
        <v>-1288.8599999999999</v>
      </c>
      <c r="H432" s="511">
        <v>-522.54611798094481</v>
      </c>
    </row>
    <row r="433" spans="1:8" x14ac:dyDescent="0.25">
      <c r="A433" s="173" t="s">
        <v>421</v>
      </c>
      <c r="B433" s="509">
        <v>30030</v>
      </c>
      <c r="C433" s="509">
        <v>7243</v>
      </c>
      <c r="D433" s="508" t="s">
        <v>2390</v>
      </c>
      <c r="E433" s="510">
        <v>35916.71</v>
      </c>
      <c r="F433" s="510">
        <v>2856.67</v>
      </c>
      <c r="G433" s="510">
        <v>33060.04</v>
      </c>
      <c r="H433" s="511">
        <v>1157.2929319802427</v>
      </c>
    </row>
    <row r="434" spans="1:8" x14ac:dyDescent="0.25">
      <c r="A434" s="173" t="s">
        <v>421</v>
      </c>
      <c r="B434" s="509">
        <v>30030</v>
      </c>
      <c r="C434" s="509">
        <v>7232</v>
      </c>
      <c r="D434" s="508" t="s">
        <v>2391</v>
      </c>
      <c r="E434" s="510">
        <v>-22105.59</v>
      </c>
      <c r="F434" s="510">
        <v>-29166.99</v>
      </c>
      <c r="G434" s="510">
        <v>7061.4</v>
      </c>
      <c r="H434" s="511">
        <v>-24.210245897845475</v>
      </c>
    </row>
    <row r="435" spans="1:8" x14ac:dyDescent="0.25">
      <c r="A435" s="173" t="s">
        <v>421</v>
      </c>
      <c r="B435" s="509">
        <v>30030</v>
      </c>
      <c r="C435" s="509">
        <v>7233</v>
      </c>
      <c r="D435" s="508" t="s">
        <v>2392</v>
      </c>
      <c r="E435" s="510">
        <v>588.49</v>
      </c>
      <c r="F435" s="510">
        <v>588.49</v>
      </c>
      <c r="G435" s="510">
        <v>0</v>
      </c>
      <c r="H435" s="511">
        <v>0</v>
      </c>
    </row>
    <row r="436" spans="1:8" x14ac:dyDescent="0.25">
      <c r="A436" s="173" t="s">
        <v>421</v>
      </c>
      <c r="B436" s="509">
        <v>30030</v>
      </c>
      <c r="C436" s="509">
        <v>7235</v>
      </c>
      <c r="D436" s="508" t="s">
        <v>2393</v>
      </c>
      <c r="E436" s="510">
        <v>383.81</v>
      </c>
      <c r="F436" s="510">
        <v>-0.47</v>
      </c>
      <c r="G436" s="510">
        <v>384.28</v>
      </c>
      <c r="H436" s="511">
        <v>-81761.702127659577</v>
      </c>
    </row>
    <row r="437" spans="1:8" x14ac:dyDescent="0.25">
      <c r="A437" s="173" t="s">
        <v>421</v>
      </c>
      <c r="B437" s="509">
        <v>30030</v>
      </c>
      <c r="C437" s="509">
        <v>7236</v>
      </c>
      <c r="D437" s="508" t="s">
        <v>2394</v>
      </c>
      <c r="E437" s="510">
        <v>5304.85</v>
      </c>
      <c r="F437" s="510">
        <v>-207895.87</v>
      </c>
      <c r="G437" s="510">
        <v>213200.72</v>
      </c>
      <c r="H437" s="511">
        <v>-102.55168609169581</v>
      </c>
    </row>
    <row r="438" spans="1:8" x14ac:dyDescent="0.25">
      <c r="A438" s="173" t="s">
        <v>421</v>
      </c>
      <c r="B438" s="509">
        <v>30030</v>
      </c>
      <c r="C438" s="509">
        <v>7237</v>
      </c>
      <c r="D438" s="508" t="s">
        <v>2395</v>
      </c>
      <c r="E438" s="510">
        <v>-77894.75</v>
      </c>
      <c r="F438" s="510">
        <v>-92539.05</v>
      </c>
      <c r="G438" s="510">
        <v>14644.3</v>
      </c>
      <c r="H438" s="511">
        <v>-15.824994961586487</v>
      </c>
    </row>
    <row r="439" spans="1:8" x14ac:dyDescent="0.25">
      <c r="A439" s="173" t="s">
        <v>421</v>
      </c>
      <c r="B439" s="509">
        <v>30030</v>
      </c>
      <c r="C439" s="509">
        <v>7226</v>
      </c>
      <c r="D439" s="508" t="s">
        <v>2396</v>
      </c>
      <c r="E439" s="510">
        <v>-27203.41</v>
      </c>
      <c r="F439" s="510">
        <v>-29681</v>
      </c>
      <c r="G439" s="510">
        <v>2477.59</v>
      </c>
      <c r="H439" s="511">
        <v>-8.3473939557292542</v>
      </c>
    </row>
    <row r="440" spans="1:8" x14ac:dyDescent="0.25">
      <c r="A440" s="173" t="s">
        <v>421</v>
      </c>
      <c r="B440" s="509">
        <v>30030</v>
      </c>
      <c r="C440" s="509">
        <v>7227</v>
      </c>
      <c r="D440" s="508" t="s">
        <v>2397</v>
      </c>
      <c r="E440" s="510">
        <v>-853398.87</v>
      </c>
      <c r="F440" s="510">
        <v>-731292.79</v>
      </c>
      <c r="G440" s="510">
        <v>-122106.08</v>
      </c>
      <c r="H440" s="511">
        <v>16.697290287792939</v>
      </c>
    </row>
    <row r="441" spans="1:8" x14ac:dyDescent="0.25">
      <c r="A441" s="173" t="s">
        <v>421</v>
      </c>
      <c r="B441" s="509">
        <v>30030</v>
      </c>
      <c r="C441" s="509">
        <v>7228</v>
      </c>
      <c r="D441" s="508" t="s">
        <v>2398</v>
      </c>
      <c r="E441" s="510">
        <v>-216043.65</v>
      </c>
      <c r="F441" s="510">
        <v>-151492.4</v>
      </c>
      <c r="G441" s="510">
        <v>-64551.25</v>
      </c>
      <c r="H441" s="511">
        <v>42.610223351138409</v>
      </c>
    </row>
    <row r="442" spans="1:8" x14ac:dyDescent="0.25">
      <c r="A442" s="173" t="s">
        <v>421</v>
      </c>
      <c r="B442" s="509">
        <v>30030</v>
      </c>
      <c r="C442" s="509">
        <v>7229</v>
      </c>
      <c r="D442" s="508" t="s">
        <v>2399</v>
      </c>
      <c r="E442" s="510">
        <v>-526545.32999999996</v>
      </c>
      <c r="F442" s="510">
        <v>-417658.87</v>
      </c>
      <c r="G442" s="510">
        <v>-108886.46</v>
      </c>
      <c r="H442" s="511">
        <v>26.070668629640259</v>
      </c>
    </row>
    <row r="443" spans="1:8" x14ac:dyDescent="0.25">
      <c r="A443" s="173" t="s">
        <v>421</v>
      </c>
      <c r="B443" s="509">
        <v>30030</v>
      </c>
      <c r="C443" s="509">
        <v>7230</v>
      </c>
      <c r="D443" s="508" t="s">
        <v>2400</v>
      </c>
      <c r="E443" s="510">
        <v>-9650.56</v>
      </c>
      <c r="F443" s="510">
        <v>-9309.48</v>
      </c>
      <c r="G443" s="510">
        <v>-341.08</v>
      </c>
      <c r="H443" s="511">
        <v>3.6637921774363331</v>
      </c>
    </row>
    <row r="444" spans="1:8" x14ac:dyDescent="0.25">
      <c r="A444" s="173" t="s">
        <v>421</v>
      </c>
      <c r="B444" s="509">
        <v>30030</v>
      </c>
      <c r="C444" s="509">
        <v>7231</v>
      </c>
      <c r="D444" s="508" t="s">
        <v>2401</v>
      </c>
      <c r="E444" s="510">
        <v>-5650.11</v>
      </c>
      <c r="F444" s="510">
        <v>-10867.63</v>
      </c>
      <c r="G444" s="510">
        <v>5217.5200000000004</v>
      </c>
      <c r="H444" s="511">
        <v>-48.009731652623444</v>
      </c>
    </row>
    <row r="445" spans="1:8" x14ac:dyDescent="0.25">
      <c r="A445" s="173" t="s">
        <v>421</v>
      </c>
      <c r="B445" s="509">
        <v>30030</v>
      </c>
      <c r="C445" s="509">
        <v>7220</v>
      </c>
      <c r="D445" s="508" t="s">
        <v>2402</v>
      </c>
      <c r="E445" s="510">
        <v>564.22</v>
      </c>
      <c r="F445" s="510">
        <v>7273.47</v>
      </c>
      <c r="G445" s="510">
        <v>-6709.25</v>
      </c>
      <c r="H445" s="511">
        <v>-92.242767207398941</v>
      </c>
    </row>
    <row r="446" spans="1:8" x14ac:dyDescent="0.25">
      <c r="A446" s="173" t="s">
        <v>421</v>
      </c>
      <c r="B446" s="509">
        <v>30030</v>
      </c>
      <c r="C446" s="509">
        <v>7221</v>
      </c>
      <c r="D446" s="508" t="s">
        <v>2403</v>
      </c>
      <c r="E446" s="510">
        <v>-376458.79</v>
      </c>
      <c r="F446" s="510">
        <v>-334349.52</v>
      </c>
      <c r="G446" s="510">
        <v>-42109.27</v>
      </c>
      <c r="H446" s="511">
        <v>12.59438625782983</v>
      </c>
    </row>
    <row r="447" spans="1:8" x14ac:dyDescent="0.25">
      <c r="A447" s="173" t="s">
        <v>421</v>
      </c>
      <c r="B447" s="509">
        <v>30030</v>
      </c>
      <c r="C447" s="509">
        <v>7222</v>
      </c>
      <c r="D447" s="508" t="s">
        <v>2404</v>
      </c>
      <c r="E447" s="510">
        <v>4485.91</v>
      </c>
      <c r="F447" s="510">
        <v>3197.59</v>
      </c>
      <c r="G447" s="510">
        <v>1288.32</v>
      </c>
      <c r="H447" s="511">
        <v>40.290343665072761</v>
      </c>
    </row>
    <row r="448" spans="1:8" x14ac:dyDescent="0.25">
      <c r="A448" s="173" t="s">
        <v>421</v>
      </c>
      <c r="B448" s="509">
        <v>30030</v>
      </c>
      <c r="C448" s="509">
        <v>7223</v>
      </c>
      <c r="D448" s="508" t="s">
        <v>2405</v>
      </c>
      <c r="E448" s="510">
        <v>28837.39</v>
      </c>
      <c r="F448" s="510">
        <v>-128685.04</v>
      </c>
      <c r="G448" s="510">
        <v>157522.43</v>
      </c>
      <c r="H448" s="511">
        <v>-122.4092792759749</v>
      </c>
    </row>
    <row r="449" spans="1:8" x14ac:dyDescent="0.25">
      <c r="A449" s="173" t="s">
        <v>421</v>
      </c>
      <c r="B449" s="509">
        <v>30030</v>
      </c>
      <c r="C449" s="509">
        <v>7224</v>
      </c>
      <c r="D449" s="508" t="s">
        <v>2406</v>
      </c>
      <c r="E449" s="510">
        <v>2576.7199999999998</v>
      </c>
      <c r="F449" s="510">
        <v>2599.71</v>
      </c>
      <c r="G449" s="510">
        <v>-22.99</v>
      </c>
      <c r="H449" s="511">
        <v>-0.88432940597220466</v>
      </c>
    </row>
    <row r="450" spans="1:8" x14ac:dyDescent="0.25">
      <c r="A450" s="173" t="s">
        <v>421</v>
      </c>
      <c r="B450" s="509">
        <v>30030</v>
      </c>
      <c r="C450" s="509">
        <v>7225</v>
      </c>
      <c r="D450" s="508" t="s">
        <v>2407</v>
      </c>
      <c r="E450" s="510">
        <v>-23340.51</v>
      </c>
      <c r="F450" s="510">
        <v>-23340.51</v>
      </c>
      <c r="G450" s="510">
        <v>0</v>
      </c>
      <c r="H450" s="511">
        <v>0</v>
      </c>
    </row>
    <row r="451" spans="1:8" x14ac:dyDescent="0.25">
      <c r="A451" s="173" t="s">
        <v>421</v>
      </c>
      <c r="B451" s="509">
        <v>30030</v>
      </c>
      <c r="C451" s="509">
        <v>7214</v>
      </c>
      <c r="D451" s="508" t="s">
        <v>2408</v>
      </c>
      <c r="E451" s="510">
        <v>-27575.759999999998</v>
      </c>
      <c r="F451" s="510">
        <v>-21876.21</v>
      </c>
      <c r="G451" s="510">
        <v>-5699.55</v>
      </c>
      <c r="H451" s="511">
        <v>26.053644575545764</v>
      </c>
    </row>
    <row r="452" spans="1:8" x14ac:dyDescent="0.25">
      <c r="A452" s="173" t="s">
        <v>421</v>
      </c>
      <c r="B452" s="509">
        <v>30030</v>
      </c>
      <c r="C452" s="509">
        <v>7215</v>
      </c>
      <c r="D452" s="508" t="s">
        <v>2409</v>
      </c>
      <c r="E452" s="510">
        <v>-33282.04</v>
      </c>
      <c r="F452" s="510">
        <v>-22686.51</v>
      </c>
      <c r="G452" s="510">
        <v>-10595.53</v>
      </c>
      <c r="H452" s="511">
        <v>46.704098603090557</v>
      </c>
    </row>
    <row r="453" spans="1:8" x14ac:dyDescent="0.25">
      <c r="A453" s="173" t="s">
        <v>421</v>
      </c>
      <c r="B453" s="509">
        <v>30030</v>
      </c>
      <c r="C453" s="509">
        <v>7216</v>
      </c>
      <c r="D453" s="508" t="s">
        <v>713</v>
      </c>
      <c r="E453" s="510">
        <v>-19717.13</v>
      </c>
      <c r="F453" s="510">
        <v>-11358.39</v>
      </c>
      <c r="G453" s="510">
        <v>-8358.74</v>
      </c>
      <c r="H453" s="511">
        <v>73.590887440913718</v>
      </c>
    </row>
    <row r="454" spans="1:8" x14ac:dyDescent="0.25">
      <c r="A454" s="173" t="s">
        <v>421</v>
      </c>
      <c r="B454" s="509">
        <v>30030</v>
      </c>
      <c r="C454" s="509">
        <v>7217</v>
      </c>
      <c r="D454" s="508" t="s">
        <v>2410</v>
      </c>
      <c r="E454" s="510">
        <v>-470357.3</v>
      </c>
      <c r="F454" s="510">
        <v>-362138.24</v>
      </c>
      <c r="G454" s="510">
        <v>-108219.06</v>
      </c>
      <c r="H454" s="511">
        <v>29.883356145984472</v>
      </c>
    </row>
    <row r="455" spans="1:8" x14ac:dyDescent="0.25">
      <c r="A455" s="173" t="s">
        <v>421</v>
      </c>
      <c r="B455" s="509">
        <v>30030</v>
      </c>
      <c r="C455" s="509">
        <v>7218</v>
      </c>
      <c r="D455" s="508" t="s">
        <v>2411</v>
      </c>
      <c r="E455" s="510">
        <v>-148856.45000000001</v>
      </c>
      <c r="F455" s="510">
        <v>1277.4000000000001</v>
      </c>
      <c r="G455" s="510">
        <v>-150133.85</v>
      </c>
      <c r="H455" s="511">
        <v>-11753.08047596681</v>
      </c>
    </row>
    <row r="456" spans="1:8" x14ac:dyDescent="0.25">
      <c r="A456" s="173" t="s">
        <v>421</v>
      </c>
      <c r="B456" s="509">
        <v>30030</v>
      </c>
      <c r="C456" s="509">
        <v>7219</v>
      </c>
      <c r="D456" s="508" t="s">
        <v>2412</v>
      </c>
      <c r="E456" s="510">
        <v>-2049.3200000000002</v>
      </c>
      <c r="F456" s="510">
        <v>5389.4</v>
      </c>
      <c r="G456" s="510">
        <v>-7438.72</v>
      </c>
      <c r="H456" s="511">
        <v>-138.02501206071176</v>
      </c>
    </row>
    <row r="457" spans="1:8" x14ac:dyDescent="0.25">
      <c r="A457" s="173" t="s">
        <v>421</v>
      </c>
      <c r="B457" s="509">
        <v>30032</v>
      </c>
      <c r="C457" s="509">
        <v>8000</v>
      </c>
      <c r="D457" s="508" t="s">
        <v>2413</v>
      </c>
      <c r="E457" s="510">
        <v>2184122.85</v>
      </c>
      <c r="F457" s="510">
        <v>1989388.61</v>
      </c>
      <c r="G457" s="510">
        <v>194734.24</v>
      </c>
      <c r="H457" s="511">
        <v>9.7886475785140838</v>
      </c>
    </row>
    <row r="458" spans="1:8" x14ac:dyDescent="0.25">
      <c r="A458" s="173" t="s">
        <v>421</v>
      </c>
      <c r="B458" s="509">
        <v>30032</v>
      </c>
      <c r="C458" s="509">
        <v>9020</v>
      </c>
      <c r="D458" s="508" t="s">
        <v>2414</v>
      </c>
      <c r="E458" s="510">
        <v>-1088768.77</v>
      </c>
      <c r="F458" s="510">
        <v>-1181459.28</v>
      </c>
      <c r="G458" s="510">
        <v>92690.51</v>
      </c>
      <c r="H458" s="511">
        <v>-7.8454257010025774</v>
      </c>
    </row>
    <row r="459" spans="1:8" x14ac:dyDescent="0.25">
      <c r="A459" s="173" t="s">
        <v>421</v>
      </c>
      <c r="B459" s="509">
        <v>30034</v>
      </c>
      <c r="C459" s="509">
        <v>8000</v>
      </c>
      <c r="D459" s="508" t="s">
        <v>2415</v>
      </c>
      <c r="E459" s="510">
        <v>-3513110.45</v>
      </c>
      <c r="F459" s="510">
        <v>-3614668.05</v>
      </c>
      <c r="G459" s="510">
        <v>101557.6</v>
      </c>
      <c r="H459" s="511">
        <v>-2.8095968591085425</v>
      </c>
    </row>
    <row r="460" spans="1:8" x14ac:dyDescent="0.25">
      <c r="A460" s="173" t="s">
        <v>421</v>
      </c>
      <c r="B460" s="509">
        <v>30034</v>
      </c>
      <c r="C460" s="509">
        <v>8400</v>
      </c>
      <c r="D460" s="508" t="s">
        <v>2416</v>
      </c>
      <c r="E460" s="510">
        <v>98392916.180000007</v>
      </c>
      <c r="F460" s="510">
        <v>84247448.010000005</v>
      </c>
      <c r="G460" s="510">
        <v>14145468.17</v>
      </c>
      <c r="H460" s="511">
        <v>16.790381790936816</v>
      </c>
    </row>
    <row r="461" spans="1:8" x14ac:dyDescent="0.25">
      <c r="A461" s="173" t="s">
        <v>421</v>
      </c>
      <c r="B461" s="509">
        <v>30034</v>
      </c>
      <c r="C461" s="509">
        <v>9010</v>
      </c>
      <c r="D461" s="508" t="s">
        <v>2417</v>
      </c>
      <c r="E461" s="510">
        <v>-9368353.2899999991</v>
      </c>
      <c r="F461" s="510">
        <v>-6953138.2800000003</v>
      </c>
      <c r="G461" s="510">
        <v>-2415215.0099999998</v>
      </c>
      <c r="H461" s="511">
        <v>34.735610205640839</v>
      </c>
    </row>
    <row r="462" spans="1:8" x14ac:dyDescent="0.25">
      <c r="A462" s="173" t="s">
        <v>421</v>
      </c>
      <c r="B462" s="509">
        <v>30034</v>
      </c>
      <c r="C462" s="509">
        <v>4600</v>
      </c>
      <c r="D462" s="508" t="s">
        <v>2418</v>
      </c>
      <c r="E462" s="510">
        <v>-411965.96</v>
      </c>
      <c r="F462" s="510">
        <v>-493708.43</v>
      </c>
      <c r="G462" s="510">
        <v>81742.47</v>
      </c>
      <c r="H462" s="511">
        <v>-16.55683092144082</v>
      </c>
    </row>
    <row r="463" spans="1:8" x14ac:dyDescent="0.25">
      <c r="B463" s="508" t="s">
        <v>2419</v>
      </c>
      <c r="C463" s="508"/>
      <c r="D463" s="508"/>
      <c r="E463" s="510">
        <v>80256205.329999998</v>
      </c>
      <c r="F463" s="510">
        <v>68542428.840000004</v>
      </c>
      <c r="G463" s="510">
        <v>11713776.49</v>
      </c>
      <c r="H463" s="511">
        <v>17.089818216602318</v>
      </c>
    </row>
    <row r="464" spans="1:8" x14ac:dyDescent="0.25">
      <c r="B464" s="508" t="s">
        <v>2420</v>
      </c>
      <c r="C464" s="508" t="s">
        <v>2421</v>
      </c>
      <c r="D464" s="508"/>
      <c r="E464" s="508"/>
      <c r="F464" s="508"/>
      <c r="G464" s="508"/>
      <c r="H464" s="508"/>
    </row>
    <row r="465" spans="1:8" x14ac:dyDescent="0.25">
      <c r="A465" s="173" t="s">
        <v>421</v>
      </c>
      <c r="B465" s="509">
        <v>30900</v>
      </c>
      <c r="C465" s="509">
        <v>3001</v>
      </c>
      <c r="D465" s="508" t="s">
        <v>2422</v>
      </c>
      <c r="E465" s="510">
        <v>-1000</v>
      </c>
      <c r="F465" s="510">
        <v>-6051250</v>
      </c>
      <c r="G465" s="510">
        <v>6050250</v>
      </c>
      <c r="H465" s="511">
        <v>-99.98347448874199</v>
      </c>
    </row>
    <row r="466" spans="1:8" x14ac:dyDescent="0.25">
      <c r="A466" s="173" t="s">
        <v>421</v>
      </c>
      <c r="B466" s="509">
        <v>30900</v>
      </c>
      <c r="C466" s="509">
        <v>3002</v>
      </c>
      <c r="D466" s="508" t="s">
        <v>2423</v>
      </c>
      <c r="E466" s="510">
        <v>-45460745.780000001</v>
      </c>
      <c r="F466" s="510">
        <v>-34000000</v>
      </c>
      <c r="G466" s="510">
        <v>-11460745.779999999</v>
      </c>
      <c r="H466" s="511">
        <v>33.708075823529413</v>
      </c>
    </row>
    <row r="467" spans="1:8" x14ac:dyDescent="0.25">
      <c r="A467" s="173" t="s">
        <v>421</v>
      </c>
      <c r="B467" s="509">
        <v>30900</v>
      </c>
      <c r="C467" s="509">
        <v>3003</v>
      </c>
      <c r="D467" s="508" t="s">
        <v>2424</v>
      </c>
      <c r="E467" s="510">
        <v>-16916576.780000001</v>
      </c>
      <c r="F467" s="510">
        <v>-9089222.4000000004</v>
      </c>
      <c r="G467" s="510">
        <v>-7827354.3799999999</v>
      </c>
      <c r="H467" s="511">
        <v>86.116875960698238</v>
      </c>
    </row>
    <row r="468" spans="1:8" x14ac:dyDescent="0.25">
      <c r="A468" s="173" t="s">
        <v>421</v>
      </c>
      <c r="B468" s="509">
        <v>30900</v>
      </c>
      <c r="C468" s="509">
        <v>3004</v>
      </c>
      <c r="D468" s="508" t="s">
        <v>2425</v>
      </c>
      <c r="E468" s="510">
        <v>-859603</v>
      </c>
      <c r="F468" s="510">
        <v>-859603</v>
      </c>
      <c r="G468" s="510">
        <v>0</v>
      </c>
      <c r="H468" s="511">
        <v>0</v>
      </c>
    </row>
    <row r="469" spans="1:8" x14ac:dyDescent="0.25">
      <c r="A469" s="173" t="s">
        <v>421</v>
      </c>
      <c r="B469" s="509">
        <v>30900</v>
      </c>
      <c r="C469" s="509">
        <v>3005</v>
      </c>
      <c r="D469" s="508" t="s">
        <v>2426</v>
      </c>
      <c r="E469" s="510">
        <v>-325001.8</v>
      </c>
      <c r="F469" s="510">
        <v>-325001.8</v>
      </c>
      <c r="G469" s="510">
        <v>0</v>
      </c>
      <c r="H469" s="511">
        <v>0</v>
      </c>
    </row>
    <row r="470" spans="1:8" x14ac:dyDescent="0.25">
      <c r="A470" s="173" t="s">
        <v>421</v>
      </c>
      <c r="B470" s="509">
        <v>30999</v>
      </c>
      <c r="C470" s="509">
        <v>0</v>
      </c>
      <c r="D470" s="508" t="s">
        <v>2427</v>
      </c>
      <c r="E470" s="510">
        <v>-180544.75</v>
      </c>
      <c r="F470" s="510">
        <v>305773</v>
      </c>
      <c r="G470" s="510">
        <v>-486317.75</v>
      </c>
      <c r="H470" s="511">
        <v>-159.04535390632921</v>
      </c>
    </row>
    <row r="471" spans="1:8" x14ac:dyDescent="0.25">
      <c r="B471" s="508" t="s">
        <v>2428</v>
      </c>
      <c r="C471" s="508"/>
      <c r="D471" s="508"/>
      <c r="E471" s="510">
        <v>-63743472.109999999</v>
      </c>
      <c r="F471" s="510">
        <v>-50019304.200000003</v>
      </c>
      <c r="G471" s="510">
        <v>-13724167.91</v>
      </c>
      <c r="H471" s="511">
        <v>27.437742546606632</v>
      </c>
    </row>
    <row r="472" spans="1:8" x14ac:dyDescent="0.25">
      <c r="B472" s="508" t="s">
        <v>2429</v>
      </c>
      <c r="C472" s="508"/>
      <c r="D472" s="508"/>
      <c r="E472" s="510">
        <v>-2229758915.7600002</v>
      </c>
      <c r="F472" s="510">
        <v>-2055396407.01</v>
      </c>
      <c r="G472" s="510">
        <v>-174362508.75</v>
      </c>
      <c r="H472" s="508"/>
    </row>
    <row r="473" spans="1:8" x14ac:dyDescent="0.25">
      <c r="A473" s="194"/>
      <c r="B473" s="508" t="s">
        <v>2430</v>
      </c>
      <c r="C473" s="508" t="s">
        <v>2431</v>
      </c>
      <c r="D473" s="508"/>
      <c r="E473" s="508"/>
      <c r="F473" s="508"/>
      <c r="G473" s="508"/>
      <c r="H473" s="508"/>
    </row>
    <row r="474" spans="1:8" x14ac:dyDescent="0.25">
      <c r="A474" s="173" t="s">
        <v>421</v>
      </c>
      <c r="B474" s="509">
        <v>31099</v>
      </c>
      <c r="C474" s="509">
        <v>0</v>
      </c>
      <c r="D474" s="508" t="s">
        <v>2432</v>
      </c>
      <c r="E474" s="510">
        <v>-1824351.38</v>
      </c>
      <c r="F474" s="510">
        <v>-2320323.66</v>
      </c>
      <c r="G474" s="510">
        <v>495972.28</v>
      </c>
      <c r="H474" s="511">
        <v>-21.375133501849483</v>
      </c>
    </row>
    <row r="475" spans="1:8" x14ac:dyDescent="0.25">
      <c r="B475" s="508" t="s">
        <v>2433</v>
      </c>
      <c r="C475" s="508"/>
      <c r="D475" s="508"/>
      <c r="E475" s="510">
        <v>-1824351.38</v>
      </c>
      <c r="F475" s="510">
        <v>-2320323.66</v>
      </c>
      <c r="G475" s="510">
        <v>495972.28</v>
      </c>
      <c r="H475" s="511">
        <v>-21.375133501849483</v>
      </c>
    </row>
    <row r="476" spans="1:8" x14ac:dyDescent="0.25">
      <c r="B476" s="508" t="s">
        <v>2434</v>
      </c>
      <c r="C476" s="508" t="s">
        <v>2435</v>
      </c>
      <c r="D476" s="508"/>
      <c r="E476" s="508"/>
      <c r="F476" s="508"/>
      <c r="G476" s="508"/>
      <c r="H476" s="508"/>
    </row>
    <row r="477" spans="1:8" x14ac:dyDescent="0.25">
      <c r="A477" s="173" t="s">
        <v>421</v>
      </c>
      <c r="B477" s="509">
        <v>32000</v>
      </c>
      <c r="C477" s="509">
        <v>0</v>
      </c>
      <c r="D477" s="508" t="s">
        <v>2436</v>
      </c>
      <c r="E477" s="510">
        <v>-48148898.090000004</v>
      </c>
      <c r="F477" s="510">
        <v>-48089936.700000003</v>
      </c>
      <c r="G477" s="510">
        <v>-58961.39</v>
      </c>
      <c r="H477" s="511">
        <v>0.12260650365963156</v>
      </c>
    </row>
    <row r="478" spans="1:8" x14ac:dyDescent="0.25">
      <c r="A478" s="173" t="s">
        <v>421</v>
      </c>
      <c r="B478" s="509">
        <v>32004</v>
      </c>
      <c r="C478" s="509">
        <v>0</v>
      </c>
      <c r="D478" s="508" t="s">
        <v>2437</v>
      </c>
      <c r="E478" s="510">
        <v>14073800.279999999</v>
      </c>
      <c r="F478" s="510">
        <v>12882194.23</v>
      </c>
      <c r="G478" s="510">
        <v>1191606.05</v>
      </c>
      <c r="H478" s="511">
        <v>9.2500239378862403</v>
      </c>
    </row>
    <row r="479" spans="1:8" x14ac:dyDescent="0.25">
      <c r="A479" s="173" t="s">
        <v>421</v>
      </c>
      <c r="B479" s="509">
        <v>32006</v>
      </c>
      <c r="C479" s="509">
        <v>0</v>
      </c>
      <c r="D479" s="508" t="s">
        <v>2438</v>
      </c>
      <c r="E479" s="510">
        <v>-53254039.659999996</v>
      </c>
      <c r="F479" s="510">
        <v>-47636897.32</v>
      </c>
      <c r="G479" s="510">
        <v>-5617142.3399999999</v>
      </c>
      <c r="H479" s="511">
        <v>11.791578914694941</v>
      </c>
    </row>
    <row r="480" spans="1:8" x14ac:dyDescent="0.25">
      <c r="A480" s="173" t="s">
        <v>421</v>
      </c>
      <c r="B480" s="509">
        <v>32099</v>
      </c>
      <c r="C480" s="509">
        <v>0</v>
      </c>
      <c r="D480" s="508" t="s">
        <v>2439</v>
      </c>
      <c r="E480" s="510">
        <v>-31287321.710000001</v>
      </c>
      <c r="F480" s="510">
        <v>-19982302.140000001</v>
      </c>
      <c r="G480" s="510">
        <v>-11305019.57</v>
      </c>
      <c r="H480" s="511">
        <v>56.575160813777984</v>
      </c>
    </row>
    <row r="481" spans="1:8" x14ac:dyDescent="0.25">
      <c r="B481" s="508" t="s">
        <v>2440</v>
      </c>
      <c r="C481" s="508"/>
      <c r="D481" s="508"/>
      <c r="E481" s="510">
        <v>-118616459.18000001</v>
      </c>
      <c r="F481" s="510">
        <v>-102826941.93000001</v>
      </c>
      <c r="G481" s="510">
        <v>-15789517.25</v>
      </c>
      <c r="H481" s="511">
        <v>15.355428211361959</v>
      </c>
    </row>
    <row r="482" spans="1:8" x14ac:dyDescent="0.25">
      <c r="B482" s="508" t="s">
        <v>2441</v>
      </c>
      <c r="C482" s="508" t="s">
        <v>2442</v>
      </c>
      <c r="D482" s="508"/>
      <c r="E482" s="508"/>
      <c r="F482" s="508"/>
      <c r="G482" s="508"/>
      <c r="H482" s="508"/>
    </row>
    <row r="483" spans="1:8" x14ac:dyDescent="0.25">
      <c r="A483" s="173" t="s">
        <v>421</v>
      </c>
      <c r="B483" s="509">
        <v>33000</v>
      </c>
      <c r="C483" s="509">
        <v>0</v>
      </c>
      <c r="D483" s="508" t="s">
        <v>2443</v>
      </c>
      <c r="E483" s="510">
        <v>-31484552.219999999</v>
      </c>
      <c r="F483" s="510">
        <v>-31484552.219999999</v>
      </c>
      <c r="G483" s="510">
        <v>0</v>
      </c>
      <c r="H483" s="511">
        <v>0</v>
      </c>
    </row>
    <row r="484" spans="1:8" x14ac:dyDescent="0.25">
      <c r="A484" s="173" t="s">
        <v>421</v>
      </c>
      <c r="B484" s="509">
        <v>33004</v>
      </c>
      <c r="C484" s="509">
        <v>0</v>
      </c>
      <c r="D484" s="508" t="s">
        <v>2444</v>
      </c>
      <c r="E484" s="510">
        <v>8645253.3100000005</v>
      </c>
      <c r="F484" s="510">
        <v>8247550.75</v>
      </c>
      <c r="G484" s="510">
        <v>397702.56</v>
      </c>
      <c r="H484" s="511">
        <v>4.8220686608081795</v>
      </c>
    </row>
    <row r="485" spans="1:8" x14ac:dyDescent="0.25">
      <c r="A485" s="173" t="s">
        <v>421</v>
      </c>
      <c r="B485" s="509">
        <v>33006</v>
      </c>
      <c r="C485" s="509">
        <v>0</v>
      </c>
      <c r="D485" s="508" t="s">
        <v>2445</v>
      </c>
      <c r="E485" s="510">
        <v>-76643842.780000001</v>
      </c>
      <c r="F485" s="510">
        <v>-27253806.559999999</v>
      </c>
      <c r="G485" s="510">
        <v>-49390036.219999999</v>
      </c>
      <c r="H485" s="511">
        <v>181.2225243151502</v>
      </c>
    </row>
    <row r="486" spans="1:8" x14ac:dyDescent="0.25">
      <c r="B486" s="508" t="s">
        <v>2446</v>
      </c>
      <c r="C486" s="508"/>
      <c r="D486" s="508"/>
      <c r="E486" s="510">
        <v>-99483141.689999998</v>
      </c>
      <c r="F486" s="510">
        <v>-50490808.030000001</v>
      </c>
      <c r="G486" s="510">
        <v>-48992333.659999996</v>
      </c>
      <c r="H486" s="511">
        <v>97.032183820251689</v>
      </c>
    </row>
    <row r="487" spans="1:8" x14ac:dyDescent="0.25">
      <c r="B487" s="508" t="s">
        <v>2447</v>
      </c>
      <c r="C487" s="508" t="s">
        <v>2448</v>
      </c>
      <c r="D487" s="508"/>
      <c r="E487" s="508"/>
      <c r="F487" s="508"/>
      <c r="G487" s="508"/>
      <c r="H487" s="508"/>
    </row>
    <row r="488" spans="1:8" x14ac:dyDescent="0.25">
      <c r="A488" s="173" t="s">
        <v>421</v>
      </c>
      <c r="B488" s="509">
        <v>34199</v>
      </c>
      <c r="C488" s="509">
        <v>0</v>
      </c>
      <c r="D488" s="508" t="s">
        <v>2449</v>
      </c>
      <c r="E488" s="510">
        <v>-1205899.31</v>
      </c>
      <c r="F488" s="510">
        <v>-1192934.45</v>
      </c>
      <c r="G488" s="510">
        <v>-12964.86</v>
      </c>
      <c r="H488" s="511">
        <v>1.086804057004138</v>
      </c>
    </row>
    <row r="489" spans="1:8" x14ac:dyDescent="0.25">
      <c r="B489" s="508" t="s">
        <v>2450</v>
      </c>
      <c r="C489" s="508"/>
      <c r="D489" s="508"/>
      <c r="E489" s="510">
        <v>-1205899.31</v>
      </c>
      <c r="F489" s="510">
        <v>-1192934.45</v>
      </c>
      <c r="G489" s="510">
        <v>-12964.86</v>
      </c>
      <c r="H489" s="511">
        <v>1.086804057004138</v>
      </c>
    </row>
    <row r="490" spans="1:8" x14ac:dyDescent="0.25">
      <c r="B490" s="508" t="s">
        <v>2451</v>
      </c>
      <c r="C490" s="508" t="s">
        <v>2452</v>
      </c>
      <c r="D490" s="508"/>
      <c r="E490" s="508"/>
      <c r="F490" s="508"/>
      <c r="G490" s="508"/>
      <c r="H490" s="508"/>
    </row>
    <row r="491" spans="1:8" x14ac:dyDescent="0.25">
      <c r="A491" s="173" t="s">
        <v>421</v>
      </c>
      <c r="B491" s="509">
        <v>34500</v>
      </c>
      <c r="C491" s="509">
        <v>3001</v>
      </c>
      <c r="D491" s="508" t="s">
        <v>2453</v>
      </c>
      <c r="E491" s="510">
        <v>-55013.84</v>
      </c>
      <c r="F491" s="510">
        <v>-49057.29</v>
      </c>
      <c r="G491" s="510">
        <v>-5956.55</v>
      </c>
      <c r="H491" s="511">
        <v>12.142028228628201</v>
      </c>
    </row>
    <row r="492" spans="1:8" x14ac:dyDescent="0.25">
      <c r="A492" s="173" t="s">
        <v>421</v>
      </c>
      <c r="B492" s="509">
        <v>34500</v>
      </c>
      <c r="C492" s="509">
        <v>3003</v>
      </c>
      <c r="D492" s="508" t="s">
        <v>2454</v>
      </c>
      <c r="E492" s="510">
        <v>3276409.72</v>
      </c>
      <c r="F492" s="510">
        <v>-5186.9399999999996</v>
      </c>
      <c r="G492" s="510">
        <v>3281596.66</v>
      </c>
      <c r="H492" s="511">
        <v>-63266.524386246987</v>
      </c>
    </row>
    <row r="493" spans="1:8" x14ac:dyDescent="0.25">
      <c r="A493" s="173" t="s">
        <v>421</v>
      </c>
      <c r="B493" s="509">
        <v>34500</v>
      </c>
      <c r="C493" s="509">
        <v>3004</v>
      </c>
      <c r="D493" s="508" t="s">
        <v>2455</v>
      </c>
      <c r="E493" s="510">
        <v>-43504258.899999999</v>
      </c>
      <c r="F493" s="510">
        <v>-42907255.57</v>
      </c>
      <c r="G493" s="510">
        <v>-597003.32999999996</v>
      </c>
      <c r="H493" s="511">
        <v>1.3913808330761994</v>
      </c>
    </row>
    <row r="494" spans="1:8" x14ac:dyDescent="0.25">
      <c r="A494" s="173" t="s">
        <v>421</v>
      </c>
      <c r="B494" s="509">
        <v>34500</v>
      </c>
      <c r="C494" s="509">
        <v>3005</v>
      </c>
      <c r="D494" s="508" t="s">
        <v>2456</v>
      </c>
      <c r="E494" s="510">
        <v>-10291374.49</v>
      </c>
      <c r="F494" s="510">
        <v>-10259400.41</v>
      </c>
      <c r="G494" s="510">
        <v>-31974.080000000002</v>
      </c>
      <c r="H494" s="511">
        <v>0.31165641969519348</v>
      </c>
    </row>
    <row r="495" spans="1:8" x14ac:dyDescent="0.25">
      <c r="A495" s="173" t="s">
        <v>421</v>
      </c>
      <c r="B495" s="509">
        <v>34598</v>
      </c>
      <c r="C495" s="509">
        <v>0</v>
      </c>
      <c r="D495" s="508" t="s">
        <v>2457</v>
      </c>
      <c r="E495" s="510">
        <v>-15082934.15</v>
      </c>
      <c r="F495" s="510">
        <v>-15866445</v>
      </c>
      <c r="G495" s="510">
        <v>783510.85</v>
      </c>
      <c r="H495" s="511">
        <v>-4.9381625814730397</v>
      </c>
    </row>
    <row r="496" spans="1:8" x14ac:dyDescent="0.25">
      <c r="A496" s="173" t="s">
        <v>421</v>
      </c>
      <c r="B496" s="509">
        <v>34599</v>
      </c>
      <c r="C496" s="509">
        <v>0</v>
      </c>
      <c r="D496" s="508" t="s">
        <v>2458</v>
      </c>
      <c r="E496" s="510">
        <v>0</v>
      </c>
      <c r="F496" s="510">
        <v>-5614</v>
      </c>
      <c r="G496" s="510">
        <v>5614</v>
      </c>
      <c r="H496" s="511">
        <v>-100</v>
      </c>
    </row>
    <row r="497" spans="1:8" x14ac:dyDescent="0.25">
      <c r="B497" s="508" t="s">
        <v>2459</v>
      </c>
      <c r="C497" s="508"/>
      <c r="D497" s="508"/>
      <c r="E497" s="510">
        <v>-65657171.659999996</v>
      </c>
      <c r="F497" s="510">
        <v>-69092959.209999993</v>
      </c>
      <c r="G497" s="510">
        <v>3435787.55</v>
      </c>
      <c r="H497" s="511">
        <v>-4.9727028474165129</v>
      </c>
    </row>
    <row r="498" spans="1:8" x14ac:dyDescent="0.25">
      <c r="B498" s="508" t="s">
        <v>2460</v>
      </c>
      <c r="C498" s="508"/>
      <c r="D498" s="508"/>
      <c r="E498" s="510">
        <v>-286787023.22000003</v>
      </c>
      <c r="F498" s="510">
        <v>-225923967.28</v>
      </c>
      <c r="G498" s="510">
        <v>-60863055.939999998</v>
      </c>
      <c r="H498" s="508"/>
    </row>
    <row r="499" spans="1:8" x14ac:dyDescent="0.25">
      <c r="B499" s="508" t="s">
        <v>2461</v>
      </c>
      <c r="C499" s="508" t="s">
        <v>2462</v>
      </c>
      <c r="D499" s="508"/>
      <c r="E499" s="508"/>
      <c r="F499" s="508"/>
      <c r="G499" s="508"/>
      <c r="H499" s="508"/>
    </row>
    <row r="500" spans="1:8" x14ac:dyDescent="0.25">
      <c r="A500" s="173" t="s">
        <v>421</v>
      </c>
      <c r="B500" s="509">
        <v>35100</v>
      </c>
      <c r="C500" s="509">
        <v>3001</v>
      </c>
      <c r="D500" s="508" t="s">
        <v>2463</v>
      </c>
      <c r="E500" s="510">
        <v>-756217.57</v>
      </c>
      <c r="F500" s="510">
        <v>-1198134.68</v>
      </c>
      <c r="G500" s="510">
        <v>441917.11</v>
      </c>
      <c r="H500" s="511">
        <v>-36.883759178058348</v>
      </c>
    </row>
    <row r="501" spans="1:8" x14ac:dyDescent="0.25">
      <c r="A501" s="173" t="s">
        <v>421</v>
      </c>
      <c r="B501" s="509">
        <v>35100</v>
      </c>
      <c r="C501" s="509">
        <v>3002</v>
      </c>
      <c r="D501" s="508" t="s">
        <v>2464</v>
      </c>
      <c r="E501" s="510">
        <v>-10026360.029999999</v>
      </c>
      <c r="F501" s="510">
        <v>-2163935.2599999998</v>
      </c>
      <c r="G501" s="510">
        <v>-7862424.7699999996</v>
      </c>
      <c r="H501" s="511">
        <v>363.33918649673467</v>
      </c>
    </row>
    <row r="502" spans="1:8" x14ac:dyDescent="0.25">
      <c r="A502" s="173" t="s">
        <v>421</v>
      </c>
      <c r="B502" s="509">
        <v>35100</v>
      </c>
      <c r="C502" s="509">
        <v>3003</v>
      </c>
      <c r="D502" s="508" t="s">
        <v>2465</v>
      </c>
      <c r="E502" s="510">
        <v>-134045317.42</v>
      </c>
      <c r="F502" s="510">
        <v>-129421853.70999999</v>
      </c>
      <c r="G502" s="510">
        <v>-4623463.71</v>
      </c>
      <c r="H502" s="511">
        <v>3.5723979972964646</v>
      </c>
    </row>
    <row r="503" spans="1:8" x14ac:dyDescent="0.25">
      <c r="A503" s="173" t="s">
        <v>421</v>
      </c>
      <c r="B503" s="509">
        <v>35100</v>
      </c>
      <c r="C503" s="509">
        <v>3004</v>
      </c>
      <c r="D503" s="508" t="s">
        <v>2466</v>
      </c>
      <c r="E503" s="510">
        <v>-3688627.79</v>
      </c>
      <c r="F503" s="510">
        <v>-3688627.79</v>
      </c>
      <c r="G503" s="510">
        <v>0</v>
      </c>
      <c r="H503" s="511">
        <v>0</v>
      </c>
    </row>
    <row r="504" spans="1:8" x14ac:dyDescent="0.25">
      <c r="A504" s="173" t="s">
        <v>421</v>
      </c>
      <c r="B504" s="509">
        <v>35100</v>
      </c>
      <c r="C504" s="509">
        <v>3005</v>
      </c>
      <c r="D504" s="508" t="s">
        <v>2467</v>
      </c>
      <c r="E504" s="510">
        <v>-13024727.52</v>
      </c>
      <c r="F504" s="510">
        <v>-13024727.52</v>
      </c>
      <c r="G504" s="510">
        <v>0</v>
      </c>
      <c r="H504" s="511">
        <v>0</v>
      </c>
    </row>
    <row r="505" spans="1:8" x14ac:dyDescent="0.25">
      <c r="A505" s="173" t="s">
        <v>421</v>
      </c>
      <c r="B505" s="509">
        <v>35199</v>
      </c>
      <c r="C505" s="509">
        <v>0</v>
      </c>
      <c r="D505" s="508" t="s">
        <v>2468</v>
      </c>
      <c r="E505" s="510">
        <v>-35760615.770000003</v>
      </c>
      <c r="F505" s="510">
        <v>-34071218</v>
      </c>
      <c r="G505" s="510">
        <v>-1689397.77</v>
      </c>
      <c r="H505" s="511">
        <v>4.9584308080797115</v>
      </c>
    </row>
    <row r="506" spans="1:8" x14ac:dyDescent="0.25">
      <c r="B506" s="508" t="s">
        <v>2469</v>
      </c>
      <c r="C506" s="508"/>
      <c r="D506" s="508"/>
      <c r="E506" s="510">
        <v>-197301866.09999999</v>
      </c>
      <c r="F506" s="510">
        <v>-183568496.96000001</v>
      </c>
      <c r="G506" s="510">
        <v>-13733369.140000001</v>
      </c>
      <c r="H506" s="511">
        <v>7.4813322369755717</v>
      </c>
    </row>
    <row r="507" spans="1:8" x14ac:dyDescent="0.25">
      <c r="B507" s="508" t="s">
        <v>2470</v>
      </c>
      <c r="C507" s="508" t="s">
        <v>2471</v>
      </c>
      <c r="D507" s="508"/>
      <c r="E507" s="508"/>
      <c r="F507" s="508"/>
      <c r="G507" s="508"/>
      <c r="H507" s="508"/>
    </row>
    <row r="508" spans="1:8" x14ac:dyDescent="0.25">
      <c r="A508" s="173" t="s">
        <v>421</v>
      </c>
      <c r="B508" s="509">
        <v>35299</v>
      </c>
      <c r="C508" s="509">
        <v>0</v>
      </c>
      <c r="D508" s="508" t="s">
        <v>2472</v>
      </c>
      <c r="E508" s="510">
        <v>-103188744.7</v>
      </c>
      <c r="F508" s="510">
        <v>-104678416.68000001</v>
      </c>
      <c r="G508" s="510">
        <v>1489671.98</v>
      </c>
      <c r="H508" s="511">
        <v>-1.4230937257619209</v>
      </c>
    </row>
    <row r="509" spans="1:8" x14ac:dyDescent="0.25">
      <c r="B509" s="508" t="s">
        <v>2473</v>
      </c>
      <c r="C509" s="508"/>
      <c r="D509" s="508"/>
      <c r="E509" s="510">
        <v>-103188744.7</v>
      </c>
      <c r="F509" s="510">
        <v>-104678416.68000001</v>
      </c>
      <c r="G509" s="510">
        <v>1489671.98</v>
      </c>
      <c r="H509" s="511">
        <v>-1.4230937257619209</v>
      </c>
    </row>
    <row r="510" spans="1:8" x14ac:dyDescent="0.25">
      <c r="B510" s="508" t="s">
        <v>2474</v>
      </c>
      <c r="C510" s="508"/>
      <c r="D510" s="508"/>
      <c r="E510" s="510">
        <v>-300490610.80000001</v>
      </c>
      <c r="F510" s="510">
        <v>-288246913.63999999</v>
      </c>
      <c r="G510" s="510">
        <v>-12243697.16</v>
      </c>
      <c r="H510" s="508"/>
    </row>
    <row r="511" spans="1:8" x14ac:dyDescent="0.25">
      <c r="B511" s="508" t="s">
        <v>2475</v>
      </c>
      <c r="C511" s="508"/>
      <c r="D511" s="508"/>
      <c r="E511" s="510">
        <v>-3803089556.4699998</v>
      </c>
      <c r="F511" s="510">
        <v>-3546113211.1599998</v>
      </c>
      <c r="G511" s="510">
        <v>-256976345.31</v>
      </c>
      <c r="H511" s="508"/>
    </row>
    <row r="512" spans="1:8" x14ac:dyDescent="0.25">
      <c r="B512" s="508" t="s">
        <v>2476</v>
      </c>
      <c r="C512" s="508" t="s">
        <v>2477</v>
      </c>
      <c r="D512" s="508"/>
      <c r="E512" s="508"/>
      <c r="F512" s="508"/>
      <c r="G512" s="508"/>
      <c r="H512" s="508"/>
    </row>
    <row r="513" spans="1:8" x14ac:dyDescent="0.25">
      <c r="A513" s="173" t="s">
        <v>363</v>
      </c>
      <c r="B513" s="509">
        <v>15397</v>
      </c>
      <c r="C513" s="509">
        <v>1000</v>
      </c>
      <c r="D513" s="508" t="s">
        <v>2478</v>
      </c>
      <c r="E513" s="510">
        <v>98984647.769999996</v>
      </c>
      <c r="F513" s="510">
        <v>175658873</v>
      </c>
      <c r="G513" s="510">
        <v>-76674225.230000004</v>
      </c>
      <c r="H513" s="511">
        <v>-43.649503108220443</v>
      </c>
    </row>
    <row r="514" spans="1:8" x14ac:dyDescent="0.25">
      <c r="A514" s="173" t="s">
        <v>363</v>
      </c>
      <c r="B514" s="509">
        <v>15397</v>
      </c>
      <c r="C514" s="509">
        <v>4000</v>
      </c>
      <c r="D514" s="508" t="s">
        <v>2479</v>
      </c>
      <c r="E514" s="510">
        <v>8640213.75</v>
      </c>
      <c r="F514" s="510">
        <v>13886380</v>
      </c>
      <c r="G514" s="510">
        <v>-5246166.25</v>
      </c>
      <c r="H514" s="511">
        <v>-37.779221438560661</v>
      </c>
    </row>
    <row r="515" spans="1:8" x14ac:dyDescent="0.25">
      <c r="B515" s="508" t="s">
        <v>2480</v>
      </c>
      <c r="C515" s="508"/>
      <c r="D515" s="508"/>
      <c r="E515" s="510">
        <v>107624861.52</v>
      </c>
      <c r="F515" s="510">
        <v>189545253</v>
      </c>
      <c r="G515" s="510">
        <v>-81920391.480000004</v>
      </c>
      <c r="H515" s="511">
        <v>-43.219437144120931</v>
      </c>
    </row>
    <row r="516" spans="1:8" x14ac:dyDescent="0.25">
      <c r="B516" s="508" t="s">
        <v>2481</v>
      </c>
      <c r="C516" s="508" t="s">
        <v>2482</v>
      </c>
      <c r="D516" s="508"/>
      <c r="E516" s="508"/>
      <c r="F516" s="508"/>
      <c r="G516" s="508"/>
      <c r="H516" s="508"/>
    </row>
    <row r="517" spans="1:8" x14ac:dyDescent="0.25">
      <c r="A517" s="173" t="s">
        <v>363</v>
      </c>
      <c r="B517" s="509">
        <v>15299</v>
      </c>
      <c r="C517" s="509">
        <v>1000</v>
      </c>
      <c r="D517" s="508" t="s">
        <v>2483</v>
      </c>
      <c r="E517" s="510">
        <v>170302360.87</v>
      </c>
      <c r="F517" s="510">
        <v>161709684.72</v>
      </c>
      <c r="G517" s="510">
        <v>8592676.1500000004</v>
      </c>
      <c r="H517" s="511">
        <v>5.31364349938484</v>
      </c>
    </row>
    <row r="518" spans="1:8" x14ac:dyDescent="0.25">
      <c r="A518" s="173" t="s">
        <v>363</v>
      </c>
      <c r="B518" s="509">
        <v>15299</v>
      </c>
      <c r="C518" s="509">
        <v>4000</v>
      </c>
      <c r="D518" s="508" t="s">
        <v>2484</v>
      </c>
      <c r="E518" s="510">
        <v>64315508.25</v>
      </c>
      <c r="F518" s="510">
        <v>66036565.460000001</v>
      </c>
      <c r="G518" s="510">
        <v>-1721057.21</v>
      </c>
      <c r="H518" s="511">
        <v>-2.6062185366719102</v>
      </c>
    </row>
    <row r="519" spans="1:8" x14ac:dyDescent="0.25">
      <c r="B519" s="508" t="s">
        <v>2485</v>
      </c>
      <c r="C519" s="508"/>
      <c r="D519" s="508"/>
      <c r="E519" s="510">
        <v>234617869.12</v>
      </c>
      <c r="F519" s="510">
        <v>227746250.18000001</v>
      </c>
      <c r="G519" s="510">
        <v>6871618.9400000004</v>
      </c>
      <c r="H519" s="511">
        <v>3.0172259409623621</v>
      </c>
    </row>
    <row r="520" spans="1:8" x14ac:dyDescent="0.25">
      <c r="B520" s="508" t="s">
        <v>2486</v>
      </c>
      <c r="C520" s="508" t="s">
        <v>2487</v>
      </c>
      <c r="D520" s="508"/>
      <c r="E520" s="508"/>
      <c r="F520" s="508"/>
      <c r="G520" s="508"/>
      <c r="H520" s="508"/>
    </row>
    <row r="521" spans="1:8" x14ac:dyDescent="0.25">
      <c r="A521" s="173" t="s">
        <v>363</v>
      </c>
      <c r="B521" s="509">
        <v>15399</v>
      </c>
      <c r="C521" s="509">
        <v>0</v>
      </c>
      <c r="D521" s="508" t="s">
        <v>2488</v>
      </c>
      <c r="E521" s="510">
        <v>214209204.25</v>
      </c>
      <c r="F521" s="510">
        <v>211056569.72</v>
      </c>
      <c r="G521" s="510">
        <v>3152634.53</v>
      </c>
      <c r="H521" s="511">
        <v>1.4937391118326568</v>
      </c>
    </row>
    <row r="522" spans="1:8" x14ac:dyDescent="0.25">
      <c r="B522" s="508" t="s">
        <v>2489</v>
      </c>
      <c r="C522" s="508"/>
      <c r="D522" s="508"/>
      <c r="E522" s="510">
        <v>214209204.25</v>
      </c>
      <c r="F522" s="510">
        <v>211056569.72</v>
      </c>
      <c r="G522" s="510">
        <v>3152634.53</v>
      </c>
      <c r="H522" s="511">
        <v>1.4937391118326568</v>
      </c>
    </row>
    <row r="523" spans="1:8" x14ac:dyDescent="0.25">
      <c r="B523" s="508" t="s">
        <v>2490</v>
      </c>
      <c r="C523" s="508" t="s">
        <v>2491</v>
      </c>
      <c r="D523" s="508"/>
      <c r="E523" s="508"/>
      <c r="F523" s="508"/>
      <c r="G523" s="508"/>
      <c r="H523" s="508"/>
    </row>
    <row r="524" spans="1:8" x14ac:dyDescent="0.25">
      <c r="A524" s="173" t="s">
        <v>366</v>
      </c>
      <c r="B524" s="509">
        <v>15098</v>
      </c>
      <c r="C524" s="509">
        <v>0</v>
      </c>
      <c r="D524" s="508" t="s">
        <v>2492</v>
      </c>
      <c r="E524" s="510">
        <v>49776202.670000002</v>
      </c>
      <c r="F524" s="510">
        <v>2582477.0699999998</v>
      </c>
      <c r="G524" s="510">
        <v>47193725.600000001</v>
      </c>
      <c r="H524" s="511">
        <v>1827.4596180635208</v>
      </c>
    </row>
    <row r="525" spans="1:8" x14ac:dyDescent="0.25">
      <c r="B525" s="508" t="s">
        <v>2493</v>
      </c>
      <c r="C525" s="508"/>
      <c r="D525" s="508"/>
      <c r="E525" s="510">
        <v>49776202.670000002</v>
      </c>
      <c r="F525" s="510">
        <v>2582477.0699999998</v>
      </c>
      <c r="G525" s="510">
        <v>47193725.600000001</v>
      </c>
      <c r="H525" s="511">
        <v>1827.4596180635208</v>
      </c>
    </row>
    <row r="526" spans="1:8" x14ac:dyDescent="0.25">
      <c r="A526" s="173" t="s">
        <v>373</v>
      </c>
      <c r="B526" s="509">
        <v>18140</v>
      </c>
      <c r="C526" s="509">
        <v>0</v>
      </c>
      <c r="D526" s="508" t="s">
        <v>2494</v>
      </c>
      <c r="E526" s="829">
        <v>566696.81000000006</v>
      </c>
      <c r="F526" s="510">
        <v>0</v>
      </c>
      <c r="G526" s="510">
        <v>566696.81000000006</v>
      </c>
      <c r="H526" s="511">
        <v>100</v>
      </c>
    </row>
    <row r="527" spans="1:8" x14ac:dyDescent="0.25">
      <c r="A527" s="173" t="s">
        <v>373</v>
      </c>
      <c r="B527" s="509">
        <v>18440</v>
      </c>
      <c r="C527" s="509">
        <v>0</v>
      </c>
      <c r="D527" s="508" t="s">
        <v>2495</v>
      </c>
      <c r="E527" s="829">
        <v>-23459.54</v>
      </c>
      <c r="F527" s="510">
        <v>0</v>
      </c>
      <c r="G527" s="510">
        <v>-23459.54</v>
      </c>
      <c r="H527" s="511">
        <v>100</v>
      </c>
    </row>
    <row r="528" spans="1:8" x14ac:dyDescent="0.25">
      <c r="B528" s="508" t="s">
        <v>2496</v>
      </c>
      <c r="C528" s="508" t="s">
        <v>2497</v>
      </c>
      <c r="D528" s="508"/>
      <c r="E528" s="508"/>
      <c r="F528" s="508"/>
      <c r="G528" s="508"/>
      <c r="H528" s="508"/>
    </row>
    <row r="529" spans="1:8" x14ac:dyDescent="0.25">
      <c r="A529" s="173" t="s">
        <v>403</v>
      </c>
      <c r="B529" s="509">
        <v>20640</v>
      </c>
      <c r="C529" s="509">
        <v>0</v>
      </c>
      <c r="D529" s="508" t="s">
        <v>2498</v>
      </c>
      <c r="E529" s="510">
        <v>-75266109.340000004</v>
      </c>
      <c r="F529" s="510">
        <v>-59161102.579999998</v>
      </c>
      <c r="G529" s="510">
        <v>-16105006.76</v>
      </c>
      <c r="H529" s="511">
        <v>27.222289743877187</v>
      </c>
    </row>
    <row r="530" spans="1:8" x14ac:dyDescent="0.25">
      <c r="B530" s="508" t="s">
        <v>2499</v>
      </c>
      <c r="C530" s="508"/>
      <c r="D530" s="508"/>
      <c r="E530" s="510">
        <v>-75266109.340000004</v>
      </c>
      <c r="F530" s="510">
        <v>-59161102.579999998</v>
      </c>
      <c r="G530" s="510">
        <v>-16105006.76</v>
      </c>
      <c r="H530" s="511">
        <v>27.222289743877187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1"/>
    <pageSetUpPr fitToPage="1"/>
  </sheetPr>
  <dimension ref="A1:AA94"/>
  <sheetViews>
    <sheetView zoomScaleNormal="100" workbookViewId="0">
      <selection activeCell="G30" sqref="G30"/>
    </sheetView>
  </sheetViews>
  <sheetFormatPr defaultRowHeight="13.2" x14ac:dyDescent="0.25"/>
  <cols>
    <col min="1" max="1" width="4.58203125" style="276" customWidth="1"/>
    <col min="2" max="2" width="15.9140625" style="276" customWidth="1"/>
    <col min="3" max="3" width="8.33203125" style="276" customWidth="1"/>
    <col min="4" max="4" width="10.58203125" style="276" customWidth="1"/>
    <col min="5" max="5" width="6.58203125" style="276" bestFit="1" customWidth="1"/>
    <col min="6" max="6" width="8.58203125" style="278" bestFit="1" customWidth="1"/>
    <col min="7" max="7" width="6.75" style="278" bestFit="1" customWidth="1"/>
    <col min="8" max="8" width="6.08203125" style="278" bestFit="1" customWidth="1"/>
    <col min="9" max="9" width="10" style="304" bestFit="1" customWidth="1"/>
    <col min="10" max="10" width="1.25" style="304" customWidth="1"/>
    <col min="11" max="11" width="10" style="304" bestFit="1" customWidth="1"/>
    <col min="12" max="12" width="3.4140625" style="304" bestFit="1" customWidth="1"/>
    <col min="13" max="13" width="10.08203125" style="304" bestFit="1" customWidth="1"/>
    <col min="14" max="14" width="12.6640625" style="305" customWidth="1"/>
    <col min="15" max="15" width="1.25" style="305" customWidth="1"/>
    <col min="16" max="16" width="10" style="305" bestFit="1" customWidth="1"/>
    <col min="17" max="17" width="1.25" style="304" customWidth="1"/>
    <col min="18" max="18" width="6" style="281" customWidth="1"/>
    <col min="19" max="19" width="5.9140625" style="282" bestFit="1" customWidth="1"/>
    <col min="20" max="20" width="0.33203125" style="358" customWidth="1"/>
    <col min="21" max="21" width="10.08203125" style="284" bestFit="1" customWidth="1"/>
    <col min="22" max="22" width="8.9140625" style="285"/>
    <col min="23" max="23" width="9" style="286" bestFit="1" customWidth="1"/>
    <col min="24" max="24" width="7" style="287" bestFit="1" customWidth="1"/>
    <col min="25" max="25" width="6.6640625" style="287" bestFit="1" customWidth="1"/>
    <col min="26" max="27" width="8.9140625" style="287"/>
    <col min="28" max="31" width="8.9140625" style="276"/>
    <col min="32" max="32" width="8.75" style="276" customWidth="1"/>
    <col min="33" max="33" width="3.33203125" style="276" customWidth="1"/>
    <col min="34" max="34" width="9.6640625" style="276" customWidth="1"/>
    <col min="35" max="256" width="8.9140625" style="276"/>
    <col min="257" max="257" width="4.58203125" style="276" customWidth="1"/>
    <col min="258" max="258" width="15.9140625" style="276" customWidth="1"/>
    <col min="259" max="259" width="8.33203125" style="276" customWidth="1"/>
    <col min="260" max="260" width="16.75" style="276" customWidth="1"/>
    <col min="261" max="261" width="6.58203125" style="276" bestFit="1" customWidth="1"/>
    <col min="262" max="262" width="8.58203125" style="276" bestFit="1" customWidth="1"/>
    <col min="263" max="263" width="6.75" style="276" bestFit="1" customWidth="1"/>
    <col min="264" max="264" width="6.08203125" style="276" bestFit="1" customWidth="1"/>
    <col min="265" max="265" width="9" style="276" bestFit="1" customWidth="1"/>
    <col min="266" max="266" width="1.25" style="276" customWidth="1"/>
    <col min="267" max="267" width="10" style="276" bestFit="1" customWidth="1"/>
    <col min="268" max="268" width="3.4140625" style="276" bestFit="1" customWidth="1"/>
    <col min="269" max="269" width="10.08203125" style="276" bestFit="1" customWidth="1"/>
    <col min="270" max="270" width="12.6640625" style="276" customWidth="1"/>
    <col min="271" max="271" width="1.25" style="276" customWidth="1"/>
    <col min="272" max="272" width="9.58203125" style="276" customWidth="1"/>
    <col min="273" max="273" width="1.25" style="276" customWidth="1"/>
    <col min="274" max="274" width="6" style="276" customWidth="1"/>
    <col min="275" max="275" width="5.9140625" style="276" bestFit="1" customWidth="1"/>
    <col min="276" max="276" width="0.33203125" style="276" customWidth="1"/>
    <col min="277" max="277" width="10.08203125" style="276" bestFit="1" customWidth="1"/>
    <col min="278" max="278" width="8.9140625" style="276"/>
    <col min="279" max="279" width="9" style="276" bestFit="1" customWidth="1"/>
    <col min="280" max="280" width="7" style="276" bestFit="1" customWidth="1"/>
    <col min="281" max="281" width="6.6640625" style="276" bestFit="1" customWidth="1"/>
    <col min="282" max="287" width="8.9140625" style="276"/>
    <col min="288" max="288" width="8.75" style="276" customWidth="1"/>
    <col min="289" max="289" width="3.33203125" style="276" customWidth="1"/>
    <col min="290" max="290" width="9.6640625" style="276" customWidth="1"/>
    <col min="291" max="512" width="8.9140625" style="276"/>
    <col min="513" max="513" width="4.58203125" style="276" customWidth="1"/>
    <col min="514" max="514" width="15.9140625" style="276" customWidth="1"/>
    <col min="515" max="515" width="8.33203125" style="276" customWidth="1"/>
    <col min="516" max="516" width="16.75" style="276" customWidth="1"/>
    <col min="517" max="517" width="6.58203125" style="276" bestFit="1" customWidth="1"/>
    <col min="518" max="518" width="8.58203125" style="276" bestFit="1" customWidth="1"/>
    <col min="519" max="519" width="6.75" style="276" bestFit="1" customWidth="1"/>
    <col min="520" max="520" width="6.08203125" style="276" bestFit="1" customWidth="1"/>
    <col min="521" max="521" width="9" style="276" bestFit="1" customWidth="1"/>
    <col min="522" max="522" width="1.25" style="276" customWidth="1"/>
    <col min="523" max="523" width="10" style="276" bestFit="1" customWidth="1"/>
    <col min="524" max="524" width="3.4140625" style="276" bestFit="1" customWidth="1"/>
    <col min="525" max="525" width="10.08203125" style="276" bestFit="1" customWidth="1"/>
    <col min="526" max="526" width="12.6640625" style="276" customWidth="1"/>
    <col min="527" max="527" width="1.25" style="276" customWidth="1"/>
    <col min="528" max="528" width="9.58203125" style="276" customWidth="1"/>
    <col min="529" max="529" width="1.25" style="276" customWidth="1"/>
    <col min="530" max="530" width="6" style="276" customWidth="1"/>
    <col min="531" max="531" width="5.9140625" style="276" bestFit="1" customWidth="1"/>
    <col min="532" max="532" width="0.33203125" style="276" customWidth="1"/>
    <col min="533" max="533" width="10.08203125" style="276" bestFit="1" customWidth="1"/>
    <col min="534" max="534" width="8.9140625" style="276"/>
    <col min="535" max="535" width="9" style="276" bestFit="1" customWidth="1"/>
    <col min="536" max="536" width="7" style="276" bestFit="1" customWidth="1"/>
    <col min="537" max="537" width="6.6640625" style="276" bestFit="1" customWidth="1"/>
    <col min="538" max="543" width="8.9140625" style="276"/>
    <col min="544" max="544" width="8.75" style="276" customWidth="1"/>
    <col min="545" max="545" width="3.33203125" style="276" customWidth="1"/>
    <col min="546" max="546" width="9.6640625" style="276" customWidth="1"/>
    <col min="547" max="768" width="8.9140625" style="276"/>
    <col min="769" max="769" width="4.58203125" style="276" customWidth="1"/>
    <col min="770" max="770" width="15.9140625" style="276" customWidth="1"/>
    <col min="771" max="771" width="8.33203125" style="276" customWidth="1"/>
    <col min="772" max="772" width="16.75" style="276" customWidth="1"/>
    <col min="773" max="773" width="6.58203125" style="276" bestFit="1" customWidth="1"/>
    <col min="774" max="774" width="8.58203125" style="276" bestFit="1" customWidth="1"/>
    <col min="775" max="775" width="6.75" style="276" bestFit="1" customWidth="1"/>
    <col min="776" max="776" width="6.08203125" style="276" bestFit="1" customWidth="1"/>
    <col min="777" max="777" width="9" style="276" bestFit="1" customWidth="1"/>
    <col min="778" max="778" width="1.25" style="276" customWidth="1"/>
    <col min="779" max="779" width="10" style="276" bestFit="1" customWidth="1"/>
    <col min="780" max="780" width="3.4140625" style="276" bestFit="1" customWidth="1"/>
    <col min="781" max="781" width="10.08203125" style="276" bestFit="1" customWidth="1"/>
    <col min="782" max="782" width="12.6640625" style="276" customWidth="1"/>
    <col min="783" max="783" width="1.25" style="276" customWidth="1"/>
    <col min="784" max="784" width="9.58203125" style="276" customWidth="1"/>
    <col min="785" max="785" width="1.25" style="276" customWidth="1"/>
    <col min="786" max="786" width="6" style="276" customWidth="1"/>
    <col min="787" max="787" width="5.9140625" style="276" bestFit="1" customWidth="1"/>
    <col min="788" max="788" width="0.33203125" style="276" customWidth="1"/>
    <col min="789" max="789" width="10.08203125" style="276" bestFit="1" customWidth="1"/>
    <col min="790" max="790" width="8.9140625" style="276"/>
    <col min="791" max="791" width="9" style="276" bestFit="1" customWidth="1"/>
    <col min="792" max="792" width="7" style="276" bestFit="1" customWidth="1"/>
    <col min="793" max="793" width="6.6640625" style="276" bestFit="1" customWidth="1"/>
    <col min="794" max="799" width="8.9140625" style="276"/>
    <col min="800" max="800" width="8.75" style="276" customWidth="1"/>
    <col min="801" max="801" width="3.33203125" style="276" customWidth="1"/>
    <col min="802" max="802" width="9.6640625" style="276" customWidth="1"/>
    <col min="803" max="1024" width="8.9140625" style="276"/>
    <col min="1025" max="1025" width="4.58203125" style="276" customWidth="1"/>
    <col min="1026" max="1026" width="15.9140625" style="276" customWidth="1"/>
    <col min="1027" max="1027" width="8.33203125" style="276" customWidth="1"/>
    <col min="1028" max="1028" width="16.75" style="276" customWidth="1"/>
    <col min="1029" max="1029" width="6.58203125" style="276" bestFit="1" customWidth="1"/>
    <col min="1030" max="1030" width="8.58203125" style="276" bestFit="1" customWidth="1"/>
    <col min="1031" max="1031" width="6.75" style="276" bestFit="1" customWidth="1"/>
    <col min="1032" max="1032" width="6.08203125" style="276" bestFit="1" customWidth="1"/>
    <col min="1033" max="1033" width="9" style="276" bestFit="1" customWidth="1"/>
    <col min="1034" max="1034" width="1.25" style="276" customWidth="1"/>
    <col min="1035" max="1035" width="10" style="276" bestFit="1" customWidth="1"/>
    <col min="1036" max="1036" width="3.4140625" style="276" bestFit="1" customWidth="1"/>
    <col min="1037" max="1037" width="10.08203125" style="276" bestFit="1" customWidth="1"/>
    <col min="1038" max="1038" width="12.6640625" style="276" customWidth="1"/>
    <col min="1039" max="1039" width="1.25" style="276" customWidth="1"/>
    <col min="1040" max="1040" width="9.58203125" style="276" customWidth="1"/>
    <col min="1041" max="1041" width="1.25" style="276" customWidth="1"/>
    <col min="1042" max="1042" width="6" style="276" customWidth="1"/>
    <col min="1043" max="1043" width="5.9140625" style="276" bestFit="1" customWidth="1"/>
    <col min="1044" max="1044" width="0.33203125" style="276" customWidth="1"/>
    <col min="1045" max="1045" width="10.08203125" style="276" bestFit="1" customWidth="1"/>
    <col min="1046" max="1046" width="8.9140625" style="276"/>
    <col min="1047" max="1047" width="9" style="276" bestFit="1" customWidth="1"/>
    <col min="1048" max="1048" width="7" style="276" bestFit="1" customWidth="1"/>
    <col min="1049" max="1049" width="6.6640625" style="276" bestFit="1" customWidth="1"/>
    <col min="1050" max="1055" width="8.9140625" style="276"/>
    <col min="1056" max="1056" width="8.75" style="276" customWidth="1"/>
    <col min="1057" max="1057" width="3.33203125" style="276" customWidth="1"/>
    <col min="1058" max="1058" width="9.6640625" style="276" customWidth="1"/>
    <col min="1059" max="1280" width="8.9140625" style="276"/>
    <col min="1281" max="1281" width="4.58203125" style="276" customWidth="1"/>
    <col min="1282" max="1282" width="15.9140625" style="276" customWidth="1"/>
    <col min="1283" max="1283" width="8.33203125" style="276" customWidth="1"/>
    <col min="1284" max="1284" width="16.75" style="276" customWidth="1"/>
    <col min="1285" max="1285" width="6.58203125" style="276" bestFit="1" customWidth="1"/>
    <col min="1286" max="1286" width="8.58203125" style="276" bestFit="1" customWidth="1"/>
    <col min="1287" max="1287" width="6.75" style="276" bestFit="1" customWidth="1"/>
    <col min="1288" max="1288" width="6.08203125" style="276" bestFit="1" customWidth="1"/>
    <col min="1289" max="1289" width="9" style="276" bestFit="1" customWidth="1"/>
    <col min="1290" max="1290" width="1.25" style="276" customWidth="1"/>
    <col min="1291" max="1291" width="10" style="276" bestFit="1" customWidth="1"/>
    <col min="1292" max="1292" width="3.4140625" style="276" bestFit="1" customWidth="1"/>
    <col min="1293" max="1293" width="10.08203125" style="276" bestFit="1" customWidth="1"/>
    <col min="1294" max="1294" width="12.6640625" style="276" customWidth="1"/>
    <col min="1295" max="1295" width="1.25" style="276" customWidth="1"/>
    <col min="1296" max="1296" width="9.58203125" style="276" customWidth="1"/>
    <col min="1297" max="1297" width="1.25" style="276" customWidth="1"/>
    <col min="1298" max="1298" width="6" style="276" customWidth="1"/>
    <col min="1299" max="1299" width="5.9140625" style="276" bestFit="1" customWidth="1"/>
    <col min="1300" max="1300" width="0.33203125" style="276" customWidth="1"/>
    <col min="1301" max="1301" width="10.08203125" style="276" bestFit="1" customWidth="1"/>
    <col min="1302" max="1302" width="8.9140625" style="276"/>
    <col min="1303" max="1303" width="9" style="276" bestFit="1" customWidth="1"/>
    <col min="1304" max="1304" width="7" style="276" bestFit="1" customWidth="1"/>
    <col min="1305" max="1305" width="6.6640625" style="276" bestFit="1" customWidth="1"/>
    <col min="1306" max="1311" width="8.9140625" style="276"/>
    <col min="1312" max="1312" width="8.75" style="276" customWidth="1"/>
    <col min="1313" max="1313" width="3.33203125" style="276" customWidth="1"/>
    <col min="1314" max="1314" width="9.6640625" style="276" customWidth="1"/>
    <col min="1315" max="1536" width="8.9140625" style="276"/>
    <col min="1537" max="1537" width="4.58203125" style="276" customWidth="1"/>
    <col min="1538" max="1538" width="15.9140625" style="276" customWidth="1"/>
    <col min="1539" max="1539" width="8.33203125" style="276" customWidth="1"/>
    <col min="1540" max="1540" width="16.75" style="276" customWidth="1"/>
    <col min="1541" max="1541" width="6.58203125" style="276" bestFit="1" customWidth="1"/>
    <col min="1542" max="1542" width="8.58203125" style="276" bestFit="1" customWidth="1"/>
    <col min="1543" max="1543" width="6.75" style="276" bestFit="1" customWidth="1"/>
    <col min="1544" max="1544" width="6.08203125" style="276" bestFit="1" customWidth="1"/>
    <col min="1545" max="1545" width="9" style="276" bestFit="1" customWidth="1"/>
    <col min="1546" max="1546" width="1.25" style="276" customWidth="1"/>
    <col min="1547" max="1547" width="10" style="276" bestFit="1" customWidth="1"/>
    <col min="1548" max="1548" width="3.4140625" style="276" bestFit="1" customWidth="1"/>
    <col min="1549" max="1549" width="10.08203125" style="276" bestFit="1" customWidth="1"/>
    <col min="1550" max="1550" width="12.6640625" style="276" customWidth="1"/>
    <col min="1551" max="1551" width="1.25" style="276" customWidth="1"/>
    <col min="1552" max="1552" width="9.58203125" style="276" customWidth="1"/>
    <col min="1553" max="1553" width="1.25" style="276" customWidth="1"/>
    <col min="1554" max="1554" width="6" style="276" customWidth="1"/>
    <col min="1555" max="1555" width="5.9140625" style="276" bestFit="1" customWidth="1"/>
    <col min="1556" max="1556" width="0.33203125" style="276" customWidth="1"/>
    <col min="1557" max="1557" width="10.08203125" style="276" bestFit="1" customWidth="1"/>
    <col min="1558" max="1558" width="8.9140625" style="276"/>
    <col min="1559" max="1559" width="9" style="276" bestFit="1" customWidth="1"/>
    <col min="1560" max="1560" width="7" style="276" bestFit="1" customWidth="1"/>
    <col min="1561" max="1561" width="6.6640625" style="276" bestFit="1" customWidth="1"/>
    <col min="1562" max="1567" width="8.9140625" style="276"/>
    <col min="1568" max="1568" width="8.75" style="276" customWidth="1"/>
    <col min="1569" max="1569" width="3.33203125" style="276" customWidth="1"/>
    <col min="1570" max="1570" width="9.6640625" style="276" customWidth="1"/>
    <col min="1571" max="1792" width="8.9140625" style="276"/>
    <col min="1793" max="1793" width="4.58203125" style="276" customWidth="1"/>
    <col min="1794" max="1794" width="15.9140625" style="276" customWidth="1"/>
    <col min="1795" max="1795" width="8.33203125" style="276" customWidth="1"/>
    <col min="1796" max="1796" width="16.75" style="276" customWidth="1"/>
    <col min="1797" max="1797" width="6.58203125" style="276" bestFit="1" customWidth="1"/>
    <col min="1798" max="1798" width="8.58203125" style="276" bestFit="1" customWidth="1"/>
    <col min="1799" max="1799" width="6.75" style="276" bestFit="1" customWidth="1"/>
    <col min="1800" max="1800" width="6.08203125" style="276" bestFit="1" customWidth="1"/>
    <col min="1801" max="1801" width="9" style="276" bestFit="1" customWidth="1"/>
    <col min="1802" max="1802" width="1.25" style="276" customWidth="1"/>
    <col min="1803" max="1803" width="10" style="276" bestFit="1" customWidth="1"/>
    <col min="1804" max="1804" width="3.4140625" style="276" bestFit="1" customWidth="1"/>
    <col min="1805" max="1805" width="10.08203125" style="276" bestFit="1" customWidth="1"/>
    <col min="1806" max="1806" width="12.6640625" style="276" customWidth="1"/>
    <col min="1807" max="1807" width="1.25" style="276" customWidth="1"/>
    <col min="1808" max="1808" width="9.58203125" style="276" customWidth="1"/>
    <col min="1809" max="1809" width="1.25" style="276" customWidth="1"/>
    <col min="1810" max="1810" width="6" style="276" customWidth="1"/>
    <col min="1811" max="1811" width="5.9140625" style="276" bestFit="1" customWidth="1"/>
    <col min="1812" max="1812" width="0.33203125" style="276" customWidth="1"/>
    <col min="1813" max="1813" width="10.08203125" style="276" bestFit="1" customWidth="1"/>
    <col min="1814" max="1814" width="8.9140625" style="276"/>
    <col min="1815" max="1815" width="9" style="276" bestFit="1" customWidth="1"/>
    <col min="1816" max="1816" width="7" style="276" bestFit="1" customWidth="1"/>
    <col min="1817" max="1817" width="6.6640625" style="276" bestFit="1" customWidth="1"/>
    <col min="1818" max="1823" width="8.9140625" style="276"/>
    <col min="1824" max="1824" width="8.75" style="276" customWidth="1"/>
    <col min="1825" max="1825" width="3.33203125" style="276" customWidth="1"/>
    <col min="1826" max="1826" width="9.6640625" style="276" customWidth="1"/>
    <col min="1827" max="2048" width="8.9140625" style="276"/>
    <col min="2049" max="2049" width="4.58203125" style="276" customWidth="1"/>
    <col min="2050" max="2050" width="15.9140625" style="276" customWidth="1"/>
    <col min="2051" max="2051" width="8.33203125" style="276" customWidth="1"/>
    <col min="2052" max="2052" width="16.75" style="276" customWidth="1"/>
    <col min="2053" max="2053" width="6.58203125" style="276" bestFit="1" customWidth="1"/>
    <col min="2054" max="2054" width="8.58203125" style="276" bestFit="1" customWidth="1"/>
    <col min="2055" max="2055" width="6.75" style="276" bestFit="1" customWidth="1"/>
    <col min="2056" max="2056" width="6.08203125" style="276" bestFit="1" customWidth="1"/>
    <col min="2057" max="2057" width="9" style="276" bestFit="1" customWidth="1"/>
    <col min="2058" max="2058" width="1.25" style="276" customWidth="1"/>
    <col min="2059" max="2059" width="10" style="276" bestFit="1" customWidth="1"/>
    <col min="2060" max="2060" width="3.4140625" style="276" bestFit="1" customWidth="1"/>
    <col min="2061" max="2061" width="10.08203125" style="276" bestFit="1" customWidth="1"/>
    <col min="2062" max="2062" width="12.6640625" style="276" customWidth="1"/>
    <col min="2063" max="2063" width="1.25" style="276" customWidth="1"/>
    <col min="2064" max="2064" width="9.58203125" style="276" customWidth="1"/>
    <col min="2065" max="2065" width="1.25" style="276" customWidth="1"/>
    <col min="2066" max="2066" width="6" style="276" customWidth="1"/>
    <col min="2067" max="2067" width="5.9140625" style="276" bestFit="1" customWidth="1"/>
    <col min="2068" max="2068" width="0.33203125" style="276" customWidth="1"/>
    <col min="2069" max="2069" width="10.08203125" style="276" bestFit="1" customWidth="1"/>
    <col min="2070" max="2070" width="8.9140625" style="276"/>
    <col min="2071" max="2071" width="9" style="276" bestFit="1" customWidth="1"/>
    <col min="2072" max="2072" width="7" style="276" bestFit="1" customWidth="1"/>
    <col min="2073" max="2073" width="6.6640625" style="276" bestFit="1" customWidth="1"/>
    <col min="2074" max="2079" width="8.9140625" style="276"/>
    <col min="2080" max="2080" width="8.75" style="276" customWidth="1"/>
    <col min="2081" max="2081" width="3.33203125" style="276" customWidth="1"/>
    <col min="2082" max="2082" width="9.6640625" style="276" customWidth="1"/>
    <col min="2083" max="2304" width="8.9140625" style="276"/>
    <col min="2305" max="2305" width="4.58203125" style="276" customWidth="1"/>
    <col min="2306" max="2306" width="15.9140625" style="276" customWidth="1"/>
    <col min="2307" max="2307" width="8.33203125" style="276" customWidth="1"/>
    <col min="2308" max="2308" width="16.75" style="276" customWidth="1"/>
    <col min="2309" max="2309" width="6.58203125" style="276" bestFit="1" customWidth="1"/>
    <col min="2310" max="2310" width="8.58203125" style="276" bestFit="1" customWidth="1"/>
    <col min="2311" max="2311" width="6.75" style="276" bestFit="1" customWidth="1"/>
    <col min="2312" max="2312" width="6.08203125" style="276" bestFit="1" customWidth="1"/>
    <col min="2313" max="2313" width="9" style="276" bestFit="1" customWidth="1"/>
    <col min="2314" max="2314" width="1.25" style="276" customWidth="1"/>
    <col min="2315" max="2315" width="10" style="276" bestFit="1" customWidth="1"/>
    <col min="2316" max="2316" width="3.4140625" style="276" bestFit="1" customWidth="1"/>
    <col min="2317" max="2317" width="10.08203125" style="276" bestFit="1" customWidth="1"/>
    <col min="2318" max="2318" width="12.6640625" style="276" customWidth="1"/>
    <col min="2319" max="2319" width="1.25" style="276" customWidth="1"/>
    <col min="2320" max="2320" width="9.58203125" style="276" customWidth="1"/>
    <col min="2321" max="2321" width="1.25" style="276" customWidth="1"/>
    <col min="2322" max="2322" width="6" style="276" customWidth="1"/>
    <col min="2323" max="2323" width="5.9140625" style="276" bestFit="1" customWidth="1"/>
    <col min="2324" max="2324" width="0.33203125" style="276" customWidth="1"/>
    <col min="2325" max="2325" width="10.08203125" style="276" bestFit="1" customWidth="1"/>
    <col min="2326" max="2326" width="8.9140625" style="276"/>
    <col min="2327" max="2327" width="9" style="276" bestFit="1" customWidth="1"/>
    <col min="2328" max="2328" width="7" style="276" bestFit="1" customWidth="1"/>
    <col min="2329" max="2329" width="6.6640625" style="276" bestFit="1" customWidth="1"/>
    <col min="2330" max="2335" width="8.9140625" style="276"/>
    <col min="2336" max="2336" width="8.75" style="276" customWidth="1"/>
    <col min="2337" max="2337" width="3.33203125" style="276" customWidth="1"/>
    <col min="2338" max="2338" width="9.6640625" style="276" customWidth="1"/>
    <col min="2339" max="2560" width="8.9140625" style="276"/>
    <col min="2561" max="2561" width="4.58203125" style="276" customWidth="1"/>
    <col min="2562" max="2562" width="15.9140625" style="276" customWidth="1"/>
    <col min="2563" max="2563" width="8.33203125" style="276" customWidth="1"/>
    <col min="2564" max="2564" width="16.75" style="276" customWidth="1"/>
    <col min="2565" max="2565" width="6.58203125" style="276" bestFit="1" customWidth="1"/>
    <col min="2566" max="2566" width="8.58203125" style="276" bestFit="1" customWidth="1"/>
    <col min="2567" max="2567" width="6.75" style="276" bestFit="1" customWidth="1"/>
    <col min="2568" max="2568" width="6.08203125" style="276" bestFit="1" customWidth="1"/>
    <col min="2569" max="2569" width="9" style="276" bestFit="1" customWidth="1"/>
    <col min="2570" max="2570" width="1.25" style="276" customWidth="1"/>
    <col min="2571" max="2571" width="10" style="276" bestFit="1" customWidth="1"/>
    <col min="2572" max="2572" width="3.4140625" style="276" bestFit="1" customWidth="1"/>
    <col min="2573" max="2573" width="10.08203125" style="276" bestFit="1" customWidth="1"/>
    <col min="2574" max="2574" width="12.6640625" style="276" customWidth="1"/>
    <col min="2575" max="2575" width="1.25" style="276" customWidth="1"/>
    <col min="2576" max="2576" width="9.58203125" style="276" customWidth="1"/>
    <col min="2577" max="2577" width="1.25" style="276" customWidth="1"/>
    <col min="2578" max="2578" width="6" style="276" customWidth="1"/>
    <col min="2579" max="2579" width="5.9140625" style="276" bestFit="1" customWidth="1"/>
    <col min="2580" max="2580" width="0.33203125" style="276" customWidth="1"/>
    <col min="2581" max="2581" width="10.08203125" style="276" bestFit="1" customWidth="1"/>
    <col min="2582" max="2582" width="8.9140625" style="276"/>
    <col min="2583" max="2583" width="9" style="276" bestFit="1" customWidth="1"/>
    <col min="2584" max="2584" width="7" style="276" bestFit="1" customWidth="1"/>
    <col min="2585" max="2585" width="6.6640625" style="276" bestFit="1" customWidth="1"/>
    <col min="2586" max="2591" width="8.9140625" style="276"/>
    <col min="2592" max="2592" width="8.75" style="276" customWidth="1"/>
    <col min="2593" max="2593" width="3.33203125" style="276" customWidth="1"/>
    <col min="2594" max="2594" width="9.6640625" style="276" customWidth="1"/>
    <col min="2595" max="2816" width="8.9140625" style="276"/>
    <col min="2817" max="2817" width="4.58203125" style="276" customWidth="1"/>
    <col min="2818" max="2818" width="15.9140625" style="276" customWidth="1"/>
    <col min="2819" max="2819" width="8.33203125" style="276" customWidth="1"/>
    <col min="2820" max="2820" width="16.75" style="276" customWidth="1"/>
    <col min="2821" max="2821" width="6.58203125" style="276" bestFit="1" customWidth="1"/>
    <col min="2822" max="2822" width="8.58203125" style="276" bestFit="1" customWidth="1"/>
    <col min="2823" max="2823" width="6.75" style="276" bestFit="1" customWidth="1"/>
    <col min="2824" max="2824" width="6.08203125" style="276" bestFit="1" customWidth="1"/>
    <col min="2825" max="2825" width="9" style="276" bestFit="1" customWidth="1"/>
    <col min="2826" max="2826" width="1.25" style="276" customWidth="1"/>
    <col min="2827" max="2827" width="10" style="276" bestFit="1" customWidth="1"/>
    <col min="2828" max="2828" width="3.4140625" style="276" bestFit="1" customWidth="1"/>
    <col min="2829" max="2829" width="10.08203125" style="276" bestFit="1" customWidth="1"/>
    <col min="2830" max="2830" width="12.6640625" style="276" customWidth="1"/>
    <col min="2831" max="2831" width="1.25" style="276" customWidth="1"/>
    <col min="2832" max="2832" width="9.58203125" style="276" customWidth="1"/>
    <col min="2833" max="2833" width="1.25" style="276" customWidth="1"/>
    <col min="2834" max="2834" width="6" style="276" customWidth="1"/>
    <col min="2835" max="2835" width="5.9140625" style="276" bestFit="1" customWidth="1"/>
    <col min="2836" max="2836" width="0.33203125" style="276" customWidth="1"/>
    <col min="2837" max="2837" width="10.08203125" style="276" bestFit="1" customWidth="1"/>
    <col min="2838" max="2838" width="8.9140625" style="276"/>
    <col min="2839" max="2839" width="9" style="276" bestFit="1" customWidth="1"/>
    <col min="2840" max="2840" width="7" style="276" bestFit="1" customWidth="1"/>
    <col min="2841" max="2841" width="6.6640625" style="276" bestFit="1" customWidth="1"/>
    <col min="2842" max="2847" width="8.9140625" style="276"/>
    <col min="2848" max="2848" width="8.75" style="276" customWidth="1"/>
    <col min="2849" max="2849" width="3.33203125" style="276" customWidth="1"/>
    <col min="2850" max="2850" width="9.6640625" style="276" customWidth="1"/>
    <col min="2851" max="3072" width="8.9140625" style="276"/>
    <col min="3073" max="3073" width="4.58203125" style="276" customWidth="1"/>
    <col min="3074" max="3074" width="15.9140625" style="276" customWidth="1"/>
    <col min="3075" max="3075" width="8.33203125" style="276" customWidth="1"/>
    <col min="3076" max="3076" width="16.75" style="276" customWidth="1"/>
    <col min="3077" max="3077" width="6.58203125" style="276" bestFit="1" customWidth="1"/>
    <col min="3078" max="3078" width="8.58203125" style="276" bestFit="1" customWidth="1"/>
    <col min="3079" max="3079" width="6.75" style="276" bestFit="1" customWidth="1"/>
    <col min="3080" max="3080" width="6.08203125" style="276" bestFit="1" customWidth="1"/>
    <col min="3081" max="3081" width="9" style="276" bestFit="1" customWidth="1"/>
    <col min="3082" max="3082" width="1.25" style="276" customWidth="1"/>
    <col min="3083" max="3083" width="10" style="276" bestFit="1" customWidth="1"/>
    <col min="3084" max="3084" width="3.4140625" style="276" bestFit="1" customWidth="1"/>
    <col min="3085" max="3085" width="10.08203125" style="276" bestFit="1" customWidth="1"/>
    <col min="3086" max="3086" width="12.6640625" style="276" customWidth="1"/>
    <col min="3087" max="3087" width="1.25" style="276" customWidth="1"/>
    <col min="3088" max="3088" width="9.58203125" style="276" customWidth="1"/>
    <col min="3089" max="3089" width="1.25" style="276" customWidth="1"/>
    <col min="3090" max="3090" width="6" style="276" customWidth="1"/>
    <col min="3091" max="3091" width="5.9140625" style="276" bestFit="1" customWidth="1"/>
    <col min="3092" max="3092" width="0.33203125" style="276" customWidth="1"/>
    <col min="3093" max="3093" width="10.08203125" style="276" bestFit="1" customWidth="1"/>
    <col min="3094" max="3094" width="8.9140625" style="276"/>
    <col min="3095" max="3095" width="9" style="276" bestFit="1" customWidth="1"/>
    <col min="3096" max="3096" width="7" style="276" bestFit="1" customWidth="1"/>
    <col min="3097" max="3097" width="6.6640625" style="276" bestFit="1" customWidth="1"/>
    <col min="3098" max="3103" width="8.9140625" style="276"/>
    <col min="3104" max="3104" width="8.75" style="276" customWidth="1"/>
    <col min="3105" max="3105" width="3.33203125" style="276" customWidth="1"/>
    <col min="3106" max="3106" width="9.6640625" style="276" customWidth="1"/>
    <col min="3107" max="3328" width="8.9140625" style="276"/>
    <col min="3329" max="3329" width="4.58203125" style="276" customWidth="1"/>
    <col min="3330" max="3330" width="15.9140625" style="276" customWidth="1"/>
    <col min="3331" max="3331" width="8.33203125" style="276" customWidth="1"/>
    <col min="3332" max="3332" width="16.75" style="276" customWidth="1"/>
    <col min="3333" max="3333" width="6.58203125" style="276" bestFit="1" customWidth="1"/>
    <col min="3334" max="3334" width="8.58203125" style="276" bestFit="1" customWidth="1"/>
    <col min="3335" max="3335" width="6.75" style="276" bestFit="1" customWidth="1"/>
    <col min="3336" max="3336" width="6.08203125" style="276" bestFit="1" customWidth="1"/>
    <col min="3337" max="3337" width="9" style="276" bestFit="1" customWidth="1"/>
    <col min="3338" max="3338" width="1.25" style="276" customWidth="1"/>
    <col min="3339" max="3339" width="10" style="276" bestFit="1" customWidth="1"/>
    <col min="3340" max="3340" width="3.4140625" style="276" bestFit="1" customWidth="1"/>
    <col min="3341" max="3341" width="10.08203125" style="276" bestFit="1" customWidth="1"/>
    <col min="3342" max="3342" width="12.6640625" style="276" customWidth="1"/>
    <col min="3343" max="3343" width="1.25" style="276" customWidth="1"/>
    <col min="3344" max="3344" width="9.58203125" style="276" customWidth="1"/>
    <col min="3345" max="3345" width="1.25" style="276" customWidth="1"/>
    <col min="3346" max="3346" width="6" style="276" customWidth="1"/>
    <col min="3347" max="3347" width="5.9140625" style="276" bestFit="1" customWidth="1"/>
    <col min="3348" max="3348" width="0.33203125" style="276" customWidth="1"/>
    <col min="3349" max="3349" width="10.08203125" style="276" bestFit="1" customWidth="1"/>
    <col min="3350" max="3350" width="8.9140625" style="276"/>
    <col min="3351" max="3351" width="9" style="276" bestFit="1" customWidth="1"/>
    <col min="3352" max="3352" width="7" style="276" bestFit="1" customWidth="1"/>
    <col min="3353" max="3353" width="6.6640625" style="276" bestFit="1" customWidth="1"/>
    <col min="3354" max="3359" width="8.9140625" style="276"/>
    <col min="3360" max="3360" width="8.75" style="276" customWidth="1"/>
    <col min="3361" max="3361" width="3.33203125" style="276" customWidth="1"/>
    <col min="3362" max="3362" width="9.6640625" style="276" customWidth="1"/>
    <col min="3363" max="3584" width="8.9140625" style="276"/>
    <col min="3585" max="3585" width="4.58203125" style="276" customWidth="1"/>
    <col min="3586" max="3586" width="15.9140625" style="276" customWidth="1"/>
    <col min="3587" max="3587" width="8.33203125" style="276" customWidth="1"/>
    <col min="3588" max="3588" width="16.75" style="276" customWidth="1"/>
    <col min="3589" max="3589" width="6.58203125" style="276" bestFit="1" customWidth="1"/>
    <col min="3590" max="3590" width="8.58203125" style="276" bestFit="1" customWidth="1"/>
    <col min="3591" max="3591" width="6.75" style="276" bestFit="1" customWidth="1"/>
    <col min="3592" max="3592" width="6.08203125" style="276" bestFit="1" customWidth="1"/>
    <col min="3593" max="3593" width="9" style="276" bestFit="1" customWidth="1"/>
    <col min="3594" max="3594" width="1.25" style="276" customWidth="1"/>
    <col min="3595" max="3595" width="10" style="276" bestFit="1" customWidth="1"/>
    <col min="3596" max="3596" width="3.4140625" style="276" bestFit="1" customWidth="1"/>
    <col min="3597" max="3597" width="10.08203125" style="276" bestFit="1" customWidth="1"/>
    <col min="3598" max="3598" width="12.6640625" style="276" customWidth="1"/>
    <col min="3599" max="3599" width="1.25" style="276" customWidth="1"/>
    <col min="3600" max="3600" width="9.58203125" style="276" customWidth="1"/>
    <col min="3601" max="3601" width="1.25" style="276" customWidth="1"/>
    <col min="3602" max="3602" width="6" style="276" customWidth="1"/>
    <col min="3603" max="3603" width="5.9140625" style="276" bestFit="1" customWidth="1"/>
    <col min="3604" max="3604" width="0.33203125" style="276" customWidth="1"/>
    <col min="3605" max="3605" width="10.08203125" style="276" bestFit="1" customWidth="1"/>
    <col min="3606" max="3606" width="8.9140625" style="276"/>
    <col min="3607" max="3607" width="9" style="276" bestFit="1" customWidth="1"/>
    <col min="3608" max="3608" width="7" style="276" bestFit="1" customWidth="1"/>
    <col min="3609" max="3609" width="6.6640625" style="276" bestFit="1" customWidth="1"/>
    <col min="3610" max="3615" width="8.9140625" style="276"/>
    <col min="3616" max="3616" width="8.75" style="276" customWidth="1"/>
    <col min="3617" max="3617" width="3.33203125" style="276" customWidth="1"/>
    <col min="3618" max="3618" width="9.6640625" style="276" customWidth="1"/>
    <col min="3619" max="3840" width="8.9140625" style="276"/>
    <col min="3841" max="3841" width="4.58203125" style="276" customWidth="1"/>
    <col min="3842" max="3842" width="15.9140625" style="276" customWidth="1"/>
    <col min="3843" max="3843" width="8.33203125" style="276" customWidth="1"/>
    <col min="3844" max="3844" width="16.75" style="276" customWidth="1"/>
    <col min="3845" max="3845" width="6.58203125" style="276" bestFit="1" customWidth="1"/>
    <col min="3846" max="3846" width="8.58203125" style="276" bestFit="1" customWidth="1"/>
    <col min="3847" max="3847" width="6.75" style="276" bestFit="1" customWidth="1"/>
    <col min="3848" max="3848" width="6.08203125" style="276" bestFit="1" customWidth="1"/>
    <col min="3849" max="3849" width="9" style="276" bestFit="1" customWidth="1"/>
    <col min="3850" max="3850" width="1.25" style="276" customWidth="1"/>
    <col min="3851" max="3851" width="10" style="276" bestFit="1" customWidth="1"/>
    <col min="3852" max="3852" width="3.4140625" style="276" bestFit="1" customWidth="1"/>
    <col min="3853" max="3853" width="10.08203125" style="276" bestFit="1" customWidth="1"/>
    <col min="3854" max="3854" width="12.6640625" style="276" customWidth="1"/>
    <col min="3855" max="3855" width="1.25" style="276" customWidth="1"/>
    <col min="3856" max="3856" width="9.58203125" style="276" customWidth="1"/>
    <col min="3857" max="3857" width="1.25" style="276" customWidth="1"/>
    <col min="3858" max="3858" width="6" style="276" customWidth="1"/>
    <col min="3859" max="3859" width="5.9140625" style="276" bestFit="1" customWidth="1"/>
    <col min="3860" max="3860" width="0.33203125" style="276" customWidth="1"/>
    <col min="3861" max="3861" width="10.08203125" style="276" bestFit="1" customWidth="1"/>
    <col min="3862" max="3862" width="8.9140625" style="276"/>
    <col min="3863" max="3863" width="9" style="276" bestFit="1" customWidth="1"/>
    <col min="3864" max="3864" width="7" style="276" bestFit="1" customWidth="1"/>
    <col min="3865" max="3865" width="6.6640625" style="276" bestFit="1" customWidth="1"/>
    <col min="3866" max="3871" width="8.9140625" style="276"/>
    <col min="3872" max="3872" width="8.75" style="276" customWidth="1"/>
    <col min="3873" max="3873" width="3.33203125" style="276" customWidth="1"/>
    <col min="3874" max="3874" width="9.6640625" style="276" customWidth="1"/>
    <col min="3875" max="4096" width="8.9140625" style="276"/>
    <col min="4097" max="4097" width="4.58203125" style="276" customWidth="1"/>
    <col min="4098" max="4098" width="15.9140625" style="276" customWidth="1"/>
    <col min="4099" max="4099" width="8.33203125" style="276" customWidth="1"/>
    <col min="4100" max="4100" width="16.75" style="276" customWidth="1"/>
    <col min="4101" max="4101" width="6.58203125" style="276" bestFit="1" customWidth="1"/>
    <col min="4102" max="4102" width="8.58203125" style="276" bestFit="1" customWidth="1"/>
    <col min="4103" max="4103" width="6.75" style="276" bestFit="1" customWidth="1"/>
    <col min="4104" max="4104" width="6.08203125" style="276" bestFit="1" customWidth="1"/>
    <col min="4105" max="4105" width="9" style="276" bestFit="1" customWidth="1"/>
    <col min="4106" max="4106" width="1.25" style="276" customWidth="1"/>
    <col min="4107" max="4107" width="10" style="276" bestFit="1" customWidth="1"/>
    <col min="4108" max="4108" width="3.4140625" style="276" bestFit="1" customWidth="1"/>
    <col min="4109" max="4109" width="10.08203125" style="276" bestFit="1" customWidth="1"/>
    <col min="4110" max="4110" width="12.6640625" style="276" customWidth="1"/>
    <col min="4111" max="4111" width="1.25" style="276" customWidth="1"/>
    <col min="4112" max="4112" width="9.58203125" style="276" customWidth="1"/>
    <col min="4113" max="4113" width="1.25" style="276" customWidth="1"/>
    <col min="4114" max="4114" width="6" style="276" customWidth="1"/>
    <col min="4115" max="4115" width="5.9140625" style="276" bestFit="1" customWidth="1"/>
    <col min="4116" max="4116" width="0.33203125" style="276" customWidth="1"/>
    <col min="4117" max="4117" width="10.08203125" style="276" bestFit="1" customWidth="1"/>
    <col min="4118" max="4118" width="8.9140625" style="276"/>
    <col min="4119" max="4119" width="9" style="276" bestFit="1" customWidth="1"/>
    <col min="4120" max="4120" width="7" style="276" bestFit="1" customWidth="1"/>
    <col min="4121" max="4121" width="6.6640625" style="276" bestFit="1" customWidth="1"/>
    <col min="4122" max="4127" width="8.9140625" style="276"/>
    <col min="4128" max="4128" width="8.75" style="276" customWidth="1"/>
    <col min="4129" max="4129" width="3.33203125" style="276" customWidth="1"/>
    <col min="4130" max="4130" width="9.6640625" style="276" customWidth="1"/>
    <col min="4131" max="4352" width="8.9140625" style="276"/>
    <col min="4353" max="4353" width="4.58203125" style="276" customWidth="1"/>
    <col min="4354" max="4354" width="15.9140625" style="276" customWidth="1"/>
    <col min="4355" max="4355" width="8.33203125" style="276" customWidth="1"/>
    <col min="4356" max="4356" width="16.75" style="276" customWidth="1"/>
    <col min="4357" max="4357" width="6.58203125" style="276" bestFit="1" customWidth="1"/>
    <col min="4358" max="4358" width="8.58203125" style="276" bestFit="1" customWidth="1"/>
    <col min="4359" max="4359" width="6.75" style="276" bestFit="1" customWidth="1"/>
    <col min="4360" max="4360" width="6.08203125" style="276" bestFit="1" customWidth="1"/>
    <col min="4361" max="4361" width="9" style="276" bestFit="1" customWidth="1"/>
    <col min="4362" max="4362" width="1.25" style="276" customWidth="1"/>
    <col min="4363" max="4363" width="10" style="276" bestFit="1" customWidth="1"/>
    <col min="4364" max="4364" width="3.4140625" style="276" bestFit="1" customWidth="1"/>
    <col min="4365" max="4365" width="10.08203125" style="276" bestFit="1" customWidth="1"/>
    <col min="4366" max="4366" width="12.6640625" style="276" customWidth="1"/>
    <col min="4367" max="4367" width="1.25" style="276" customWidth="1"/>
    <col min="4368" max="4368" width="9.58203125" style="276" customWidth="1"/>
    <col min="4369" max="4369" width="1.25" style="276" customWidth="1"/>
    <col min="4370" max="4370" width="6" style="276" customWidth="1"/>
    <col min="4371" max="4371" width="5.9140625" style="276" bestFit="1" customWidth="1"/>
    <col min="4372" max="4372" width="0.33203125" style="276" customWidth="1"/>
    <col min="4373" max="4373" width="10.08203125" style="276" bestFit="1" customWidth="1"/>
    <col min="4374" max="4374" width="8.9140625" style="276"/>
    <col min="4375" max="4375" width="9" style="276" bestFit="1" customWidth="1"/>
    <col min="4376" max="4376" width="7" style="276" bestFit="1" customWidth="1"/>
    <col min="4377" max="4377" width="6.6640625" style="276" bestFit="1" customWidth="1"/>
    <col min="4378" max="4383" width="8.9140625" style="276"/>
    <col min="4384" max="4384" width="8.75" style="276" customWidth="1"/>
    <col min="4385" max="4385" width="3.33203125" style="276" customWidth="1"/>
    <col min="4386" max="4386" width="9.6640625" style="276" customWidth="1"/>
    <col min="4387" max="4608" width="8.9140625" style="276"/>
    <col min="4609" max="4609" width="4.58203125" style="276" customWidth="1"/>
    <col min="4610" max="4610" width="15.9140625" style="276" customWidth="1"/>
    <col min="4611" max="4611" width="8.33203125" style="276" customWidth="1"/>
    <col min="4612" max="4612" width="16.75" style="276" customWidth="1"/>
    <col min="4613" max="4613" width="6.58203125" style="276" bestFit="1" customWidth="1"/>
    <col min="4614" max="4614" width="8.58203125" style="276" bestFit="1" customWidth="1"/>
    <col min="4615" max="4615" width="6.75" style="276" bestFit="1" customWidth="1"/>
    <col min="4616" max="4616" width="6.08203125" style="276" bestFit="1" customWidth="1"/>
    <col min="4617" max="4617" width="9" style="276" bestFit="1" customWidth="1"/>
    <col min="4618" max="4618" width="1.25" style="276" customWidth="1"/>
    <col min="4619" max="4619" width="10" style="276" bestFit="1" customWidth="1"/>
    <col min="4620" max="4620" width="3.4140625" style="276" bestFit="1" customWidth="1"/>
    <col min="4621" max="4621" width="10.08203125" style="276" bestFit="1" customWidth="1"/>
    <col min="4622" max="4622" width="12.6640625" style="276" customWidth="1"/>
    <col min="4623" max="4623" width="1.25" style="276" customWidth="1"/>
    <col min="4624" max="4624" width="9.58203125" style="276" customWidth="1"/>
    <col min="4625" max="4625" width="1.25" style="276" customWidth="1"/>
    <col min="4626" max="4626" width="6" style="276" customWidth="1"/>
    <col min="4627" max="4627" width="5.9140625" style="276" bestFit="1" customWidth="1"/>
    <col min="4628" max="4628" width="0.33203125" style="276" customWidth="1"/>
    <col min="4629" max="4629" width="10.08203125" style="276" bestFit="1" customWidth="1"/>
    <col min="4630" max="4630" width="8.9140625" style="276"/>
    <col min="4631" max="4631" width="9" style="276" bestFit="1" customWidth="1"/>
    <col min="4632" max="4632" width="7" style="276" bestFit="1" customWidth="1"/>
    <col min="4633" max="4633" width="6.6640625" style="276" bestFit="1" customWidth="1"/>
    <col min="4634" max="4639" width="8.9140625" style="276"/>
    <col min="4640" max="4640" width="8.75" style="276" customWidth="1"/>
    <col min="4641" max="4641" width="3.33203125" style="276" customWidth="1"/>
    <col min="4642" max="4642" width="9.6640625" style="276" customWidth="1"/>
    <col min="4643" max="4864" width="8.9140625" style="276"/>
    <col min="4865" max="4865" width="4.58203125" style="276" customWidth="1"/>
    <col min="4866" max="4866" width="15.9140625" style="276" customWidth="1"/>
    <col min="4867" max="4867" width="8.33203125" style="276" customWidth="1"/>
    <col min="4868" max="4868" width="16.75" style="276" customWidth="1"/>
    <col min="4869" max="4869" width="6.58203125" style="276" bestFit="1" customWidth="1"/>
    <col min="4870" max="4870" width="8.58203125" style="276" bestFit="1" customWidth="1"/>
    <col min="4871" max="4871" width="6.75" style="276" bestFit="1" customWidth="1"/>
    <col min="4872" max="4872" width="6.08203125" style="276" bestFit="1" customWidth="1"/>
    <col min="4873" max="4873" width="9" style="276" bestFit="1" customWidth="1"/>
    <col min="4874" max="4874" width="1.25" style="276" customWidth="1"/>
    <col min="4875" max="4875" width="10" style="276" bestFit="1" customWidth="1"/>
    <col min="4876" max="4876" width="3.4140625" style="276" bestFit="1" customWidth="1"/>
    <col min="4877" max="4877" width="10.08203125" style="276" bestFit="1" customWidth="1"/>
    <col min="4878" max="4878" width="12.6640625" style="276" customWidth="1"/>
    <col min="4879" max="4879" width="1.25" style="276" customWidth="1"/>
    <col min="4880" max="4880" width="9.58203125" style="276" customWidth="1"/>
    <col min="4881" max="4881" width="1.25" style="276" customWidth="1"/>
    <col min="4882" max="4882" width="6" style="276" customWidth="1"/>
    <col min="4883" max="4883" width="5.9140625" style="276" bestFit="1" customWidth="1"/>
    <col min="4884" max="4884" width="0.33203125" style="276" customWidth="1"/>
    <col min="4885" max="4885" width="10.08203125" style="276" bestFit="1" customWidth="1"/>
    <col min="4886" max="4886" width="8.9140625" style="276"/>
    <col min="4887" max="4887" width="9" style="276" bestFit="1" customWidth="1"/>
    <col min="4888" max="4888" width="7" style="276" bestFit="1" customWidth="1"/>
    <col min="4889" max="4889" width="6.6640625" style="276" bestFit="1" customWidth="1"/>
    <col min="4890" max="4895" width="8.9140625" style="276"/>
    <col min="4896" max="4896" width="8.75" style="276" customWidth="1"/>
    <col min="4897" max="4897" width="3.33203125" style="276" customWidth="1"/>
    <col min="4898" max="4898" width="9.6640625" style="276" customWidth="1"/>
    <col min="4899" max="5120" width="8.9140625" style="276"/>
    <col min="5121" max="5121" width="4.58203125" style="276" customWidth="1"/>
    <col min="5122" max="5122" width="15.9140625" style="276" customWidth="1"/>
    <col min="5123" max="5123" width="8.33203125" style="276" customWidth="1"/>
    <col min="5124" max="5124" width="16.75" style="276" customWidth="1"/>
    <col min="5125" max="5125" width="6.58203125" style="276" bestFit="1" customWidth="1"/>
    <col min="5126" max="5126" width="8.58203125" style="276" bestFit="1" customWidth="1"/>
    <col min="5127" max="5127" width="6.75" style="276" bestFit="1" customWidth="1"/>
    <col min="5128" max="5128" width="6.08203125" style="276" bestFit="1" customWidth="1"/>
    <col min="5129" max="5129" width="9" style="276" bestFit="1" customWidth="1"/>
    <col min="5130" max="5130" width="1.25" style="276" customWidth="1"/>
    <col min="5131" max="5131" width="10" style="276" bestFit="1" customWidth="1"/>
    <col min="5132" max="5132" width="3.4140625" style="276" bestFit="1" customWidth="1"/>
    <col min="5133" max="5133" width="10.08203125" style="276" bestFit="1" customWidth="1"/>
    <col min="5134" max="5134" width="12.6640625" style="276" customWidth="1"/>
    <col min="5135" max="5135" width="1.25" style="276" customWidth="1"/>
    <col min="5136" max="5136" width="9.58203125" style="276" customWidth="1"/>
    <col min="5137" max="5137" width="1.25" style="276" customWidth="1"/>
    <col min="5138" max="5138" width="6" style="276" customWidth="1"/>
    <col min="5139" max="5139" width="5.9140625" style="276" bestFit="1" customWidth="1"/>
    <col min="5140" max="5140" width="0.33203125" style="276" customWidth="1"/>
    <col min="5141" max="5141" width="10.08203125" style="276" bestFit="1" customWidth="1"/>
    <col min="5142" max="5142" width="8.9140625" style="276"/>
    <col min="5143" max="5143" width="9" style="276" bestFit="1" customWidth="1"/>
    <col min="5144" max="5144" width="7" style="276" bestFit="1" customWidth="1"/>
    <col min="5145" max="5145" width="6.6640625" style="276" bestFit="1" customWidth="1"/>
    <col min="5146" max="5151" width="8.9140625" style="276"/>
    <col min="5152" max="5152" width="8.75" style="276" customWidth="1"/>
    <col min="5153" max="5153" width="3.33203125" style="276" customWidth="1"/>
    <col min="5154" max="5154" width="9.6640625" style="276" customWidth="1"/>
    <col min="5155" max="5376" width="8.9140625" style="276"/>
    <col min="5377" max="5377" width="4.58203125" style="276" customWidth="1"/>
    <col min="5378" max="5378" width="15.9140625" style="276" customWidth="1"/>
    <col min="5379" max="5379" width="8.33203125" style="276" customWidth="1"/>
    <col min="5380" max="5380" width="16.75" style="276" customWidth="1"/>
    <col min="5381" max="5381" width="6.58203125" style="276" bestFit="1" customWidth="1"/>
    <col min="5382" max="5382" width="8.58203125" style="276" bestFit="1" customWidth="1"/>
    <col min="5383" max="5383" width="6.75" style="276" bestFit="1" customWidth="1"/>
    <col min="5384" max="5384" width="6.08203125" style="276" bestFit="1" customWidth="1"/>
    <col min="5385" max="5385" width="9" style="276" bestFit="1" customWidth="1"/>
    <col min="5386" max="5386" width="1.25" style="276" customWidth="1"/>
    <col min="5387" max="5387" width="10" style="276" bestFit="1" customWidth="1"/>
    <col min="5388" max="5388" width="3.4140625" style="276" bestFit="1" customWidth="1"/>
    <col min="5389" max="5389" width="10.08203125" style="276" bestFit="1" customWidth="1"/>
    <col min="5390" max="5390" width="12.6640625" style="276" customWidth="1"/>
    <col min="5391" max="5391" width="1.25" style="276" customWidth="1"/>
    <col min="5392" max="5392" width="9.58203125" style="276" customWidth="1"/>
    <col min="5393" max="5393" width="1.25" style="276" customWidth="1"/>
    <col min="5394" max="5394" width="6" style="276" customWidth="1"/>
    <col min="5395" max="5395" width="5.9140625" style="276" bestFit="1" customWidth="1"/>
    <col min="5396" max="5396" width="0.33203125" style="276" customWidth="1"/>
    <col min="5397" max="5397" width="10.08203125" style="276" bestFit="1" customWidth="1"/>
    <col min="5398" max="5398" width="8.9140625" style="276"/>
    <col min="5399" max="5399" width="9" style="276" bestFit="1" customWidth="1"/>
    <col min="5400" max="5400" width="7" style="276" bestFit="1" customWidth="1"/>
    <col min="5401" max="5401" width="6.6640625" style="276" bestFit="1" customWidth="1"/>
    <col min="5402" max="5407" width="8.9140625" style="276"/>
    <col min="5408" max="5408" width="8.75" style="276" customWidth="1"/>
    <col min="5409" max="5409" width="3.33203125" style="276" customWidth="1"/>
    <col min="5410" max="5410" width="9.6640625" style="276" customWidth="1"/>
    <col min="5411" max="5632" width="8.9140625" style="276"/>
    <col min="5633" max="5633" width="4.58203125" style="276" customWidth="1"/>
    <col min="5634" max="5634" width="15.9140625" style="276" customWidth="1"/>
    <col min="5635" max="5635" width="8.33203125" style="276" customWidth="1"/>
    <col min="5636" max="5636" width="16.75" style="276" customWidth="1"/>
    <col min="5637" max="5637" width="6.58203125" style="276" bestFit="1" customWidth="1"/>
    <col min="5638" max="5638" width="8.58203125" style="276" bestFit="1" customWidth="1"/>
    <col min="5639" max="5639" width="6.75" style="276" bestFit="1" customWidth="1"/>
    <col min="5640" max="5640" width="6.08203125" style="276" bestFit="1" customWidth="1"/>
    <col min="5641" max="5641" width="9" style="276" bestFit="1" customWidth="1"/>
    <col min="5642" max="5642" width="1.25" style="276" customWidth="1"/>
    <col min="5643" max="5643" width="10" style="276" bestFit="1" customWidth="1"/>
    <col min="5644" max="5644" width="3.4140625" style="276" bestFit="1" customWidth="1"/>
    <col min="5645" max="5645" width="10.08203125" style="276" bestFit="1" customWidth="1"/>
    <col min="5646" max="5646" width="12.6640625" style="276" customWidth="1"/>
    <col min="5647" max="5647" width="1.25" style="276" customWidth="1"/>
    <col min="5648" max="5648" width="9.58203125" style="276" customWidth="1"/>
    <col min="5649" max="5649" width="1.25" style="276" customWidth="1"/>
    <col min="5650" max="5650" width="6" style="276" customWidth="1"/>
    <col min="5651" max="5651" width="5.9140625" style="276" bestFit="1" customWidth="1"/>
    <col min="5652" max="5652" width="0.33203125" style="276" customWidth="1"/>
    <col min="5653" max="5653" width="10.08203125" style="276" bestFit="1" customWidth="1"/>
    <col min="5654" max="5654" width="8.9140625" style="276"/>
    <col min="5655" max="5655" width="9" style="276" bestFit="1" customWidth="1"/>
    <col min="5656" max="5656" width="7" style="276" bestFit="1" customWidth="1"/>
    <col min="5657" max="5657" width="6.6640625" style="276" bestFit="1" customWidth="1"/>
    <col min="5658" max="5663" width="8.9140625" style="276"/>
    <col min="5664" max="5664" width="8.75" style="276" customWidth="1"/>
    <col min="5665" max="5665" width="3.33203125" style="276" customWidth="1"/>
    <col min="5666" max="5666" width="9.6640625" style="276" customWidth="1"/>
    <col min="5667" max="5888" width="8.9140625" style="276"/>
    <col min="5889" max="5889" width="4.58203125" style="276" customWidth="1"/>
    <col min="5890" max="5890" width="15.9140625" style="276" customWidth="1"/>
    <col min="5891" max="5891" width="8.33203125" style="276" customWidth="1"/>
    <col min="5892" max="5892" width="16.75" style="276" customWidth="1"/>
    <col min="5893" max="5893" width="6.58203125" style="276" bestFit="1" customWidth="1"/>
    <col min="5894" max="5894" width="8.58203125" style="276" bestFit="1" customWidth="1"/>
    <col min="5895" max="5895" width="6.75" style="276" bestFit="1" customWidth="1"/>
    <col min="5896" max="5896" width="6.08203125" style="276" bestFit="1" customWidth="1"/>
    <col min="5897" max="5897" width="9" style="276" bestFit="1" customWidth="1"/>
    <col min="5898" max="5898" width="1.25" style="276" customWidth="1"/>
    <col min="5899" max="5899" width="10" style="276" bestFit="1" customWidth="1"/>
    <col min="5900" max="5900" width="3.4140625" style="276" bestFit="1" customWidth="1"/>
    <col min="5901" max="5901" width="10.08203125" style="276" bestFit="1" customWidth="1"/>
    <col min="5902" max="5902" width="12.6640625" style="276" customWidth="1"/>
    <col min="5903" max="5903" width="1.25" style="276" customWidth="1"/>
    <col min="5904" max="5904" width="9.58203125" style="276" customWidth="1"/>
    <col min="5905" max="5905" width="1.25" style="276" customWidth="1"/>
    <col min="5906" max="5906" width="6" style="276" customWidth="1"/>
    <col min="5907" max="5907" width="5.9140625" style="276" bestFit="1" customWidth="1"/>
    <col min="5908" max="5908" width="0.33203125" style="276" customWidth="1"/>
    <col min="5909" max="5909" width="10.08203125" style="276" bestFit="1" customWidth="1"/>
    <col min="5910" max="5910" width="8.9140625" style="276"/>
    <col min="5911" max="5911" width="9" style="276" bestFit="1" customWidth="1"/>
    <col min="5912" max="5912" width="7" style="276" bestFit="1" customWidth="1"/>
    <col min="5913" max="5913" width="6.6640625" style="276" bestFit="1" customWidth="1"/>
    <col min="5914" max="5919" width="8.9140625" style="276"/>
    <col min="5920" max="5920" width="8.75" style="276" customWidth="1"/>
    <col min="5921" max="5921" width="3.33203125" style="276" customWidth="1"/>
    <col min="5922" max="5922" width="9.6640625" style="276" customWidth="1"/>
    <col min="5923" max="6144" width="8.9140625" style="276"/>
    <col min="6145" max="6145" width="4.58203125" style="276" customWidth="1"/>
    <col min="6146" max="6146" width="15.9140625" style="276" customWidth="1"/>
    <col min="6147" max="6147" width="8.33203125" style="276" customWidth="1"/>
    <col min="6148" max="6148" width="16.75" style="276" customWidth="1"/>
    <col min="6149" max="6149" width="6.58203125" style="276" bestFit="1" customWidth="1"/>
    <col min="6150" max="6150" width="8.58203125" style="276" bestFit="1" customWidth="1"/>
    <col min="6151" max="6151" width="6.75" style="276" bestFit="1" customWidth="1"/>
    <col min="6152" max="6152" width="6.08203125" style="276" bestFit="1" customWidth="1"/>
    <col min="6153" max="6153" width="9" style="276" bestFit="1" customWidth="1"/>
    <col min="6154" max="6154" width="1.25" style="276" customWidth="1"/>
    <col min="6155" max="6155" width="10" style="276" bestFit="1" customWidth="1"/>
    <col min="6156" max="6156" width="3.4140625" style="276" bestFit="1" customWidth="1"/>
    <col min="6157" max="6157" width="10.08203125" style="276" bestFit="1" customWidth="1"/>
    <col min="6158" max="6158" width="12.6640625" style="276" customWidth="1"/>
    <col min="6159" max="6159" width="1.25" style="276" customWidth="1"/>
    <col min="6160" max="6160" width="9.58203125" style="276" customWidth="1"/>
    <col min="6161" max="6161" width="1.25" style="276" customWidth="1"/>
    <col min="6162" max="6162" width="6" style="276" customWidth="1"/>
    <col min="6163" max="6163" width="5.9140625" style="276" bestFit="1" customWidth="1"/>
    <col min="6164" max="6164" width="0.33203125" style="276" customWidth="1"/>
    <col min="6165" max="6165" width="10.08203125" style="276" bestFit="1" customWidth="1"/>
    <col min="6166" max="6166" width="8.9140625" style="276"/>
    <col min="6167" max="6167" width="9" style="276" bestFit="1" customWidth="1"/>
    <col min="6168" max="6168" width="7" style="276" bestFit="1" customWidth="1"/>
    <col min="6169" max="6169" width="6.6640625" style="276" bestFit="1" customWidth="1"/>
    <col min="6170" max="6175" width="8.9140625" style="276"/>
    <col min="6176" max="6176" width="8.75" style="276" customWidth="1"/>
    <col min="6177" max="6177" width="3.33203125" style="276" customWidth="1"/>
    <col min="6178" max="6178" width="9.6640625" style="276" customWidth="1"/>
    <col min="6179" max="6400" width="8.9140625" style="276"/>
    <col min="6401" max="6401" width="4.58203125" style="276" customWidth="1"/>
    <col min="6402" max="6402" width="15.9140625" style="276" customWidth="1"/>
    <col min="6403" max="6403" width="8.33203125" style="276" customWidth="1"/>
    <col min="6404" max="6404" width="16.75" style="276" customWidth="1"/>
    <col min="6405" max="6405" width="6.58203125" style="276" bestFit="1" customWidth="1"/>
    <col min="6406" max="6406" width="8.58203125" style="276" bestFit="1" customWidth="1"/>
    <col min="6407" max="6407" width="6.75" style="276" bestFit="1" customWidth="1"/>
    <col min="6408" max="6408" width="6.08203125" style="276" bestFit="1" customWidth="1"/>
    <col min="6409" max="6409" width="9" style="276" bestFit="1" customWidth="1"/>
    <col min="6410" max="6410" width="1.25" style="276" customWidth="1"/>
    <col min="6411" max="6411" width="10" style="276" bestFit="1" customWidth="1"/>
    <col min="6412" max="6412" width="3.4140625" style="276" bestFit="1" customWidth="1"/>
    <col min="6413" max="6413" width="10.08203125" style="276" bestFit="1" customWidth="1"/>
    <col min="6414" max="6414" width="12.6640625" style="276" customWidth="1"/>
    <col min="6415" max="6415" width="1.25" style="276" customWidth="1"/>
    <col min="6416" max="6416" width="9.58203125" style="276" customWidth="1"/>
    <col min="6417" max="6417" width="1.25" style="276" customWidth="1"/>
    <col min="6418" max="6418" width="6" style="276" customWidth="1"/>
    <col min="6419" max="6419" width="5.9140625" style="276" bestFit="1" customWidth="1"/>
    <col min="6420" max="6420" width="0.33203125" style="276" customWidth="1"/>
    <col min="6421" max="6421" width="10.08203125" style="276" bestFit="1" customWidth="1"/>
    <col min="6422" max="6422" width="8.9140625" style="276"/>
    <col min="6423" max="6423" width="9" style="276" bestFit="1" customWidth="1"/>
    <col min="6424" max="6424" width="7" style="276" bestFit="1" customWidth="1"/>
    <col min="6425" max="6425" width="6.6640625" style="276" bestFit="1" customWidth="1"/>
    <col min="6426" max="6431" width="8.9140625" style="276"/>
    <col min="6432" max="6432" width="8.75" style="276" customWidth="1"/>
    <col min="6433" max="6433" width="3.33203125" style="276" customWidth="1"/>
    <col min="6434" max="6434" width="9.6640625" style="276" customWidth="1"/>
    <col min="6435" max="6656" width="8.9140625" style="276"/>
    <col min="6657" max="6657" width="4.58203125" style="276" customWidth="1"/>
    <col min="6658" max="6658" width="15.9140625" style="276" customWidth="1"/>
    <col min="6659" max="6659" width="8.33203125" style="276" customWidth="1"/>
    <col min="6660" max="6660" width="16.75" style="276" customWidth="1"/>
    <col min="6661" max="6661" width="6.58203125" style="276" bestFit="1" customWidth="1"/>
    <col min="6662" max="6662" width="8.58203125" style="276" bestFit="1" customWidth="1"/>
    <col min="6663" max="6663" width="6.75" style="276" bestFit="1" customWidth="1"/>
    <col min="6664" max="6664" width="6.08203125" style="276" bestFit="1" customWidth="1"/>
    <col min="6665" max="6665" width="9" style="276" bestFit="1" customWidth="1"/>
    <col min="6666" max="6666" width="1.25" style="276" customWidth="1"/>
    <col min="6667" max="6667" width="10" style="276" bestFit="1" customWidth="1"/>
    <col min="6668" max="6668" width="3.4140625" style="276" bestFit="1" customWidth="1"/>
    <col min="6669" max="6669" width="10.08203125" style="276" bestFit="1" customWidth="1"/>
    <col min="6670" max="6670" width="12.6640625" style="276" customWidth="1"/>
    <col min="6671" max="6671" width="1.25" style="276" customWidth="1"/>
    <col min="6672" max="6672" width="9.58203125" style="276" customWidth="1"/>
    <col min="6673" max="6673" width="1.25" style="276" customWidth="1"/>
    <col min="6674" max="6674" width="6" style="276" customWidth="1"/>
    <col min="6675" max="6675" width="5.9140625" style="276" bestFit="1" customWidth="1"/>
    <col min="6676" max="6676" width="0.33203125" style="276" customWidth="1"/>
    <col min="6677" max="6677" width="10.08203125" style="276" bestFit="1" customWidth="1"/>
    <col min="6678" max="6678" width="8.9140625" style="276"/>
    <col min="6679" max="6679" width="9" style="276" bestFit="1" customWidth="1"/>
    <col min="6680" max="6680" width="7" style="276" bestFit="1" customWidth="1"/>
    <col min="6681" max="6681" width="6.6640625" style="276" bestFit="1" customWidth="1"/>
    <col min="6682" max="6687" width="8.9140625" style="276"/>
    <col min="6688" max="6688" width="8.75" style="276" customWidth="1"/>
    <col min="6689" max="6689" width="3.33203125" style="276" customWidth="1"/>
    <col min="6690" max="6690" width="9.6640625" style="276" customWidth="1"/>
    <col min="6691" max="6912" width="8.9140625" style="276"/>
    <col min="6913" max="6913" width="4.58203125" style="276" customWidth="1"/>
    <col min="6914" max="6914" width="15.9140625" style="276" customWidth="1"/>
    <col min="6915" max="6915" width="8.33203125" style="276" customWidth="1"/>
    <col min="6916" max="6916" width="16.75" style="276" customWidth="1"/>
    <col min="6917" max="6917" width="6.58203125" style="276" bestFit="1" customWidth="1"/>
    <col min="6918" max="6918" width="8.58203125" style="276" bestFit="1" customWidth="1"/>
    <col min="6919" max="6919" width="6.75" style="276" bestFit="1" customWidth="1"/>
    <col min="6920" max="6920" width="6.08203125" style="276" bestFit="1" customWidth="1"/>
    <col min="6921" max="6921" width="9" style="276" bestFit="1" customWidth="1"/>
    <col min="6922" max="6922" width="1.25" style="276" customWidth="1"/>
    <col min="6923" max="6923" width="10" style="276" bestFit="1" customWidth="1"/>
    <col min="6924" max="6924" width="3.4140625" style="276" bestFit="1" customWidth="1"/>
    <col min="6925" max="6925" width="10.08203125" style="276" bestFit="1" customWidth="1"/>
    <col min="6926" max="6926" width="12.6640625" style="276" customWidth="1"/>
    <col min="6927" max="6927" width="1.25" style="276" customWidth="1"/>
    <col min="6928" max="6928" width="9.58203125" style="276" customWidth="1"/>
    <col min="6929" max="6929" width="1.25" style="276" customWidth="1"/>
    <col min="6930" max="6930" width="6" style="276" customWidth="1"/>
    <col min="6931" max="6931" width="5.9140625" style="276" bestFit="1" customWidth="1"/>
    <col min="6932" max="6932" width="0.33203125" style="276" customWidth="1"/>
    <col min="6933" max="6933" width="10.08203125" style="276" bestFit="1" customWidth="1"/>
    <col min="6934" max="6934" width="8.9140625" style="276"/>
    <col min="6935" max="6935" width="9" style="276" bestFit="1" customWidth="1"/>
    <col min="6936" max="6936" width="7" style="276" bestFit="1" customWidth="1"/>
    <col min="6937" max="6937" width="6.6640625" style="276" bestFit="1" customWidth="1"/>
    <col min="6938" max="6943" width="8.9140625" style="276"/>
    <col min="6944" max="6944" width="8.75" style="276" customWidth="1"/>
    <col min="6945" max="6945" width="3.33203125" style="276" customWidth="1"/>
    <col min="6946" max="6946" width="9.6640625" style="276" customWidth="1"/>
    <col min="6947" max="7168" width="8.9140625" style="276"/>
    <col min="7169" max="7169" width="4.58203125" style="276" customWidth="1"/>
    <col min="7170" max="7170" width="15.9140625" style="276" customWidth="1"/>
    <col min="7171" max="7171" width="8.33203125" style="276" customWidth="1"/>
    <col min="7172" max="7172" width="16.75" style="276" customWidth="1"/>
    <col min="7173" max="7173" width="6.58203125" style="276" bestFit="1" customWidth="1"/>
    <col min="7174" max="7174" width="8.58203125" style="276" bestFit="1" customWidth="1"/>
    <col min="7175" max="7175" width="6.75" style="276" bestFit="1" customWidth="1"/>
    <col min="7176" max="7176" width="6.08203125" style="276" bestFit="1" customWidth="1"/>
    <col min="7177" max="7177" width="9" style="276" bestFit="1" customWidth="1"/>
    <col min="7178" max="7178" width="1.25" style="276" customWidth="1"/>
    <col min="7179" max="7179" width="10" style="276" bestFit="1" customWidth="1"/>
    <col min="7180" max="7180" width="3.4140625" style="276" bestFit="1" customWidth="1"/>
    <col min="7181" max="7181" width="10.08203125" style="276" bestFit="1" customWidth="1"/>
    <col min="7182" max="7182" width="12.6640625" style="276" customWidth="1"/>
    <col min="7183" max="7183" width="1.25" style="276" customWidth="1"/>
    <col min="7184" max="7184" width="9.58203125" style="276" customWidth="1"/>
    <col min="7185" max="7185" width="1.25" style="276" customWidth="1"/>
    <col min="7186" max="7186" width="6" style="276" customWidth="1"/>
    <col min="7187" max="7187" width="5.9140625" style="276" bestFit="1" customWidth="1"/>
    <col min="7188" max="7188" width="0.33203125" style="276" customWidth="1"/>
    <col min="7189" max="7189" width="10.08203125" style="276" bestFit="1" customWidth="1"/>
    <col min="7190" max="7190" width="8.9140625" style="276"/>
    <col min="7191" max="7191" width="9" style="276" bestFit="1" customWidth="1"/>
    <col min="7192" max="7192" width="7" style="276" bestFit="1" customWidth="1"/>
    <col min="7193" max="7193" width="6.6640625" style="276" bestFit="1" customWidth="1"/>
    <col min="7194" max="7199" width="8.9140625" style="276"/>
    <col min="7200" max="7200" width="8.75" style="276" customWidth="1"/>
    <col min="7201" max="7201" width="3.33203125" style="276" customWidth="1"/>
    <col min="7202" max="7202" width="9.6640625" style="276" customWidth="1"/>
    <col min="7203" max="7424" width="8.9140625" style="276"/>
    <col min="7425" max="7425" width="4.58203125" style="276" customWidth="1"/>
    <col min="7426" max="7426" width="15.9140625" style="276" customWidth="1"/>
    <col min="7427" max="7427" width="8.33203125" style="276" customWidth="1"/>
    <col min="7428" max="7428" width="16.75" style="276" customWidth="1"/>
    <col min="7429" max="7429" width="6.58203125" style="276" bestFit="1" customWidth="1"/>
    <col min="7430" max="7430" width="8.58203125" style="276" bestFit="1" customWidth="1"/>
    <col min="7431" max="7431" width="6.75" style="276" bestFit="1" customWidth="1"/>
    <col min="7432" max="7432" width="6.08203125" style="276" bestFit="1" customWidth="1"/>
    <col min="7433" max="7433" width="9" style="276" bestFit="1" customWidth="1"/>
    <col min="7434" max="7434" width="1.25" style="276" customWidth="1"/>
    <col min="7435" max="7435" width="10" style="276" bestFit="1" customWidth="1"/>
    <col min="7436" max="7436" width="3.4140625" style="276" bestFit="1" customWidth="1"/>
    <col min="7437" max="7437" width="10.08203125" style="276" bestFit="1" customWidth="1"/>
    <col min="7438" max="7438" width="12.6640625" style="276" customWidth="1"/>
    <col min="7439" max="7439" width="1.25" style="276" customWidth="1"/>
    <col min="7440" max="7440" width="9.58203125" style="276" customWidth="1"/>
    <col min="7441" max="7441" width="1.25" style="276" customWidth="1"/>
    <col min="7442" max="7442" width="6" style="276" customWidth="1"/>
    <col min="7443" max="7443" width="5.9140625" style="276" bestFit="1" customWidth="1"/>
    <col min="7444" max="7444" width="0.33203125" style="276" customWidth="1"/>
    <col min="7445" max="7445" width="10.08203125" style="276" bestFit="1" customWidth="1"/>
    <col min="7446" max="7446" width="8.9140625" style="276"/>
    <col min="7447" max="7447" width="9" style="276" bestFit="1" customWidth="1"/>
    <col min="7448" max="7448" width="7" style="276" bestFit="1" customWidth="1"/>
    <col min="7449" max="7449" width="6.6640625" style="276" bestFit="1" customWidth="1"/>
    <col min="7450" max="7455" width="8.9140625" style="276"/>
    <col min="7456" max="7456" width="8.75" style="276" customWidth="1"/>
    <col min="7457" max="7457" width="3.33203125" style="276" customWidth="1"/>
    <col min="7458" max="7458" width="9.6640625" style="276" customWidth="1"/>
    <col min="7459" max="7680" width="8.9140625" style="276"/>
    <col min="7681" max="7681" width="4.58203125" style="276" customWidth="1"/>
    <col min="7682" max="7682" width="15.9140625" style="276" customWidth="1"/>
    <col min="7683" max="7683" width="8.33203125" style="276" customWidth="1"/>
    <col min="7684" max="7684" width="16.75" style="276" customWidth="1"/>
    <col min="7685" max="7685" width="6.58203125" style="276" bestFit="1" customWidth="1"/>
    <col min="7686" max="7686" width="8.58203125" style="276" bestFit="1" customWidth="1"/>
    <col min="7687" max="7687" width="6.75" style="276" bestFit="1" customWidth="1"/>
    <col min="7688" max="7688" width="6.08203125" style="276" bestFit="1" customWidth="1"/>
    <col min="7689" max="7689" width="9" style="276" bestFit="1" customWidth="1"/>
    <col min="7690" max="7690" width="1.25" style="276" customWidth="1"/>
    <col min="7691" max="7691" width="10" style="276" bestFit="1" customWidth="1"/>
    <col min="7692" max="7692" width="3.4140625" style="276" bestFit="1" customWidth="1"/>
    <col min="7693" max="7693" width="10.08203125" style="276" bestFit="1" customWidth="1"/>
    <col min="7694" max="7694" width="12.6640625" style="276" customWidth="1"/>
    <col min="7695" max="7695" width="1.25" style="276" customWidth="1"/>
    <col min="7696" max="7696" width="9.58203125" style="276" customWidth="1"/>
    <col min="7697" max="7697" width="1.25" style="276" customWidth="1"/>
    <col min="7698" max="7698" width="6" style="276" customWidth="1"/>
    <col min="7699" max="7699" width="5.9140625" style="276" bestFit="1" customWidth="1"/>
    <col min="7700" max="7700" width="0.33203125" style="276" customWidth="1"/>
    <col min="7701" max="7701" width="10.08203125" style="276" bestFit="1" customWidth="1"/>
    <col min="7702" max="7702" width="8.9140625" style="276"/>
    <col min="7703" max="7703" width="9" style="276" bestFit="1" customWidth="1"/>
    <col min="7704" max="7704" width="7" style="276" bestFit="1" customWidth="1"/>
    <col min="7705" max="7705" width="6.6640625" style="276" bestFit="1" customWidth="1"/>
    <col min="7706" max="7711" width="8.9140625" style="276"/>
    <col min="7712" max="7712" width="8.75" style="276" customWidth="1"/>
    <col min="7713" max="7713" width="3.33203125" style="276" customWidth="1"/>
    <col min="7714" max="7714" width="9.6640625" style="276" customWidth="1"/>
    <col min="7715" max="7936" width="8.9140625" style="276"/>
    <col min="7937" max="7937" width="4.58203125" style="276" customWidth="1"/>
    <col min="7938" max="7938" width="15.9140625" style="276" customWidth="1"/>
    <col min="7939" max="7939" width="8.33203125" style="276" customWidth="1"/>
    <col min="7940" max="7940" width="16.75" style="276" customWidth="1"/>
    <col min="7941" max="7941" width="6.58203125" style="276" bestFit="1" customWidth="1"/>
    <col min="7942" max="7942" width="8.58203125" style="276" bestFit="1" customWidth="1"/>
    <col min="7943" max="7943" width="6.75" style="276" bestFit="1" customWidth="1"/>
    <col min="7944" max="7944" width="6.08203125" style="276" bestFit="1" customWidth="1"/>
    <col min="7945" max="7945" width="9" style="276" bestFit="1" customWidth="1"/>
    <col min="7946" max="7946" width="1.25" style="276" customWidth="1"/>
    <col min="7947" max="7947" width="10" style="276" bestFit="1" customWidth="1"/>
    <col min="7948" max="7948" width="3.4140625" style="276" bestFit="1" customWidth="1"/>
    <col min="7949" max="7949" width="10.08203125" style="276" bestFit="1" customWidth="1"/>
    <col min="7950" max="7950" width="12.6640625" style="276" customWidth="1"/>
    <col min="7951" max="7951" width="1.25" style="276" customWidth="1"/>
    <col min="7952" max="7952" width="9.58203125" style="276" customWidth="1"/>
    <col min="7953" max="7953" width="1.25" style="276" customWidth="1"/>
    <col min="7954" max="7954" width="6" style="276" customWidth="1"/>
    <col min="7955" max="7955" width="5.9140625" style="276" bestFit="1" customWidth="1"/>
    <col min="7956" max="7956" width="0.33203125" style="276" customWidth="1"/>
    <col min="7957" max="7957" width="10.08203125" style="276" bestFit="1" customWidth="1"/>
    <col min="7958" max="7958" width="8.9140625" style="276"/>
    <col min="7959" max="7959" width="9" style="276" bestFit="1" customWidth="1"/>
    <col min="7960" max="7960" width="7" style="276" bestFit="1" customWidth="1"/>
    <col min="7961" max="7961" width="6.6640625" style="276" bestFit="1" customWidth="1"/>
    <col min="7962" max="7967" width="8.9140625" style="276"/>
    <col min="7968" max="7968" width="8.75" style="276" customWidth="1"/>
    <col min="7969" max="7969" width="3.33203125" style="276" customWidth="1"/>
    <col min="7970" max="7970" width="9.6640625" style="276" customWidth="1"/>
    <col min="7971" max="8192" width="8.9140625" style="276"/>
    <col min="8193" max="8193" width="4.58203125" style="276" customWidth="1"/>
    <col min="8194" max="8194" width="15.9140625" style="276" customWidth="1"/>
    <col min="8195" max="8195" width="8.33203125" style="276" customWidth="1"/>
    <col min="8196" max="8196" width="16.75" style="276" customWidth="1"/>
    <col min="8197" max="8197" width="6.58203125" style="276" bestFit="1" customWidth="1"/>
    <col min="8198" max="8198" width="8.58203125" style="276" bestFit="1" customWidth="1"/>
    <col min="8199" max="8199" width="6.75" style="276" bestFit="1" customWidth="1"/>
    <col min="8200" max="8200" width="6.08203125" style="276" bestFit="1" customWidth="1"/>
    <col min="8201" max="8201" width="9" style="276" bestFit="1" customWidth="1"/>
    <col min="8202" max="8202" width="1.25" style="276" customWidth="1"/>
    <col min="8203" max="8203" width="10" style="276" bestFit="1" customWidth="1"/>
    <col min="8204" max="8204" width="3.4140625" style="276" bestFit="1" customWidth="1"/>
    <col min="8205" max="8205" width="10.08203125" style="276" bestFit="1" customWidth="1"/>
    <col min="8206" max="8206" width="12.6640625" style="276" customWidth="1"/>
    <col min="8207" max="8207" width="1.25" style="276" customWidth="1"/>
    <col min="8208" max="8208" width="9.58203125" style="276" customWidth="1"/>
    <col min="8209" max="8209" width="1.25" style="276" customWidth="1"/>
    <col min="8210" max="8210" width="6" style="276" customWidth="1"/>
    <col min="8211" max="8211" width="5.9140625" style="276" bestFit="1" customWidth="1"/>
    <col min="8212" max="8212" width="0.33203125" style="276" customWidth="1"/>
    <col min="8213" max="8213" width="10.08203125" style="276" bestFit="1" customWidth="1"/>
    <col min="8214" max="8214" width="8.9140625" style="276"/>
    <col min="8215" max="8215" width="9" style="276" bestFit="1" customWidth="1"/>
    <col min="8216" max="8216" width="7" style="276" bestFit="1" customWidth="1"/>
    <col min="8217" max="8217" width="6.6640625" style="276" bestFit="1" customWidth="1"/>
    <col min="8218" max="8223" width="8.9140625" style="276"/>
    <col min="8224" max="8224" width="8.75" style="276" customWidth="1"/>
    <col min="8225" max="8225" width="3.33203125" style="276" customWidth="1"/>
    <col min="8226" max="8226" width="9.6640625" style="276" customWidth="1"/>
    <col min="8227" max="8448" width="8.9140625" style="276"/>
    <col min="8449" max="8449" width="4.58203125" style="276" customWidth="1"/>
    <col min="8450" max="8450" width="15.9140625" style="276" customWidth="1"/>
    <col min="8451" max="8451" width="8.33203125" style="276" customWidth="1"/>
    <col min="8452" max="8452" width="16.75" style="276" customWidth="1"/>
    <col min="8453" max="8453" width="6.58203125" style="276" bestFit="1" customWidth="1"/>
    <col min="8454" max="8454" width="8.58203125" style="276" bestFit="1" customWidth="1"/>
    <col min="8455" max="8455" width="6.75" style="276" bestFit="1" customWidth="1"/>
    <col min="8456" max="8456" width="6.08203125" style="276" bestFit="1" customWidth="1"/>
    <col min="8457" max="8457" width="9" style="276" bestFit="1" customWidth="1"/>
    <col min="8458" max="8458" width="1.25" style="276" customWidth="1"/>
    <col min="8459" max="8459" width="10" style="276" bestFit="1" customWidth="1"/>
    <col min="8460" max="8460" width="3.4140625" style="276" bestFit="1" customWidth="1"/>
    <col min="8461" max="8461" width="10.08203125" style="276" bestFit="1" customWidth="1"/>
    <col min="8462" max="8462" width="12.6640625" style="276" customWidth="1"/>
    <col min="8463" max="8463" width="1.25" style="276" customWidth="1"/>
    <col min="8464" max="8464" width="9.58203125" style="276" customWidth="1"/>
    <col min="8465" max="8465" width="1.25" style="276" customWidth="1"/>
    <col min="8466" max="8466" width="6" style="276" customWidth="1"/>
    <col min="8467" max="8467" width="5.9140625" style="276" bestFit="1" customWidth="1"/>
    <col min="8468" max="8468" width="0.33203125" style="276" customWidth="1"/>
    <col min="8469" max="8469" width="10.08203125" style="276" bestFit="1" customWidth="1"/>
    <col min="8470" max="8470" width="8.9140625" style="276"/>
    <col min="8471" max="8471" width="9" style="276" bestFit="1" customWidth="1"/>
    <col min="8472" max="8472" width="7" style="276" bestFit="1" customWidth="1"/>
    <col min="8473" max="8473" width="6.6640625" style="276" bestFit="1" customWidth="1"/>
    <col min="8474" max="8479" width="8.9140625" style="276"/>
    <col min="8480" max="8480" width="8.75" style="276" customWidth="1"/>
    <col min="8481" max="8481" width="3.33203125" style="276" customWidth="1"/>
    <col min="8482" max="8482" width="9.6640625" style="276" customWidth="1"/>
    <col min="8483" max="8704" width="8.9140625" style="276"/>
    <col min="8705" max="8705" width="4.58203125" style="276" customWidth="1"/>
    <col min="8706" max="8706" width="15.9140625" style="276" customWidth="1"/>
    <col min="8707" max="8707" width="8.33203125" style="276" customWidth="1"/>
    <col min="8708" max="8708" width="16.75" style="276" customWidth="1"/>
    <col min="8709" max="8709" width="6.58203125" style="276" bestFit="1" customWidth="1"/>
    <col min="8710" max="8710" width="8.58203125" style="276" bestFit="1" customWidth="1"/>
    <col min="8711" max="8711" width="6.75" style="276" bestFit="1" customWidth="1"/>
    <col min="8712" max="8712" width="6.08203125" style="276" bestFit="1" customWidth="1"/>
    <col min="8713" max="8713" width="9" style="276" bestFit="1" customWidth="1"/>
    <col min="8714" max="8714" width="1.25" style="276" customWidth="1"/>
    <col min="8715" max="8715" width="10" style="276" bestFit="1" customWidth="1"/>
    <col min="8716" max="8716" width="3.4140625" style="276" bestFit="1" customWidth="1"/>
    <col min="8717" max="8717" width="10.08203125" style="276" bestFit="1" customWidth="1"/>
    <col min="8718" max="8718" width="12.6640625" style="276" customWidth="1"/>
    <col min="8719" max="8719" width="1.25" style="276" customWidth="1"/>
    <col min="8720" max="8720" width="9.58203125" style="276" customWidth="1"/>
    <col min="8721" max="8721" width="1.25" style="276" customWidth="1"/>
    <col min="8722" max="8722" width="6" style="276" customWidth="1"/>
    <col min="8723" max="8723" width="5.9140625" style="276" bestFit="1" customWidth="1"/>
    <col min="8724" max="8724" width="0.33203125" style="276" customWidth="1"/>
    <col min="8725" max="8725" width="10.08203125" style="276" bestFit="1" customWidth="1"/>
    <col min="8726" max="8726" width="8.9140625" style="276"/>
    <col min="8727" max="8727" width="9" style="276" bestFit="1" customWidth="1"/>
    <col min="8728" max="8728" width="7" style="276" bestFit="1" customWidth="1"/>
    <col min="8729" max="8729" width="6.6640625" style="276" bestFit="1" customWidth="1"/>
    <col min="8730" max="8735" width="8.9140625" style="276"/>
    <col min="8736" max="8736" width="8.75" style="276" customWidth="1"/>
    <col min="8737" max="8737" width="3.33203125" style="276" customWidth="1"/>
    <col min="8738" max="8738" width="9.6640625" style="276" customWidth="1"/>
    <col min="8739" max="8960" width="8.9140625" style="276"/>
    <col min="8961" max="8961" width="4.58203125" style="276" customWidth="1"/>
    <col min="8962" max="8962" width="15.9140625" style="276" customWidth="1"/>
    <col min="8963" max="8963" width="8.33203125" style="276" customWidth="1"/>
    <col min="8964" max="8964" width="16.75" style="276" customWidth="1"/>
    <col min="8965" max="8965" width="6.58203125" style="276" bestFit="1" customWidth="1"/>
    <col min="8966" max="8966" width="8.58203125" style="276" bestFit="1" customWidth="1"/>
    <col min="8967" max="8967" width="6.75" style="276" bestFit="1" customWidth="1"/>
    <col min="8968" max="8968" width="6.08203125" style="276" bestFit="1" customWidth="1"/>
    <col min="8969" max="8969" width="9" style="276" bestFit="1" customWidth="1"/>
    <col min="8970" max="8970" width="1.25" style="276" customWidth="1"/>
    <col min="8971" max="8971" width="10" style="276" bestFit="1" customWidth="1"/>
    <col min="8972" max="8972" width="3.4140625" style="276" bestFit="1" customWidth="1"/>
    <col min="8973" max="8973" width="10.08203125" style="276" bestFit="1" customWidth="1"/>
    <col min="8974" max="8974" width="12.6640625" style="276" customWidth="1"/>
    <col min="8975" max="8975" width="1.25" style="276" customWidth="1"/>
    <col min="8976" max="8976" width="9.58203125" style="276" customWidth="1"/>
    <col min="8977" max="8977" width="1.25" style="276" customWidth="1"/>
    <col min="8978" max="8978" width="6" style="276" customWidth="1"/>
    <col min="8979" max="8979" width="5.9140625" style="276" bestFit="1" customWidth="1"/>
    <col min="8980" max="8980" width="0.33203125" style="276" customWidth="1"/>
    <col min="8981" max="8981" width="10.08203125" style="276" bestFit="1" customWidth="1"/>
    <col min="8982" max="8982" width="8.9140625" style="276"/>
    <col min="8983" max="8983" width="9" style="276" bestFit="1" customWidth="1"/>
    <col min="8984" max="8984" width="7" style="276" bestFit="1" customWidth="1"/>
    <col min="8985" max="8985" width="6.6640625" style="276" bestFit="1" customWidth="1"/>
    <col min="8986" max="8991" width="8.9140625" style="276"/>
    <col min="8992" max="8992" width="8.75" style="276" customWidth="1"/>
    <col min="8993" max="8993" width="3.33203125" style="276" customWidth="1"/>
    <col min="8994" max="8994" width="9.6640625" style="276" customWidth="1"/>
    <col min="8995" max="9216" width="8.9140625" style="276"/>
    <col min="9217" max="9217" width="4.58203125" style="276" customWidth="1"/>
    <col min="9218" max="9218" width="15.9140625" style="276" customWidth="1"/>
    <col min="9219" max="9219" width="8.33203125" style="276" customWidth="1"/>
    <col min="9220" max="9220" width="16.75" style="276" customWidth="1"/>
    <col min="9221" max="9221" width="6.58203125" style="276" bestFit="1" customWidth="1"/>
    <col min="9222" max="9222" width="8.58203125" style="276" bestFit="1" customWidth="1"/>
    <col min="9223" max="9223" width="6.75" style="276" bestFit="1" customWidth="1"/>
    <col min="9224" max="9224" width="6.08203125" style="276" bestFit="1" customWidth="1"/>
    <col min="9225" max="9225" width="9" style="276" bestFit="1" customWidth="1"/>
    <col min="9226" max="9226" width="1.25" style="276" customWidth="1"/>
    <col min="9227" max="9227" width="10" style="276" bestFit="1" customWidth="1"/>
    <col min="9228" max="9228" width="3.4140625" style="276" bestFit="1" customWidth="1"/>
    <col min="9229" max="9229" width="10.08203125" style="276" bestFit="1" customWidth="1"/>
    <col min="9230" max="9230" width="12.6640625" style="276" customWidth="1"/>
    <col min="9231" max="9231" width="1.25" style="276" customWidth="1"/>
    <col min="9232" max="9232" width="9.58203125" style="276" customWidth="1"/>
    <col min="9233" max="9233" width="1.25" style="276" customWidth="1"/>
    <col min="9234" max="9234" width="6" style="276" customWidth="1"/>
    <col min="9235" max="9235" width="5.9140625" style="276" bestFit="1" customWidth="1"/>
    <col min="9236" max="9236" width="0.33203125" style="276" customWidth="1"/>
    <col min="9237" max="9237" width="10.08203125" style="276" bestFit="1" customWidth="1"/>
    <col min="9238" max="9238" width="8.9140625" style="276"/>
    <col min="9239" max="9239" width="9" style="276" bestFit="1" customWidth="1"/>
    <col min="9240" max="9240" width="7" style="276" bestFit="1" customWidth="1"/>
    <col min="9241" max="9241" width="6.6640625" style="276" bestFit="1" customWidth="1"/>
    <col min="9242" max="9247" width="8.9140625" style="276"/>
    <col min="9248" max="9248" width="8.75" style="276" customWidth="1"/>
    <col min="9249" max="9249" width="3.33203125" style="276" customWidth="1"/>
    <col min="9250" max="9250" width="9.6640625" style="276" customWidth="1"/>
    <col min="9251" max="9472" width="8.9140625" style="276"/>
    <col min="9473" max="9473" width="4.58203125" style="276" customWidth="1"/>
    <col min="9474" max="9474" width="15.9140625" style="276" customWidth="1"/>
    <col min="9475" max="9475" width="8.33203125" style="276" customWidth="1"/>
    <col min="9476" max="9476" width="16.75" style="276" customWidth="1"/>
    <col min="9477" max="9477" width="6.58203125" style="276" bestFit="1" customWidth="1"/>
    <col min="9478" max="9478" width="8.58203125" style="276" bestFit="1" customWidth="1"/>
    <col min="9479" max="9479" width="6.75" style="276" bestFit="1" customWidth="1"/>
    <col min="9480" max="9480" width="6.08203125" style="276" bestFit="1" customWidth="1"/>
    <col min="9481" max="9481" width="9" style="276" bestFit="1" customWidth="1"/>
    <col min="9482" max="9482" width="1.25" style="276" customWidth="1"/>
    <col min="9483" max="9483" width="10" style="276" bestFit="1" customWidth="1"/>
    <col min="9484" max="9484" width="3.4140625" style="276" bestFit="1" customWidth="1"/>
    <col min="9485" max="9485" width="10.08203125" style="276" bestFit="1" customWidth="1"/>
    <col min="9486" max="9486" width="12.6640625" style="276" customWidth="1"/>
    <col min="9487" max="9487" width="1.25" style="276" customWidth="1"/>
    <col min="9488" max="9488" width="9.58203125" style="276" customWidth="1"/>
    <col min="9489" max="9489" width="1.25" style="276" customWidth="1"/>
    <col min="9490" max="9490" width="6" style="276" customWidth="1"/>
    <col min="9491" max="9491" width="5.9140625" style="276" bestFit="1" customWidth="1"/>
    <col min="9492" max="9492" width="0.33203125" style="276" customWidth="1"/>
    <col min="9493" max="9493" width="10.08203125" style="276" bestFit="1" customWidth="1"/>
    <col min="9494" max="9494" width="8.9140625" style="276"/>
    <col min="9495" max="9495" width="9" style="276" bestFit="1" customWidth="1"/>
    <col min="9496" max="9496" width="7" style="276" bestFit="1" customWidth="1"/>
    <col min="9497" max="9497" width="6.6640625" style="276" bestFit="1" customWidth="1"/>
    <col min="9498" max="9503" width="8.9140625" style="276"/>
    <col min="9504" max="9504" width="8.75" style="276" customWidth="1"/>
    <col min="9505" max="9505" width="3.33203125" style="276" customWidth="1"/>
    <col min="9506" max="9506" width="9.6640625" style="276" customWidth="1"/>
    <col min="9507" max="9728" width="8.9140625" style="276"/>
    <col min="9729" max="9729" width="4.58203125" style="276" customWidth="1"/>
    <col min="9730" max="9730" width="15.9140625" style="276" customWidth="1"/>
    <col min="9731" max="9731" width="8.33203125" style="276" customWidth="1"/>
    <col min="9732" max="9732" width="16.75" style="276" customWidth="1"/>
    <col min="9733" max="9733" width="6.58203125" style="276" bestFit="1" customWidth="1"/>
    <col min="9734" max="9734" width="8.58203125" style="276" bestFit="1" customWidth="1"/>
    <col min="9735" max="9735" width="6.75" style="276" bestFit="1" customWidth="1"/>
    <col min="9736" max="9736" width="6.08203125" style="276" bestFit="1" customWidth="1"/>
    <col min="9737" max="9737" width="9" style="276" bestFit="1" customWidth="1"/>
    <col min="9738" max="9738" width="1.25" style="276" customWidth="1"/>
    <col min="9739" max="9739" width="10" style="276" bestFit="1" customWidth="1"/>
    <col min="9740" max="9740" width="3.4140625" style="276" bestFit="1" customWidth="1"/>
    <col min="9741" max="9741" width="10.08203125" style="276" bestFit="1" customWidth="1"/>
    <col min="9742" max="9742" width="12.6640625" style="276" customWidth="1"/>
    <col min="9743" max="9743" width="1.25" style="276" customWidth="1"/>
    <col min="9744" max="9744" width="9.58203125" style="276" customWidth="1"/>
    <col min="9745" max="9745" width="1.25" style="276" customWidth="1"/>
    <col min="9746" max="9746" width="6" style="276" customWidth="1"/>
    <col min="9747" max="9747" width="5.9140625" style="276" bestFit="1" customWidth="1"/>
    <col min="9748" max="9748" width="0.33203125" style="276" customWidth="1"/>
    <col min="9749" max="9749" width="10.08203125" style="276" bestFit="1" customWidth="1"/>
    <col min="9750" max="9750" width="8.9140625" style="276"/>
    <col min="9751" max="9751" width="9" style="276" bestFit="1" customWidth="1"/>
    <col min="9752" max="9752" width="7" style="276" bestFit="1" customWidth="1"/>
    <col min="9753" max="9753" width="6.6640625" style="276" bestFit="1" customWidth="1"/>
    <col min="9754" max="9759" width="8.9140625" style="276"/>
    <col min="9760" max="9760" width="8.75" style="276" customWidth="1"/>
    <col min="9761" max="9761" width="3.33203125" style="276" customWidth="1"/>
    <col min="9762" max="9762" width="9.6640625" style="276" customWidth="1"/>
    <col min="9763" max="9984" width="8.9140625" style="276"/>
    <col min="9985" max="9985" width="4.58203125" style="276" customWidth="1"/>
    <col min="9986" max="9986" width="15.9140625" style="276" customWidth="1"/>
    <col min="9987" max="9987" width="8.33203125" style="276" customWidth="1"/>
    <col min="9988" max="9988" width="16.75" style="276" customWidth="1"/>
    <col min="9989" max="9989" width="6.58203125" style="276" bestFit="1" customWidth="1"/>
    <col min="9990" max="9990" width="8.58203125" style="276" bestFit="1" customWidth="1"/>
    <col min="9991" max="9991" width="6.75" style="276" bestFit="1" customWidth="1"/>
    <col min="9992" max="9992" width="6.08203125" style="276" bestFit="1" customWidth="1"/>
    <col min="9993" max="9993" width="9" style="276" bestFit="1" customWidth="1"/>
    <col min="9994" max="9994" width="1.25" style="276" customWidth="1"/>
    <col min="9995" max="9995" width="10" style="276" bestFit="1" customWidth="1"/>
    <col min="9996" max="9996" width="3.4140625" style="276" bestFit="1" customWidth="1"/>
    <col min="9997" max="9997" width="10.08203125" style="276" bestFit="1" customWidth="1"/>
    <col min="9998" max="9998" width="12.6640625" style="276" customWidth="1"/>
    <col min="9999" max="9999" width="1.25" style="276" customWidth="1"/>
    <col min="10000" max="10000" width="9.58203125" style="276" customWidth="1"/>
    <col min="10001" max="10001" width="1.25" style="276" customWidth="1"/>
    <col min="10002" max="10002" width="6" style="276" customWidth="1"/>
    <col min="10003" max="10003" width="5.9140625" style="276" bestFit="1" customWidth="1"/>
    <col min="10004" max="10004" width="0.33203125" style="276" customWidth="1"/>
    <col min="10005" max="10005" width="10.08203125" style="276" bestFit="1" customWidth="1"/>
    <col min="10006" max="10006" width="8.9140625" style="276"/>
    <col min="10007" max="10007" width="9" style="276" bestFit="1" customWidth="1"/>
    <col min="10008" max="10008" width="7" style="276" bestFit="1" customWidth="1"/>
    <col min="10009" max="10009" width="6.6640625" style="276" bestFit="1" customWidth="1"/>
    <col min="10010" max="10015" width="8.9140625" style="276"/>
    <col min="10016" max="10016" width="8.75" style="276" customWidth="1"/>
    <col min="10017" max="10017" width="3.33203125" style="276" customWidth="1"/>
    <col min="10018" max="10018" width="9.6640625" style="276" customWidth="1"/>
    <col min="10019" max="10240" width="8.9140625" style="276"/>
    <col min="10241" max="10241" width="4.58203125" style="276" customWidth="1"/>
    <col min="10242" max="10242" width="15.9140625" style="276" customWidth="1"/>
    <col min="10243" max="10243" width="8.33203125" style="276" customWidth="1"/>
    <col min="10244" max="10244" width="16.75" style="276" customWidth="1"/>
    <col min="10245" max="10245" width="6.58203125" style="276" bestFit="1" customWidth="1"/>
    <col min="10246" max="10246" width="8.58203125" style="276" bestFit="1" customWidth="1"/>
    <col min="10247" max="10247" width="6.75" style="276" bestFit="1" customWidth="1"/>
    <col min="10248" max="10248" width="6.08203125" style="276" bestFit="1" customWidth="1"/>
    <col min="10249" max="10249" width="9" style="276" bestFit="1" customWidth="1"/>
    <col min="10250" max="10250" width="1.25" style="276" customWidth="1"/>
    <col min="10251" max="10251" width="10" style="276" bestFit="1" customWidth="1"/>
    <col min="10252" max="10252" width="3.4140625" style="276" bestFit="1" customWidth="1"/>
    <col min="10253" max="10253" width="10.08203125" style="276" bestFit="1" customWidth="1"/>
    <col min="10254" max="10254" width="12.6640625" style="276" customWidth="1"/>
    <col min="10255" max="10255" width="1.25" style="276" customWidth="1"/>
    <col min="10256" max="10256" width="9.58203125" style="276" customWidth="1"/>
    <col min="10257" max="10257" width="1.25" style="276" customWidth="1"/>
    <col min="10258" max="10258" width="6" style="276" customWidth="1"/>
    <col min="10259" max="10259" width="5.9140625" style="276" bestFit="1" customWidth="1"/>
    <col min="10260" max="10260" width="0.33203125" style="276" customWidth="1"/>
    <col min="10261" max="10261" width="10.08203125" style="276" bestFit="1" customWidth="1"/>
    <col min="10262" max="10262" width="8.9140625" style="276"/>
    <col min="10263" max="10263" width="9" style="276" bestFit="1" customWidth="1"/>
    <col min="10264" max="10264" width="7" style="276" bestFit="1" customWidth="1"/>
    <col min="10265" max="10265" width="6.6640625" style="276" bestFit="1" customWidth="1"/>
    <col min="10266" max="10271" width="8.9140625" style="276"/>
    <col min="10272" max="10272" width="8.75" style="276" customWidth="1"/>
    <col min="10273" max="10273" width="3.33203125" style="276" customWidth="1"/>
    <col min="10274" max="10274" width="9.6640625" style="276" customWidth="1"/>
    <col min="10275" max="10496" width="8.9140625" style="276"/>
    <col min="10497" max="10497" width="4.58203125" style="276" customWidth="1"/>
    <col min="10498" max="10498" width="15.9140625" style="276" customWidth="1"/>
    <col min="10499" max="10499" width="8.33203125" style="276" customWidth="1"/>
    <col min="10500" max="10500" width="16.75" style="276" customWidth="1"/>
    <col min="10501" max="10501" width="6.58203125" style="276" bestFit="1" customWidth="1"/>
    <col min="10502" max="10502" width="8.58203125" style="276" bestFit="1" customWidth="1"/>
    <col min="10503" max="10503" width="6.75" style="276" bestFit="1" customWidth="1"/>
    <col min="10504" max="10504" width="6.08203125" style="276" bestFit="1" customWidth="1"/>
    <col min="10505" max="10505" width="9" style="276" bestFit="1" customWidth="1"/>
    <col min="10506" max="10506" width="1.25" style="276" customWidth="1"/>
    <col min="10507" max="10507" width="10" style="276" bestFit="1" customWidth="1"/>
    <col min="10508" max="10508" width="3.4140625" style="276" bestFit="1" customWidth="1"/>
    <col min="10509" max="10509" width="10.08203125" style="276" bestFit="1" customWidth="1"/>
    <col min="10510" max="10510" width="12.6640625" style="276" customWidth="1"/>
    <col min="10511" max="10511" width="1.25" style="276" customWidth="1"/>
    <col min="10512" max="10512" width="9.58203125" style="276" customWidth="1"/>
    <col min="10513" max="10513" width="1.25" style="276" customWidth="1"/>
    <col min="10514" max="10514" width="6" style="276" customWidth="1"/>
    <col min="10515" max="10515" width="5.9140625" style="276" bestFit="1" customWidth="1"/>
    <col min="10516" max="10516" width="0.33203125" style="276" customWidth="1"/>
    <col min="10517" max="10517" width="10.08203125" style="276" bestFit="1" customWidth="1"/>
    <col min="10518" max="10518" width="8.9140625" style="276"/>
    <col min="10519" max="10519" width="9" style="276" bestFit="1" customWidth="1"/>
    <col min="10520" max="10520" width="7" style="276" bestFit="1" customWidth="1"/>
    <col min="10521" max="10521" width="6.6640625" style="276" bestFit="1" customWidth="1"/>
    <col min="10522" max="10527" width="8.9140625" style="276"/>
    <col min="10528" max="10528" width="8.75" style="276" customWidth="1"/>
    <col min="10529" max="10529" width="3.33203125" style="276" customWidth="1"/>
    <col min="10530" max="10530" width="9.6640625" style="276" customWidth="1"/>
    <col min="10531" max="10752" width="8.9140625" style="276"/>
    <col min="10753" max="10753" width="4.58203125" style="276" customWidth="1"/>
    <col min="10754" max="10754" width="15.9140625" style="276" customWidth="1"/>
    <col min="10755" max="10755" width="8.33203125" style="276" customWidth="1"/>
    <col min="10756" max="10756" width="16.75" style="276" customWidth="1"/>
    <col min="10757" max="10757" width="6.58203125" style="276" bestFit="1" customWidth="1"/>
    <col min="10758" max="10758" width="8.58203125" style="276" bestFit="1" customWidth="1"/>
    <col min="10759" max="10759" width="6.75" style="276" bestFit="1" customWidth="1"/>
    <col min="10760" max="10760" width="6.08203125" style="276" bestFit="1" customWidth="1"/>
    <col min="10761" max="10761" width="9" style="276" bestFit="1" customWidth="1"/>
    <col min="10762" max="10762" width="1.25" style="276" customWidth="1"/>
    <col min="10763" max="10763" width="10" style="276" bestFit="1" customWidth="1"/>
    <col min="10764" max="10764" width="3.4140625" style="276" bestFit="1" customWidth="1"/>
    <col min="10765" max="10765" width="10.08203125" style="276" bestFit="1" customWidth="1"/>
    <col min="10766" max="10766" width="12.6640625" style="276" customWidth="1"/>
    <col min="10767" max="10767" width="1.25" style="276" customWidth="1"/>
    <col min="10768" max="10768" width="9.58203125" style="276" customWidth="1"/>
    <col min="10769" max="10769" width="1.25" style="276" customWidth="1"/>
    <col min="10770" max="10770" width="6" style="276" customWidth="1"/>
    <col min="10771" max="10771" width="5.9140625" style="276" bestFit="1" customWidth="1"/>
    <col min="10772" max="10772" width="0.33203125" style="276" customWidth="1"/>
    <col min="10773" max="10773" width="10.08203125" style="276" bestFit="1" customWidth="1"/>
    <col min="10774" max="10774" width="8.9140625" style="276"/>
    <col min="10775" max="10775" width="9" style="276" bestFit="1" customWidth="1"/>
    <col min="10776" max="10776" width="7" style="276" bestFit="1" customWidth="1"/>
    <col min="10777" max="10777" width="6.6640625" style="276" bestFit="1" customWidth="1"/>
    <col min="10778" max="10783" width="8.9140625" style="276"/>
    <col min="10784" max="10784" width="8.75" style="276" customWidth="1"/>
    <col min="10785" max="10785" width="3.33203125" style="276" customWidth="1"/>
    <col min="10786" max="10786" width="9.6640625" style="276" customWidth="1"/>
    <col min="10787" max="11008" width="8.9140625" style="276"/>
    <col min="11009" max="11009" width="4.58203125" style="276" customWidth="1"/>
    <col min="11010" max="11010" width="15.9140625" style="276" customWidth="1"/>
    <col min="11011" max="11011" width="8.33203125" style="276" customWidth="1"/>
    <col min="11012" max="11012" width="16.75" style="276" customWidth="1"/>
    <col min="11013" max="11013" width="6.58203125" style="276" bestFit="1" customWidth="1"/>
    <col min="11014" max="11014" width="8.58203125" style="276" bestFit="1" customWidth="1"/>
    <col min="11015" max="11015" width="6.75" style="276" bestFit="1" customWidth="1"/>
    <col min="11016" max="11016" width="6.08203125" style="276" bestFit="1" customWidth="1"/>
    <col min="11017" max="11017" width="9" style="276" bestFit="1" customWidth="1"/>
    <col min="11018" max="11018" width="1.25" style="276" customWidth="1"/>
    <col min="11019" max="11019" width="10" style="276" bestFit="1" customWidth="1"/>
    <col min="11020" max="11020" width="3.4140625" style="276" bestFit="1" customWidth="1"/>
    <col min="11021" max="11021" width="10.08203125" style="276" bestFit="1" customWidth="1"/>
    <col min="11022" max="11022" width="12.6640625" style="276" customWidth="1"/>
    <col min="11023" max="11023" width="1.25" style="276" customWidth="1"/>
    <col min="11024" max="11024" width="9.58203125" style="276" customWidth="1"/>
    <col min="11025" max="11025" width="1.25" style="276" customWidth="1"/>
    <col min="11026" max="11026" width="6" style="276" customWidth="1"/>
    <col min="11027" max="11027" width="5.9140625" style="276" bestFit="1" customWidth="1"/>
    <col min="11028" max="11028" width="0.33203125" style="276" customWidth="1"/>
    <col min="11029" max="11029" width="10.08203125" style="276" bestFit="1" customWidth="1"/>
    <col min="11030" max="11030" width="8.9140625" style="276"/>
    <col min="11031" max="11031" width="9" style="276" bestFit="1" customWidth="1"/>
    <col min="11032" max="11032" width="7" style="276" bestFit="1" customWidth="1"/>
    <col min="11033" max="11033" width="6.6640625" style="276" bestFit="1" customWidth="1"/>
    <col min="11034" max="11039" width="8.9140625" style="276"/>
    <col min="11040" max="11040" width="8.75" style="276" customWidth="1"/>
    <col min="11041" max="11041" width="3.33203125" style="276" customWidth="1"/>
    <col min="11042" max="11042" width="9.6640625" style="276" customWidth="1"/>
    <col min="11043" max="11264" width="8.9140625" style="276"/>
    <col min="11265" max="11265" width="4.58203125" style="276" customWidth="1"/>
    <col min="11266" max="11266" width="15.9140625" style="276" customWidth="1"/>
    <col min="11267" max="11267" width="8.33203125" style="276" customWidth="1"/>
    <col min="11268" max="11268" width="16.75" style="276" customWidth="1"/>
    <col min="11269" max="11269" width="6.58203125" style="276" bestFit="1" customWidth="1"/>
    <col min="11270" max="11270" width="8.58203125" style="276" bestFit="1" customWidth="1"/>
    <col min="11271" max="11271" width="6.75" style="276" bestFit="1" customWidth="1"/>
    <col min="11272" max="11272" width="6.08203125" style="276" bestFit="1" customWidth="1"/>
    <col min="11273" max="11273" width="9" style="276" bestFit="1" customWidth="1"/>
    <col min="11274" max="11274" width="1.25" style="276" customWidth="1"/>
    <col min="11275" max="11275" width="10" style="276" bestFit="1" customWidth="1"/>
    <col min="11276" max="11276" width="3.4140625" style="276" bestFit="1" customWidth="1"/>
    <col min="11277" max="11277" width="10.08203125" style="276" bestFit="1" customWidth="1"/>
    <col min="11278" max="11278" width="12.6640625" style="276" customWidth="1"/>
    <col min="11279" max="11279" width="1.25" style="276" customWidth="1"/>
    <col min="11280" max="11280" width="9.58203125" style="276" customWidth="1"/>
    <col min="11281" max="11281" width="1.25" style="276" customWidth="1"/>
    <col min="11282" max="11282" width="6" style="276" customWidth="1"/>
    <col min="11283" max="11283" width="5.9140625" style="276" bestFit="1" customWidth="1"/>
    <col min="11284" max="11284" width="0.33203125" style="276" customWidth="1"/>
    <col min="11285" max="11285" width="10.08203125" style="276" bestFit="1" customWidth="1"/>
    <col min="11286" max="11286" width="8.9140625" style="276"/>
    <col min="11287" max="11287" width="9" style="276" bestFit="1" customWidth="1"/>
    <col min="11288" max="11288" width="7" style="276" bestFit="1" customWidth="1"/>
    <col min="11289" max="11289" width="6.6640625" style="276" bestFit="1" customWidth="1"/>
    <col min="11290" max="11295" width="8.9140625" style="276"/>
    <col min="11296" max="11296" width="8.75" style="276" customWidth="1"/>
    <col min="11297" max="11297" width="3.33203125" style="276" customWidth="1"/>
    <col min="11298" max="11298" width="9.6640625" style="276" customWidth="1"/>
    <col min="11299" max="11520" width="8.9140625" style="276"/>
    <col min="11521" max="11521" width="4.58203125" style="276" customWidth="1"/>
    <col min="11522" max="11522" width="15.9140625" style="276" customWidth="1"/>
    <col min="11523" max="11523" width="8.33203125" style="276" customWidth="1"/>
    <col min="11524" max="11524" width="16.75" style="276" customWidth="1"/>
    <col min="11525" max="11525" width="6.58203125" style="276" bestFit="1" customWidth="1"/>
    <col min="11526" max="11526" width="8.58203125" style="276" bestFit="1" customWidth="1"/>
    <col min="11527" max="11527" width="6.75" style="276" bestFit="1" customWidth="1"/>
    <col min="11528" max="11528" width="6.08203125" style="276" bestFit="1" customWidth="1"/>
    <col min="11529" max="11529" width="9" style="276" bestFit="1" customWidth="1"/>
    <col min="11530" max="11530" width="1.25" style="276" customWidth="1"/>
    <col min="11531" max="11531" width="10" style="276" bestFit="1" customWidth="1"/>
    <col min="11532" max="11532" width="3.4140625" style="276" bestFit="1" customWidth="1"/>
    <col min="11533" max="11533" width="10.08203125" style="276" bestFit="1" customWidth="1"/>
    <col min="11534" max="11534" width="12.6640625" style="276" customWidth="1"/>
    <col min="11535" max="11535" width="1.25" style="276" customWidth="1"/>
    <col min="11536" max="11536" width="9.58203125" style="276" customWidth="1"/>
    <col min="11537" max="11537" width="1.25" style="276" customWidth="1"/>
    <col min="11538" max="11538" width="6" style="276" customWidth="1"/>
    <col min="11539" max="11539" width="5.9140625" style="276" bestFit="1" customWidth="1"/>
    <col min="11540" max="11540" width="0.33203125" style="276" customWidth="1"/>
    <col min="11541" max="11541" width="10.08203125" style="276" bestFit="1" customWidth="1"/>
    <col min="11542" max="11542" width="8.9140625" style="276"/>
    <col min="11543" max="11543" width="9" style="276" bestFit="1" customWidth="1"/>
    <col min="11544" max="11544" width="7" style="276" bestFit="1" customWidth="1"/>
    <col min="11545" max="11545" width="6.6640625" style="276" bestFit="1" customWidth="1"/>
    <col min="11546" max="11551" width="8.9140625" style="276"/>
    <col min="11552" max="11552" width="8.75" style="276" customWidth="1"/>
    <col min="11553" max="11553" width="3.33203125" style="276" customWidth="1"/>
    <col min="11554" max="11554" width="9.6640625" style="276" customWidth="1"/>
    <col min="11555" max="11776" width="8.9140625" style="276"/>
    <col min="11777" max="11777" width="4.58203125" style="276" customWidth="1"/>
    <col min="11778" max="11778" width="15.9140625" style="276" customWidth="1"/>
    <col min="11779" max="11779" width="8.33203125" style="276" customWidth="1"/>
    <col min="11780" max="11780" width="16.75" style="276" customWidth="1"/>
    <col min="11781" max="11781" width="6.58203125" style="276" bestFit="1" customWidth="1"/>
    <col min="11782" max="11782" width="8.58203125" style="276" bestFit="1" customWidth="1"/>
    <col min="11783" max="11783" width="6.75" style="276" bestFit="1" customWidth="1"/>
    <col min="11784" max="11784" width="6.08203125" style="276" bestFit="1" customWidth="1"/>
    <col min="11785" max="11785" width="9" style="276" bestFit="1" customWidth="1"/>
    <col min="11786" max="11786" width="1.25" style="276" customWidth="1"/>
    <col min="11787" max="11787" width="10" style="276" bestFit="1" customWidth="1"/>
    <col min="11788" max="11788" width="3.4140625" style="276" bestFit="1" customWidth="1"/>
    <col min="11789" max="11789" width="10.08203125" style="276" bestFit="1" customWidth="1"/>
    <col min="11790" max="11790" width="12.6640625" style="276" customWidth="1"/>
    <col min="11791" max="11791" width="1.25" style="276" customWidth="1"/>
    <col min="11792" max="11792" width="9.58203125" style="276" customWidth="1"/>
    <col min="11793" max="11793" width="1.25" style="276" customWidth="1"/>
    <col min="11794" max="11794" width="6" style="276" customWidth="1"/>
    <col min="11795" max="11795" width="5.9140625" style="276" bestFit="1" customWidth="1"/>
    <col min="11796" max="11796" width="0.33203125" style="276" customWidth="1"/>
    <col min="11797" max="11797" width="10.08203125" style="276" bestFit="1" customWidth="1"/>
    <col min="11798" max="11798" width="8.9140625" style="276"/>
    <col min="11799" max="11799" width="9" style="276" bestFit="1" customWidth="1"/>
    <col min="11800" max="11800" width="7" style="276" bestFit="1" customWidth="1"/>
    <col min="11801" max="11801" width="6.6640625" style="276" bestFit="1" customWidth="1"/>
    <col min="11802" max="11807" width="8.9140625" style="276"/>
    <col min="11808" max="11808" width="8.75" style="276" customWidth="1"/>
    <col min="11809" max="11809" width="3.33203125" style="276" customWidth="1"/>
    <col min="11810" max="11810" width="9.6640625" style="276" customWidth="1"/>
    <col min="11811" max="12032" width="8.9140625" style="276"/>
    <col min="12033" max="12033" width="4.58203125" style="276" customWidth="1"/>
    <col min="12034" max="12034" width="15.9140625" style="276" customWidth="1"/>
    <col min="12035" max="12035" width="8.33203125" style="276" customWidth="1"/>
    <col min="12036" max="12036" width="16.75" style="276" customWidth="1"/>
    <col min="12037" max="12037" width="6.58203125" style="276" bestFit="1" customWidth="1"/>
    <col min="12038" max="12038" width="8.58203125" style="276" bestFit="1" customWidth="1"/>
    <col min="12039" max="12039" width="6.75" style="276" bestFit="1" customWidth="1"/>
    <col min="12040" max="12040" width="6.08203125" style="276" bestFit="1" customWidth="1"/>
    <col min="12041" max="12041" width="9" style="276" bestFit="1" customWidth="1"/>
    <col min="12042" max="12042" width="1.25" style="276" customWidth="1"/>
    <col min="12043" max="12043" width="10" style="276" bestFit="1" customWidth="1"/>
    <col min="12044" max="12044" width="3.4140625" style="276" bestFit="1" customWidth="1"/>
    <col min="12045" max="12045" width="10.08203125" style="276" bestFit="1" customWidth="1"/>
    <col min="12046" max="12046" width="12.6640625" style="276" customWidth="1"/>
    <col min="12047" max="12047" width="1.25" style="276" customWidth="1"/>
    <col min="12048" max="12048" width="9.58203125" style="276" customWidth="1"/>
    <col min="12049" max="12049" width="1.25" style="276" customWidth="1"/>
    <col min="12050" max="12050" width="6" style="276" customWidth="1"/>
    <col min="12051" max="12051" width="5.9140625" style="276" bestFit="1" customWidth="1"/>
    <col min="12052" max="12052" width="0.33203125" style="276" customWidth="1"/>
    <col min="12053" max="12053" width="10.08203125" style="276" bestFit="1" customWidth="1"/>
    <col min="12054" max="12054" width="8.9140625" style="276"/>
    <col min="12055" max="12055" width="9" style="276" bestFit="1" customWidth="1"/>
    <col min="12056" max="12056" width="7" style="276" bestFit="1" customWidth="1"/>
    <col min="12057" max="12057" width="6.6640625" style="276" bestFit="1" customWidth="1"/>
    <col min="12058" max="12063" width="8.9140625" style="276"/>
    <col min="12064" max="12064" width="8.75" style="276" customWidth="1"/>
    <col min="12065" max="12065" width="3.33203125" style="276" customWidth="1"/>
    <col min="12066" max="12066" width="9.6640625" style="276" customWidth="1"/>
    <col min="12067" max="12288" width="8.9140625" style="276"/>
    <col min="12289" max="12289" width="4.58203125" style="276" customWidth="1"/>
    <col min="12290" max="12290" width="15.9140625" style="276" customWidth="1"/>
    <col min="12291" max="12291" width="8.33203125" style="276" customWidth="1"/>
    <col min="12292" max="12292" width="16.75" style="276" customWidth="1"/>
    <col min="12293" max="12293" width="6.58203125" style="276" bestFit="1" customWidth="1"/>
    <col min="12294" max="12294" width="8.58203125" style="276" bestFit="1" customWidth="1"/>
    <col min="12295" max="12295" width="6.75" style="276" bestFit="1" customWidth="1"/>
    <col min="12296" max="12296" width="6.08203125" style="276" bestFit="1" customWidth="1"/>
    <col min="12297" max="12297" width="9" style="276" bestFit="1" customWidth="1"/>
    <col min="12298" max="12298" width="1.25" style="276" customWidth="1"/>
    <col min="12299" max="12299" width="10" style="276" bestFit="1" customWidth="1"/>
    <col min="12300" max="12300" width="3.4140625" style="276" bestFit="1" customWidth="1"/>
    <col min="12301" max="12301" width="10.08203125" style="276" bestFit="1" customWidth="1"/>
    <col min="12302" max="12302" width="12.6640625" style="276" customWidth="1"/>
    <col min="12303" max="12303" width="1.25" style="276" customWidth="1"/>
    <col min="12304" max="12304" width="9.58203125" style="276" customWidth="1"/>
    <col min="12305" max="12305" width="1.25" style="276" customWidth="1"/>
    <col min="12306" max="12306" width="6" style="276" customWidth="1"/>
    <col min="12307" max="12307" width="5.9140625" style="276" bestFit="1" customWidth="1"/>
    <col min="12308" max="12308" width="0.33203125" style="276" customWidth="1"/>
    <col min="12309" max="12309" width="10.08203125" style="276" bestFit="1" customWidth="1"/>
    <col min="12310" max="12310" width="8.9140625" style="276"/>
    <col min="12311" max="12311" width="9" style="276" bestFit="1" customWidth="1"/>
    <col min="12312" max="12312" width="7" style="276" bestFit="1" customWidth="1"/>
    <col min="12313" max="12313" width="6.6640625" style="276" bestFit="1" customWidth="1"/>
    <col min="12314" max="12319" width="8.9140625" style="276"/>
    <col min="12320" max="12320" width="8.75" style="276" customWidth="1"/>
    <col min="12321" max="12321" width="3.33203125" style="276" customWidth="1"/>
    <col min="12322" max="12322" width="9.6640625" style="276" customWidth="1"/>
    <col min="12323" max="12544" width="8.9140625" style="276"/>
    <col min="12545" max="12545" width="4.58203125" style="276" customWidth="1"/>
    <col min="12546" max="12546" width="15.9140625" style="276" customWidth="1"/>
    <col min="12547" max="12547" width="8.33203125" style="276" customWidth="1"/>
    <col min="12548" max="12548" width="16.75" style="276" customWidth="1"/>
    <col min="12549" max="12549" width="6.58203125" style="276" bestFit="1" customWidth="1"/>
    <col min="12550" max="12550" width="8.58203125" style="276" bestFit="1" customWidth="1"/>
    <col min="12551" max="12551" width="6.75" style="276" bestFit="1" customWidth="1"/>
    <col min="12552" max="12552" width="6.08203125" style="276" bestFit="1" customWidth="1"/>
    <col min="12553" max="12553" width="9" style="276" bestFit="1" customWidth="1"/>
    <col min="12554" max="12554" width="1.25" style="276" customWidth="1"/>
    <col min="12555" max="12555" width="10" style="276" bestFit="1" customWidth="1"/>
    <col min="12556" max="12556" width="3.4140625" style="276" bestFit="1" customWidth="1"/>
    <col min="12557" max="12557" width="10.08203125" style="276" bestFit="1" customWidth="1"/>
    <col min="12558" max="12558" width="12.6640625" style="276" customWidth="1"/>
    <col min="12559" max="12559" width="1.25" style="276" customWidth="1"/>
    <col min="12560" max="12560" width="9.58203125" style="276" customWidth="1"/>
    <col min="12561" max="12561" width="1.25" style="276" customWidth="1"/>
    <col min="12562" max="12562" width="6" style="276" customWidth="1"/>
    <col min="12563" max="12563" width="5.9140625" style="276" bestFit="1" customWidth="1"/>
    <col min="12564" max="12564" width="0.33203125" style="276" customWidth="1"/>
    <col min="12565" max="12565" width="10.08203125" style="276" bestFit="1" customWidth="1"/>
    <col min="12566" max="12566" width="8.9140625" style="276"/>
    <col min="12567" max="12567" width="9" style="276" bestFit="1" customWidth="1"/>
    <col min="12568" max="12568" width="7" style="276" bestFit="1" customWidth="1"/>
    <col min="12569" max="12569" width="6.6640625" style="276" bestFit="1" customWidth="1"/>
    <col min="12570" max="12575" width="8.9140625" style="276"/>
    <col min="12576" max="12576" width="8.75" style="276" customWidth="1"/>
    <col min="12577" max="12577" width="3.33203125" style="276" customWidth="1"/>
    <col min="12578" max="12578" width="9.6640625" style="276" customWidth="1"/>
    <col min="12579" max="12800" width="8.9140625" style="276"/>
    <col min="12801" max="12801" width="4.58203125" style="276" customWidth="1"/>
    <col min="12802" max="12802" width="15.9140625" style="276" customWidth="1"/>
    <col min="12803" max="12803" width="8.33203125" style="276" customWidth="1"/>
    <col min="12804" max="12804" width="16.75" style="276" customWidth="1"/>
    <col min="12805" max="12805" width="6.58203125" style="276" bestFit="1" customWidth="1"/>
    <col min="12806" max="12806" width="8.58203125" style="276" bestFit="1" customWidth="1"/>
    <col min="12807" max="12807" width="6.75" style="276" bestFit="1" customWidth="1"/>
    <col min="12808" max="12808" width="6.08203125" style="276" bestFit="1" customWidth="1"/>
    <col min="12809" max="12809" width="9" style="276" bestFit="1" customWidth="1"/>
    <col min="12810" max="12810" width="1.25" style="276" customWidth="1"/>
    <col min="12811" max="12811" width="10" style="276" bestFit="1" customWidth="1"/>
    <col min="12812" max="12812" width="3.4140625" style="276" bestFit="1" customWidth="1"/>
    <col min="12813" max="12813" width="10.08203125" style="276" bestFit="1" customWidth="1"/>
    <col min="12814" max="12814" width="12.6640625" style="276" customWidth="1"/>
    <col min="12815" max="12815" width="1.25" style="276" customWidth="1"/>
    <col min="12816" max="12816" width="9.58203125" style="276" customWidth="1"/>
    <col min="12817" max="12817" width="1.25" style="276" customWidth="1"/>
    <col min="12818" max="12818" width="6" style="276" customWidth="1"/>
    <col min="12819" max="12819" width="5.9140625" style="276" bestFit="1" customWidth="1"/>
    <col min="12820" max="12820" width="0.33203125" style="276" customWidth="1"/>
    <col min="12821" max="12821" width="10.08203125" style="276" bestFit="1" customWidth="1"/>
    <col min="12822" max="12822" width="8.9140625" style="276"/>
    <col min="12823" max="12823" width="9" style="276" bestFit="1" customWidth="1"/>
    <col min="12824" max="12824" width="7" style="276" bestFit="1" customWidth="1"/>
    <col min="12825" max="12825" width="6.6640625" style="276" bestFit="1" customWidth="1"/>
    <col min="12826" max="12831" width="8.9140625" style="276"/>
    <col min="12832" max="12832" width="8.75" style="276" customWidth="1"/>
    <col min="12833" max="12833" width="3.33203125" style="276" customWidth="1"/>
    <col min="12834" max="12834" width="9.6640625" style="276" customWidth="1"/>
    <col min="12835" max="13056" width="8.9140625" style="276"/>
    <col min="13057" max="13057" width="4.58203125" style="276" customWidth="1"/>
    <col min="13058" max="13058" width="15.9140625" style="276" customWidth="1"/>
    <col min="13059" max="13059" width="8.33203125" style="276" customWidth="1"/>
    <col min="13060" max="13060" width="16.75" style="276" customWidth="1"/>
    <col min="13061" max="13061" width="6.58203125" style="276" bestFit="1" customWidth="1"/>
    <col min="13062" max="13062" width="8.58203125" style="276" bestFit="1" customWidth="1"/>
    <col min="13063" max="13063" width="6.75" style="276" bestFit="1" customWidth="1"/>
    <col min="13064" max="13064" width="6.08203125" style="276" bestFit="1" customWidth="1"/>
    <col min="13065" max="13065" width="9" style="276" bestFit="1" customWidth="1"/>
    <col min="13066" max="13066" width="1.25" style="276" customWidth="1"/>
    <col min="13067" max="13067" width="10" style="276" bestFit="1" customWidth="1"/>
    <col min="13068" max="13068" width="3.4140625" style="276" bestFit="1" customWidth="1"/>
    <col min="13069" max="13069" width="10.08203125" style="276" bestFit="1" customWidth="1"/>
    <col min="13070" max="13070" width="12.6640625" style="276" customWidth="1"/>
    <col min="13071" max="13071" width="1.25" style="276" customWidth="1"/>
    <col min="13072" max="13072" width="9.58203125" style="276" customWidth="1"/>
    <col min="13073" max="13073" width="1.25" style="276" customWidth="1"/>
    <col min="13074" max="13074" width="6" style="276" customWidth="1"/>
    <col min="13075" max="13075" width="5.9140625" style="276" bestFit="1" customWidth="1"/>
    <col min="13076" max="13076" width="0.33203125" style="276" customWidth="1"/>
    <col min="13077" max="13077" width="10.08203125" style="276" bestFit="1" customWidth="1"/>
    <col min="13078" max="13078" width="8.9140625" style="276"/>
    <col min="13079" max="13079" width="9" style="276" bestFit="1" customWidth="1"/>
    <col min="13080" max="13080" width="7" style="276" bestFit="1" customWidth="1"/>
    <col min="13081" max="13081" width="6.6640625" style="276" bestFit="1" customWidth="1"/>
    <col min="13082" max="13087" width="8.9140625" style="276"/>
    <col min="13088" max="13088" width="8.75" style="276" customWidth="1"/>
    <col min="13089" max="13089" width="3.33203125" style="276" customWidth="1"/>
    <col min="13090" max="13090" width="9.6640625" style="276" customWidth="1"/>
    <col min="13091" max="13312" width="8.9140625" style="276"/>
    <col min="13313" max="13313" width="4.58203125" style="276" customWidth="1"/>
    <col min="13314" max="13314" width="15.9140625" style="276" customWidth="1"/>
    <col min="13315" max="13315" width="8.33203125" style="276" customWidth="1"/>
    <col min="13316" max="13316" width="16.75" style="276" customWidth="1"/>
    <col min="13317" max="13317" width="6.58203125" style="276" bestFit="1" customWidth="1"/>
    <col min="13318" max="13318" width="8.58203125" style="276" bestFit="1" customWidth="1"/>
    <col min="13319" max="13319" width="6.75" style="276" bestFit="1" customWidth="1"/>
    <col min="13320" max="13320" width="6.08203125" style="276" bestFit="1" customWidth="1"/>
    <col min="13321" max="13321" width="9" style="276" bestFit="1" customWidth="1"/>
    <col min="13322" max="13322" width="1.25" style="276" customWidth="1"/>
    <col min="13323" max="13323" width="10" style="276" bestFit="1" customWidth="1"/>
    <col min="13324" max="13324" width="3.4140625" style="276" bestFit="1" customWidth="1"/>
    <col min="13325" max="13325" width="10.08203125" style="276" bestFit="1" customWidth="1"/>
    <col min="13326" max="13326" width="12.6640625" style="276" customWidth="1"/>
    <col min="13327" max="13327" width="1.25" style="276" customWidth="1"/>
    <col min="13328" max="13328" width="9.58203125" style="276" customWidth="1"/>
    <col min="13329" max="13329" width="1.25" style="276" customWidth="1"/>
    <col min="13330" max="13330" width="6" style="276" customWidth="1"/>
    <col min="13331" max="13331" width="5.9140625" style="276" bestFit="1" customWidth="1"/>
    <col min="13332" max="13332" width="0.33203125" style="276" customWidth="1"/>
    <col min="13333" max="13333" width="10.08203125" style="276" bestFit="1" customWidth="1"/>
    <col min="13334" max="13334" width="8.9140625" style="276"/>
    <col min="13335" max="13335" width="9" style="276" bestFit="1" customWidth="1"/>
    <col min="13336" max="13336" width="7" style="276" bestFit="1" customWidth="1"/>
    <col min="13337" max="13337" width="6.6640625" style="276" bestFit="1" customWidth="1"/>
    <col min="13338" max="13343" width="8.9140625" style="276"/>
    <col min="13344" max="13344" width="8.75" style="276" customWidth="1"/>
    <col min="13345" max="13345" width="3.33203125" style="276" customWidth="1"/>
    <col min="13346" max="13346" width="9.6640625" style="276" customWidth="1"/>
    <col min="13347" max="13568" width="8.9140625" style="276"/>
    <col min="13569" max="13569" width="4.58203125" style="276" customWidth="1"/>
    <col min="13570" max="13570" width="15.9140625" style="276" customWidth="1"/>
    <col min="13571" max="13571" width="8.33203125" style="276" customWidth="1"/>
    <col min="13572" max="13572" width="16.75" style="276" customWidth="1"/>
    <col min="13573" max="13573" width="6.58203125" style="276" bestFit="1" customWidth="1"/>
    <col min="13574" max="13574" width="8.58203125" style="276" bestFit="1" customWidth="1"/>
    <col min="13575" max="13575" width="6.75" style="276" bestFit="1" customWidth="1"/>
    <col min="13576" max="13576" width="6.08203125" style="276" bestFit="1" customWidth="1"/>
    <col min="13577" max="13577" width="9" style="276" bestFit="1" customWidth="1"/>
    <col min="13578" max="13578" width="1.25" style="276" customWidth="1"/>
    <col min="13579" max="13579" width="10" style="276" bestFit="1" customWidth="1"/>
    <col min="13580" max="13580" width="3.4140625" style="276" bestFit="1" customWidth="1"/>
    <col min="13581" max="13581" width="10.08203125" style="276" bestFit="1" customWidth="1"/>
    <col min="13582" max="13582" width="12.6640625" style="276" customWidth="1"/>
    <col min="13583" max="13583" width="1.25" style="276" customWidth="1"/>
    <col min="13584" max="13584" width="9.58203125" style="276" customWidth="1"/>
    <col min="13585" max="13585" width="1.25" style="276" customWidth="1"/>
    <col min="13586" max="13586" width="6" style="276" customWidth="1"/>
    <col min="13587" max="13587" width="5.9140625" style="276" bestFit="1" customWidth="1"/>
    <col min="13588" max="13588" width="0.33203125" style="276" customWidth="1"/>
    <col min="13589" max="13589" width="10.08203125" style="276" bestFit="1" customWidth="1"/>
    <col min="13590" max="13590" width="8.9140625" style="276"/>
    <col min="13591" max="13591" width="9" style="276" bestFit="1" customWidth="1"/>
    <col min="13592" max="13592" width="7" style="276" bestFit="1" customWidth="1"/>
    <col min="13593" max="13593" width="6.6640625" style="276" bestFit="1" customWidth="1"/>
    <col min="13594" max="13599" width="8.9140625" style="276"/>
    <col min="13600" max="13600" width="8.75" style="276" customWidth="1"/>
    <col min="13601" max="13601" width="3.33203125" style="276" customWidth="1"/>
    <col min="13602" max="13602" width="9.6640625" style="276" customWidth="1"/>
    <col min="13603" max="13824" width="8.9140625" style="276"/>
    <col min="13825" max="13825" width="4.58203125" style="276" customWidth="1"/>
    <col min="13826" max="13826" width="15.9140625" style="276" customWidth="1"/>
    <col min="13827" max="13827" width="8.33203125" style="276" customWidth="1"/>
    <col min="13828" max="13828" width="16.75" style="276" customWidth="1"/>
    <col min="13829" max="13829" width="6.58203125" style="276" bestFit="1" customWidth="1"/>
    <col min="13830" max="13830" width="8.58203125" style="276" bestFit="1" customWidth="1"/>
    <col min="13831" max="13831" width="6.75" style="276" bestFit="1" customWidth="1"/>
    <col min="13832" max="13832" width="6.08203125" style="276" bestFit="1" customWidth="1"/>
    <col min="13833" max="13833" width="9" style="276" bestFit="1" customWidth="1"/>
    <col min="13834" max="13834" width="1.25" style="276" customWidth="1"/>
    <col min="13835" max="13835" width="10" style="276" bestFit="1" customWidth="1"/>
    <col min="13836" max="13836" width="3.4140625" style="276" bestFit="1" customWidth="1"/>
    <col min="13837" max="13837" width="10.08203125" style="276" bestFit="1" customWidth="1"/>
    <col min="13838" max="13838" width="12.6640625" style="276" customWidth="1"/>
    <col min="13839" max="13839" width="1.25" style="276" customWidth="1"/>
    <col min="13840" max="13840" width="9.58203125" style="276" customWidth="1"/>
    <col min="13841" max="13841" width="1.25" style="276" customWidth="1"/>
    <col min="13842" max="13842" width="6" style="276" customWidth="1"/>
    <col min="13843" max="13843" width="5.9140625" style="276" bestFit="1" customWidth="1"/>
    <col min="13844" max="13844" width="0.33203125" style="276" customWidth="1"/>
    <col min="13845" max="13845" width="10.08203125" style="276" bestFit="1" customWidth="1"/>
    <col min="13846" max="13846" width="8.9140625" style="276"/>
    <col min="13847" max="13847" width="9" style="276" bestFit="1" customWidth="1"/>
    <col min="13848" max="13848" width="7" style="276" bestFit="1" customWidth="1"/>
    <col min="13849" max="13849" width="6.6640625" style="276" bestFit="1" customWidth="1"/>
    <col min="13850" max="13855" width="8.9140625" style="276"/>
    <col min="13856" max="13856" width="8.75" style="276" customWidth="1"/>
    <col min="13857" max="13857" width="3.33203125" style="276" customWidth="1"/>
    <col min="13858" max="13858" width="9.6640625" style="276" customWidth="1"/>
    <col min="13859" max="14080" width="8.9140625" style="276"/>
    <col min="14081" max="14081" width="4.58203125" style="276" customWidth="1"/>
    <col min="14082" max="14082" width="15.9140625" style="276" customWidth="1"/>
    <col min="14083" max="14083" width="8.33203125" style="276" customWidth="1"/>
    <col min="14084" max="14084" width="16.75" style="276" customWidth="1"/>
    <col min="14085" max="14085" width="6.58203125" style="276" bestFit="1" customWidth="1"/>
    <col min="14086" max="14086" width="8.58203125" style="276" bestFit="1" customWidth="1"/>
    <col min="14087" max="14087" width="6.75" style="276" bestFit="1" customWidth="1"/>
    <col min="14088" max="14088" width="6.08203125" style="276" bestFit="1" customWidth="1"/>
    <col min="14089" max="14089" width="9" style="276" bestFit="1" customWidth="1"/>
    <col min="14090" max="14090" width="1.25" style="276" customWidth="1"/>
    <col min="14091" max="14091" width="10" style="276" bestFit="1" customWidth="1"/>
    <col min="14092" max="14092" width="3.4140625" style="276" bestFit="1" customWidth="1"/>
    <col min="14093" max="14093" width="10.08203125" style="276" bestFit="1" customWidth="1"/>
    <col min="14094" max="14094" width="12.6640625" style="276" customWidth="1"/>
    <col min="14095" max="14095" width="1.25" style="276" customWidth="1"/>
    <col min="14096" max="14096" width="9.58203125" style="276" customWidth="1"/>
    <col min="14097" max="14097" width="1.25" style="276" customWidth="1"/>
    <col min="14098" max="14098" width="6" style="276" customWidth="1"/>
    <col min="14099" max="14099" width="5.9140625" style="276" bestFit="1" customWidth="1"/>
    <col min="14100" max="14100" width="0.33203125" style="276" customWidth="1"/>
    <col min="14101" max="14101" width="10.08203125" style="276" bestFit="1" customWidth="1"/>
    <col min="14102" max="14102" width="8.9140625" style="276"/>
    <col min="14103" max="14103" width="9" style="276" bestFit="1" customWidth="1"/>
    <col min="14104" max="14104" width="7" style="276" bestFit="1" customWidth="1"/>
    <col min="14105" max="14105" width="6.6640625" style="276" bestFit="1" customWidth="1"/>
    <col min="14106" max="14111" width="8.9140625" style="276"/>
    <col min="14112" max="14112" width="8.75" style="276" customWidth="1"/>
    <col min="14113" max="14113" width="3.33203125" style="276" customWidth="1"/>
    <col min="14114" max="14114" width="9.6640625" style="276" customWidth="1"/>
    <col min="14115" max="14336" width="8.9140625" style="276"/>
    <col min="14337" max="14337" width="4.58203125" style="276" customWidth="1"/>
    <col min="14338" max="14338" width="15.9140625" style="276" customWidth="1"/>
    <col min="14339" max="14339" width="8.33203125" style="276" customWidth="1"/>
    <col min="14340" max="14340" width="16.75" style="276" customWidth="1"/>
    <col min="14341" max="14341" width="6.58203125" style="276" bestFit="1" customWidth="1"/>
    <col min="14342" max="14342" width="8.58203125" style="276" bestFit="1" customWidth="1"/>
    <col min="14343" max="14343" width="6.75" style="276" bestFit="1" customWidth="1"/>
    <col min="14344" max="14344" width="6.08203125" style="276" bestFit="1" customWidth="1"/>
    <col min="14345" max="14345" width="9" style="276" bestFit="1" customWidth="1"/>
    <col min="14346" max="14346" width="1.25" style="276" customWidth="1"/>
    <col min="14347" max="14347" width="10" style="276" bestFit="1" customWidth="1"/>
    <col min="14348" max="14348" width="3.4140625" style="276" bestFit="1" customWidth="1"/>
    <col min="14349" max="14349" width="10.08203125" style="276" bestFit="1" customWidth="1"/>
    <col min="14350" max="14350" width="12.6640625" style="276" customWidth="1"/>
    <col min="14351" max="14351" width="1.25" style="276" customWidth="1"/>
    <col min="14352" max="14352" width="9.58203125" style="276" customWidth="1"/>
    <col min="14353" max="14353" width="1.25" style="276" customWidth="1"/>
    <col min="14354" max="14354" width="6" style="276" customWidth="1"/>
    <col min="14355" max="14355" width="5.9140625" style="276" bestFit="1" customWidth="1"/>
    <col min="14356" max="14356" width="0.33203125" style="276" customWidth="1"/>
    <col min="14357" max="14357" width="10.08203125" style="276" bestFit="1" customWidth="1"/>
    <col min="14358" max="14358" width="8.9140625" style="276"/>
    <col min="14359" max="14359" width="9" style="276" bestFit="1" customWidth="1"/>
    <col min="14360" max="14360" width="7" style="276" bestFit="1" customWidth="1"/>
    <col min="14361" max="14361" width="6.6640625" style="276" bestFit="1" customWidth="1"/>
    <col min="14362" max="14367" width="8.9140625" style="276"/>
    <col min="14368" max="14368" width="8.75" style="276" customWidth="1"/>
    <col min="14369" max="14369" width="3.33203125" style="276" customWidth="1"/>
    <col min="14370" max="14370" width="9.6640625" style="276" customWidth="1"/>
    <col min="14371" max="14592" width="8.9140625" style="276"/>
    <col min="14593" max="14593" width="4.58203125" style="276" customWidth="1"/>
    <col min="14594" max="14594" width="15.9140625" style="276" customWidth="1"/>
    <col min="14595" max="14595" width="8.33203125" style="276" customWidth="1"/>
    <col min="14596" max="14596" width="16.75" style="276" customWidth="1"/>
    <col min="14597" max="14597" width="6.58203125" style="276" bestFit="1" customWidth="1"/>
    <col min="14598" max="14598" width="8.58203125" style="276" bestFit="1" customWidth="1"/>
    <col min="14599" max="14599" width="6.75" style="276" bestFit="1" customWidth="1"/>
    <col min="14600" max="14600" width="6.08203125" style="276" bestFit="1" customWidth="1"/>
    <col min="14601" max="14601" width="9" style="276" bestFit="1" customWidth="1"/>
    <col min="14602" max="14602" width="1.25" style="276" customWidth="1"/>
    <col min="14603" max="14603" width="10" style="276" bestFit="1" customWidth="1"/>
    <col min="14604" max="14604" width="3.4140625" style="276" bestFit="1" customWidth="1"/>
    <col min="14605" max="14605" width="10.08203125" style="276" bestFit="1" customWidth="1"/>
    <col min="14606" max="14606" width="12.6640625" style="276" customWidth="1"/>
    <col min="14607" max="14607" width="1.25" style="276" customWidth="1"/>
    <col min="14608" max="14608" width="9.58203125" style="276" customWidth="1"/>
    <col min="14609" max="14609" width="1.25" style="276" customWidth="1"/>
    <col min="14610" max="14610" width="6" style="276" customWidth="1"/>
    <col min="14611" max="14611" width="5.9140625" style="276" bestFit="1" customWidth="1"/>
    <col min="14612" max="14612" width="0.33203125" style="276" customWidth="1"/>
    <col min="14613" max="14613" width="10.08203125" style="276" bestFit="1" customWidth="1"/>
    <col min="14614" max="14614" width="8.9140625" style="276"/>
    <col min="14615" max="14615" width="9" style="276" bestFit="1" customWidth="1"/>
    <col min="14616" max="14616" width="7" style="276" bestFit="1" customWidth="1"/>
    <col min="14617" max="14617" width="6.6640625" style="276" bestFit="1" customWidth="1"/>
    <col min="14618" max="14623" width="8.9140625" style="276"/>
    <col min="14624" max="14624" width="8.75" style="276" customWidth="1"/>
    <col min="14625" max="14625" width="3.33203125" style="276" customWidth="1"/>
    <col min="14626" max="14626" width="9.6640625" style="276" customWidth="1"/>
    <col min="14627" max="14848" width="8.9140625" style="276"/>
    <col min="14849" max="14849" width="4.58203125" style="276" customWidth="1"/>
    <col min="14850" max="14850" width="15.9140625" style="276" customWidth="1"/>
    <col min="14851" max="14851" width="8.33203125" style="276" customWidth="1"/>
    <col min="14852" max="14852" width="16.75" style="276" customWidth="1"/>
    <col min="14853" max="14853" width="6.58203125" style="276" bestFit="1" customWidth="1"/>
    <col min="14854" max="14854" width="8.58203125" style="276" bestFit="1" customWidth="1"/>
    <col min="14855" max="14855" width="6.75" style="276" bestFit="1" customWidth="1"/>
    <col min="14856" max="14856" width="6.08203125" style="276" bestFit="1" customWidth="1"/>
    <col min="14857" max="14857" width="9" style="276" bestFit="1" customWidth="1"/>
    <col min="14858" max="14858" width="1.25" style="276" customWidth="1"/>
    <col min="14859" max="14859" width="10" style="276" bestFit="1" customWidth="1"/>
    <col min="14860" max="14860" width="3.4140625" style="276" bestFit="1" customWidth="1"/>
    <col min="14861" max="14861" width="10.08203125" style="276" bestFit="1" customWidth="1"/>
    <col min="14862" max="14862" width="12.6640625" style="276" customWidth="1"/>
    <col min="14863" max="14863" width="1.25" style="276" customWidth="1"/>
    <col min="14864" max="14864" width="9.58203125" style="276" customWidth="1"/>
    <col min="14865" max="14865" width="1.25" style="276" customWidth="1"/>
    <col min="14866" max="14866" width="6" style="276" customWidth="1"/>
    <col min="14867" max="14867" width="5.9140625" style="276" bestFit="1" customWidth="1"/>
    <col min="14868" max="14868" width="0.33203125" style="276" customWidth="1"/>
    <col min="14869" max="14869" width="10.08203125" style="276" bestFit="1" customWidth="1"/>
    <col min="14870" max="14870" width="8.9140625" style="276"/>
    <col min="14871" max="14871" width="9" style="276" bestFit="1" customWidth="1"/>
    <col min="14872" max="14872" width="7" style="276" bestFit="1" customWidth="1"/>
    <col min="14873" max="14873" width="6.6640625" style="276" bestFit="1" customWidth="1"/>
    <col min="14874" max="14879" width="8.9140625" style="276"/>
    <col min="14880" max="14880" width="8.75" style="276" customWidth="1"/>
    <col min="14881" max="14881" width="3.33203125" style="276" customWidth="1"/>
    <col min="14882" max="14882" width="9.6640625" style="276" customWidth="1"/>
    <col min="14883" max="15104" width="8.9140625" style="276"/>
    <col min="15105" max="15105" width="4.58203125" style="276" customWidth="1"/>
    <col min="15106" max="15106" width="15.9140625" style="276" customWidth="1"/>
    <col min="15107" max="15107" width="8.33203125" style="276" customWidth="1"/>
    <col min="15108" max="15108" width="16.75" style="276" customWidth="1"/>
    <col min="15109" max="15109" width="6.58203125" style="276" bestFit="1" customWidth="1"/>
    <col min="15110" max="15110" width="8.58203125" style="276" bestFit="1" customWidth="1"/>
    <col min="15111" max="15111" width="6.75" style="276" bestFit="1" customWidth="1"/>
    <col min="15112" max="15112" width="6.08203125" style="276" bestFit="1" customWidth="1"/>
    <col min="15113" max="15113" width="9" style="276" bestFit="1" customWidth="1"/>
    <col min="15114" max="15114" width="1.25" style="276" customWidth="1"/>
    <col min="15115" max="15115" width="10" style="276" bestFit="1" customWidth="1"/>
    <col min="15116" max="15116" width="3.4140625" style="276" bestFit="1" customWidth="1"/>
    <col min="15117" max="15117" width="10.08203125" style="276" bestFit="1" customWidth="1"/>
    <col min="15118" max="15118" width="12.6640625" style="276" customWidth="1"/>
    <col min="15119" max="15119" width="1.25" style="276" customWidth="1"/>
    <col min="15120" max="15120" width="9.58203125" style="276" customWidth="1"/>
    <col min="15121" max="15121" width="1.25" style="276" customWidth="1"/>
    <col min="15122" max="15122" width="6" style="276" customWidth="1"/>
    <col min="15123" max="15123" width="5.9140625" style="276" bestFit="1" customWidth="1"/>
    <col min="15124" max="15124" width="0.33203125" style="276" customWidth="1"/>
    <col min="15125" max="15125" width="10.08203125" style="276" bestFit="1" customWidth="1"/>
    <col min="15126" max="15126" width="8.9140625" style="276"/>
    <col min="15127" max="15127" width="9" style="276" bestFit="1" customWidth="1"/>
    <col min="15128" max="15128" width="7" style="276" bestFit="1" customWidth="1"/>
    <col min="15129" max="15129" width="6.6640625" style="276" bestFit="1" customWidth="1"/>
    <col min="15130" max="15135" width="8.9140625" style="276"/>
    <col min="15136" max="15136" width="8.75" style="276" customWidth="1"/>
    <col min="15137" max="15137" width="3.33203125" style="276" customWidth="1"/>
    <col min="15138" max="15138" width="9.6640625" style="276" customWidth="1"/>
    <col min="15139" max="15360" width="8.9140625" style="276"/>
    <col min="15361" max="15361" width="4.58203125" style="276" customWidth="1"/>
    <col min="15362" max="15362" width="15.9140625" style="276" customWidth="1"/>
    <col min="15363" max="15363" width="8.33203125" style="276" customWidth="1"/>
    <col min="15364" max="15364" width="16.75" style="276" customWidth="1"/>
    <col min="15365" max="15365" width="6.58203125" style="276" bestFit="1" customWidth="1"/>
    <col min="15366" max="15366" width="8.58203125" style="276" bestFit="1" customWidth="1"/>
    <col min="15367" max="15367" width="6.75" style="276" bestFit="1" customWidth="1"/>
    <col min="15368" max="15368" width="6.08203125" style="276" bestFit="1" customWidth="1"/>
    <col min="15369" max="15369" width="9" style="276" bestFit="1" customWidth="1"/>
    <col min="15370" max="15370" width="1.25" style="276" customWidth="1"/>
    <col min="15371" max="15371" width="10" style="276" bestFit="1" customWidth="1"/>
    <col min="15372" max="15372" width="3.4140625" style="276" bestFit="1" customWidth="1"/>
    <col min="15373" max="15373" width="10.08203125" style="276" bestFit="1" customWidth="1"/>
    <col min="15374" max="15374" width="12.6640625" style="276" customWidth="1"/>
    <col min="15375" max="15375" width="1.25" style="276" customWidth="1"/>
    <col min="15376" max="15376" width="9.58203125" style="276" customWidth="1"/>
    <col min="15377" max="15377" width="1.25" style="276" customWidth="1"/>
    <col min="15378" max="15378" width="6" style="276" customWidth="1"/>
    <col min="15379" max="15379" width="5.9140625" style="276" bestFit="1" customWidth="1"/>
    <col min="15380" max="15380" width="0.33203125" style="276" customWidth="1"/>
    <col min="15381" max="15381" width="10.08203125" style="276" bestFit="1" customWidth="1"/>
    <col min="15382" max="15382" width="8.9140625" style="276"/>
    <col min="15383" max="15383" width="9" style="276" bestFit="1" customWidth="1"/>
    <col min="15384" max="15384" width="7" style="276" bestFit="1" customWidth="1"/>
    <col min="15385" max="15385" width="6.6640625" style="276" bestFit="1" customWidth="1"/>
    <col min="15386" max="15391" width="8.9140625" style="276"/>
    <col min="15392" max="15392" width="8.75" style="276" customWidth="1"/>
    <col min="15393" max="15393" width="3.33203125" style="276" customWidth="1"/>
    <col min="15394" max="15394" width="9.6640625" style="276" customWidth="1"/>
    <col min="15395" max="15616" width="8.9140625" style="276"/>
    <col min="15617" max="15617" width="4.58203125" style="276" customWidth="1"/>
    <col min="15618" max="15618" width="15.9140625" style="276" customWidth="1"/>
    <col min="15619" max="15619" width="8.33203125" style="276" customWidth="1"/>
    <col min="15620" max="15620" width="16.75" style="276" customWidth="1"/>
    <col min="15621" max="15621" width="6.58203125" style="276" bestFit="1" customWidth="1"/>
    <col min="15622" max="15622" width="8.58203125" style="276" bestFit="1" customWidth="1"/>
    <col min="15623" max="15623" width="6.75" style="276" bestFit="1" customWidth="1"/>
    <col min="15624" max="15624" width="6.08203125" style="276" bestFit="1" customWidth="1"/>
    <col min="15625" max="15625" width="9" style="276" bestFit="1" customWidth="1"/>
    <col min="15626" max="15626" width="1.25" style="276" customWidth="1"/>
    <col min="15627" max="15627" width="10" style="276" bestFit="1" customWidth="1"/>
    <col min="15628" max="15628" width="3.4140625" style="276" bestFit="1" customWidth="1"/>
    <col min="15629" max="15629" width="10.08203125" style="276" bestFit="1" customWidth="1"/>
    <col min="15630" max="15630" width="12.6640625" style="276" customWidth="1"/>
    <col min="15631" max="15631" width="1.25" style="276" customWidth="1"/>
    <col min="15632" max="15632" width="9.58203125" style="276" customWidth="1"/>
    <col min="15633" max="15633" width="1.25" style="276" customWidth="1"/>
    <col min="15634" max="15634" width="6" style="276" customWidth="1"/>
    <col min="15635" max="15635" width="5.9140625" style="276" bestFit="1" customWidth="1"/>
    <col min="15636" max="15636" width="0.33203125" style="276" customWidth="1"/>
    <col min="15637" max="15637" width="10.08203125" style="276" bestFit="1" customWidth="1"/>
    <col min="15638" max="15638" width="8.9140625" style="276"/>
    <col min="15639" max="15639" width="9" style="276" bestFit="1" customWidth="1"/>
    <col min="15640" max="15640" width="7" style="276" bestFit="1" customWidth="1"/>
    <col min="15641" max="15641" width="6.6640625" style="276" bestFit="1" customWidth="1"/>
    <col min="15642" max="15647" width="8.9140625" style="276"/>
    <col min="15648" max="15648" width="8.75" style="276" customWidth="1"/>
    <col min="15649" max="15649" width="3.33203125" style="276" customWidth="1"/>
    <col min="15650" max="15650" width="9.6640625" style="276" customWidth="1"/>
    <col min="15651" max="15872" width="8.9140625" style="276"/>
    <col min="15873" max="15873" width="4.58203125" style="276" customWidth="1"/>
    <col min="15874" max="15874" width="15.9140625" style="276" customWidth="1"/>
    <col min="15875" max="15875" width="8.33203125" style="276" customWidth="1"/>
    <col min="15876" max="15876" width="16.75" style="276" customWidth="1"/>
    <col min="15877" max="15877" width="6.58203125" style="276" bestFit="1" customWidth="1"/>
    <col min="15878" max="15878" width="8.58203125" style="276" bestFit="1" customWidth="1"/>
    <col min="15879" max="15879" width="6.75" style="276" bestFit="1" customWidth="1"/>
    <col min="15880" max="15880" width="6.08203125" style="276" bestFit="1" customWidth="1"/>
    <col min="15881" max="15881" width="9" style="276" bestFit="1" customWidth="1"/>
    <col min="15882" max="15882" width="1.25" style="276" customWidth="1"/>
    <col min="15883" max="15883" width="10" style="276" bestFit="1" customWidth="1"/>
    <col min="15884" max="15884" width="3.4140625" style="276" bestFit="1" customWidth="1"/>
    <col min="15885" max="15885" width="10.08203125" style="276" bestFit="1" customWidth="1"/>
    <col min="15886" max="15886" width="12.6640625" style="276" customWidth="1"/>
    <col min="15887" max="15887" width="1.25" style="276" customWidth="1"/>
    <col min="15888" max="15888" width="9.58203125" style="276" customWidth="1"/>
    <col min="15889" max="15889" width="1.25" style="276" customWidth="1"/>
    <col min="15890" max="15890" width="6" style="276" customWidth="1"/>
    <col min="15891" max="15891" width="5.9140625" style="276" bestFit="1" customWidth="1"/>
    <col min="15892" max="15892" width="0.33203125" style="276" customWidth="1"/>
    <col min="15893" max="15893" width="10.08203125" style="276" bestFit="1" customWidth="1"/>
    <col min="15894" max="15894" width="8.9140625" style="276"/>
    <col min="15895" max="15895" width="9" style="276" bestFit="1" customWidth="1"/>
    <col min="15896" max="15896" width="7" style="276" bestFit="1" customWidth="1"/>
    <col min="15897" max="15897" width="6.6640625" style="276" bestFit="1" customWidth="1"/>
    <col min="15898" max="15903" width="8.9140625" style="276"/>
    <col min="15904" max="15904" width="8.75" style="276" customWidth="1"/>
    <col min="15905" max="15905" width="3.33203125" style="276" customWidth="1"/>
    <col min="15906" max="15906" width="9.6640625" style="276" customWidth="1"/>
    <col min="15907" max="16128" width="8.9140625" style="276"/>
    <col min="16129" max="16129" width="4.58203125" style="276" customWidth="1"/>
    <col min="16130" max="16130" width="15.9140625" style="276" customWidth="1"/>
    <col min="16131" max="16131" width="8.33203125" style="276" customWidth="1"/>
    <col min="16132" max="16132" width="16.75" style="276" customWidth="1"/>
    <col min="16133" max="16133" width="6.58203125" style="276" bestFit="1" customWidth="1"/>
    <col min="16134" max="16134" width="8.58203125" style="276" bestFit="1" customWidth="1"/>
    <col min="16135" max="16135" width="6.75" style="276" bestFit="1" customWidth="1"/>
    <col min="16136" max="16136" width="6.08203125" style="276" bestFit="1" customWidth="1"/>
    <col min="16137" max="16137" width="9" style="276" bestFit="1" customWidth="1"/>
    <col min="16138" max="16138" width="1.25" style="276" customWidth="1"/>
    <col min="16139" max="16139" width="10" style="276" bestFit="1" customWidth="1"/>
    <col min="16140" max="16140" width="3.4140625" style="276" bestFit="1" customWidth="1"/>
    <col min="16141" max="16141" width="10.08203125" style="276" bestFit="1" customWidth="1"/>
    <col min="16142" max="16142" width="12.6640625" style="276" customWidth="1"/>
    <col min="16143" max="16143" width="1.25" style="276" customWidth="1"/>
    <col min="16144" max="16144" width="9.58203125" style="276" customWidth="1"/>
    <col min="16145" max="16145" width="1.25" style="276" customWidth="1"/>
    <col min="16146" max="16146" width="6" style="276" customWidth="1"/>
    <col min="16147" max="16147" width="5.9140625" style="276" bestFit="1" customWidth="1"/>
    <col min="16148" max="16148" width="0.33203125" style="276" customWidth="1"/>
    <col min="16149" max="16149" width="10.08203125" style="276" bestFit="1" customWidth="1"/>
    <col min="16150" max="16150" width="8.9140625" style="276"/>
    <col min="16151" max="16151" width="9" style="276" bestFit="1" customWidth="1"/>
    <col min="16152" max="16152" width="7" style="276" bestFit="1" customWidth="1"/>
    <col min="16153" max="16153" width="6.6640625" style="276" bestFit="1" customWidth="1"/>
    <col min="16154" max="16159" width="8.9140625" style="276"/>
    <col min="16160" max="16160" width="8.75" style="276" customWidth="1"/>
    <col min="16161" max="16161" width="3.33203125" style="276" customWidth="1"/>
    <col min="16162" max="16162" width="9.6640625" style="276" customWidth="1"/>
    <col min="16163" max="16384" width="8.9140625" style="276"/>
  </cols>
  <sheetData>
    <row r="1" spans="1:25" x14ac:dyDescent="0.25">
      <c r="B1" s="277" t="s">
        <v>1005</v>
      </c>
      <c r="C1" s="277"/>
      <c r="D1" s="277"/>
      <c r="E1" s="277"/>
      <c r="I1" s="279"/>
      <c r="J1" s="279"/>
      <c r="K1" s="279"/>
      <c r="L1" s="279"/>
      <c r="M1" s="279"/>
      <c r="N1" s="280"/>
      <c r="O1" s="280"/>
      <c r="P1" s="280"/>
      <c r="Q1" s="279"/>
      <c r="T1" s="283"/>
    </row>
    <row r="2" spans="1:25" x14ac:dyDescent="0.25">
      <c r="A2" s="288"/>
      <c r="B2" s="288" t="s">
        <v>1018</v>
      </c>
      <c r="C2" s="277"/>
      <c r="D2" s="277"/>
      <c r="E2" s="277"/>
      <c r="I2" s="279"/>
      <c r="J2" s="279"/>
      <c r="K2" s="279"/>
      <c r="L2" s="279"/>
      <c r="M2" s="279"/>
      <c r="N2" s="280"/>
      <c r="O2" s="280"/>
      <c r="P2" s="280"/>
      <c r="Q2" s="279"/>
      <c r="T2" s="283"/>
    </row>
    <row r="3" spans="1:25" x14ac:dyDescent="0.25">
      <c r="B3" s="289"/>
      <c r="C3" s="277"/>
      <c r="D3" s="277"/>
      <c r="E3" s="277"/>
      <c r="I3" s="279"/>
      <c r="J3" s="279"/>
      <c r="K3" s="279"/>
      <c r="L3" s="279"/>
      <c r="M3" s="279"/>
      <c r="N3" s="280"/>
      <c r="O3" s="280"/>
      <c r="P3" s="280"/>
      <c r="Q3" s="279"/>
      <c r="T3" s="283"/>
    </row>
    <row r="4" spans="1:25" x14ac:dyDescent="0.25">
      <c r="B4" s="289"/>
      <c r="C4" s="277"/>
      <c r="D4" s="277"/>
      <c r="E4" s="277"/>
      <c r="I4" s="279"/>
      <c r="J4" s="279"/>
      <c r="K4" s="279"/>
      <c r="L4" s="279"/>
      <c r="M4" s="290" t="s">
        <v>1019</v>
      </c>
      <c r="N4" s="280"/>
      <c r="O4" s="280"/>
      <c r="P4" s="280"/>
      <c r="Q4" s="279"/>
      <c r="R4" s="276"/>
      <c r="S4" s="291" t="s">
        <v>1020</v>
      </c>
      <c r="T4" s="283"/>
    </row>
    <row r="5" spans="1:25" x14ac:dyDescent="0.25">
      <c r="B5" s="289"/>
      <c r="C5" s="277"/>
      <c r="D5" s="277"/>
      <c r="E5" s="277"/>
      <c r="H5" s="292" t="s">
        <v>168</v>
      </c>
      <c r="I5" s="279"/>
      <c r="J5" s="279"/>
      <c r="K5" s="279"/>
      <c r="L5" s="279"/>
      <c r="M5" s="279"/>
      <c r="N5" s="280"/>
      <c r="O5" s="280"/>
      <c r="P5" s="280"/>
      <c r="Q5" s="279"/>
      <c r="T5" s="283"/>
    </row>
    <row r="6" spans="1:25" ht="41.25" customHeight="1" x14ac:dyDescent="0.25">
      <c r="B6" s="289"/>
      <c r="C6" s="277"/>
      <c r="D6" s="277"/>
      <c r="E6" s="277"/>
      <c r="G6" s="292" t="s">
        <v>1021</v>
      </c>
      <c r="H6" s="292" t="s">
        <v>1022</v>
      </c>
      <c r="I6" s="293" t="s">
        <v>1023</v>
      </c>
      <c r="J6" s="279"/>
      <c r="K6" s="290" t="s">
        <v>1024</v>
      </c>
      <c r="L6" s="290"/>
      <c r="M6" s="279"/>
      <c r="N6" s="280"/>
      <c r="O6" s="280"/>
      <c r="P6" s="280"/>
      <c r="Q6" s="280"/>
      <c r="R6" s="294" t="s">
        <v>489</v>
      </c>
      <c r="S6" s="295"/>
      <c r="T6" s="296"/>
      <c r="W6" s="297"/>
    </row>
    <row r="7" spans="1:25" x14ac:dyDescent="0.25">
      <c r="A7" s="298" t="s">
        <v>1025</v>
      </c>
      <c r="B7" s="289"/>
      <c r="C7" s="277"/>
      <c r="D7" s="277"/>
      <c r="E7" s="277"/>
      <c r="F7" s="278" t="s">
        <v>1026</v>
      </c>
      <c r="G7" s="292" t="s">
        <v>1022</v>
      </c>
      <c r="H7" s="292" t="s">
        <v>1027</v>
      </c>
      <c r="I7" s="290"/>
      <c r="J7" s="279"/>
      <c r="K7" s="290"/>
      <c r="L7" s="290"/>
      <c r="M7" s="290" t="s">
        <v>661</v>
      </c>
      <c r="N7" s="299" t="s">
        <v>482</v>
      </c>
      <c r="O7" s="300"/>
      <c r="P7" s="299" t="s">
        <v>1028</v>
      </c>
      <c r="Q7" s="300"/>
      <c r="R7" s="294" t="s">
        <v>1029</v>
      </c>
      <c r="S7" s="295"/>
      <c r="T7" s="301"/>
      <c r="U7" s="302"/>
      <c r="V7" s="303"/>
    </row>
    <row r="8" spans="1:25" x14ac:dyDescent="0.25">
      <c r="F8" s="278" t="s">
        <v>1030</v>
      </c>
      <c r="Q8" s="305"/>
      <c r="R8" s="306"/>
      <c r="S8" s="295"/>
      <c r="T8" s="283"/>
      <c r="V8" s="307"/>
      <c r="W8" s="308"/>
      <c r="X8" s="307"/>
      <c r="Y8" s="309"/>
    </row>
    <row r="9" spans="1:25" x14ac:dyDescent="0.25">
      <c r="A9" s="298" t="s">
        <v>1031</v>
      </c>
      <c r="B9" s="276" t="s">
        <v>1032</v>
      </c>
      <c r="C9" s="310" t="s">
        <v>1033</v>
      </c>
      <c r="D9" s="310"/>
      <c r="E9" s="292" t="s">
        <v>1034</v>
      </c>
      <c r="F9" s="311">
        <v>89</v>
      </c>
      <c r="G9" s="312">
        <f>SUMIF(NACHRI!$A$10:$A$41,U9,NACHRI!$W$10:$W$41)</f>
        <v>113</v>
      </c>
      <c r="H9" s="312">
        <f>SUMIF(NACHRI!$A$10:$A$41,U9,NACHRI!$X$10:$X$41)</f>
        <v>656</v>
      </c>
      <c r="I9" s="498">
        <f>SUMIF(NACHRI!$A$10:$A$41,U9,NACHRI!$L$10:$L$41)</f>
        <v>19023178.949999999</v>
      </c>
      <c r="J9" s="499"/>
      <c r="K9" s="498">
        <f>SUMIF(NACHRI!$A$45:$A$88,U9,NACHRI!$L$45:$L$88)</f>
        <v>22314693.120000001</v>
      </c>
      <c r="L9" s="499"/>
      <c r="M9" s="500">
        <f>SUM(I9:K9)</f>
        <v>41337872.07</v>
      </c>
      <c r="N9" s="316">
        <f>M9-P9</f>
        <v>36263120.361207955</v>
      </c>
      <c r="O9" s="316"/>
      <c r="P9" s="316">
        <f>SUMIF(NACHRI!$A$10:$A$88,U9,NACHRI!$U$10:$U$88)</f>
        <v>5074751.7087920438</v>
      </c>
      <c r="Q9" s="317"/>
      <c r="R9" s="318">
        <f>M9/$M$38</f>
        <v>1.4898352994633525E-2</v>
      </c>
      <c r="S9" s="319">
        <f>ROUND(R9,4)</f>
        <v>1.49E-2</v>
      </c>
      <c r="T9" s="320"/>
      <c r="U9" s="321" t="s">
        <v>344</v>
      </c>
      <c r="W9" s="322"/>
      <c r="X9" s="285"/>
      <c r="Y9" s="285"/>
    </row>
    <row r="10" spans="1:25" x14ac:dyDescent="0.25">
      <c r="C10" s="323"/>
      <c r="F10" s="311"/>
      <c r="G10" s="324"/>
      <c r="H10" s="324"/>
      <c r="I10" s="312"/>
      <c r="J10" s="314"/>
      <c r="K10" s="314"/>
      <c r="L10" s="314"/>
      <c r="M10" s="314"/>
      <c r="N10" s="317"/>
      <c r="O10" s="317"/>
      <c r="P10" s="317"/>
      <c r="Q10" s="317"/>
      <c r="R10" s="318"/>
      <c r="S10" s="319"/>
      <c r="T10" s="320"/>
      <c r="U10" s="321"/>
      <c r="W10" s="325"/>
      <c r="X10" s="285"/>
    </row>
    <row r="11" spans="1:25" x14ac:dyDescent="0.25">
      <c r="B11" s="323" t="s">
        <v>1035</v>
      </c>
      <c r="F11" s="311" t="s">
        <v>1036</v>
      </c>
      <c r="G11" s="312">
        <f t="shared" ref="G11:H11" si="0">SUM(G12:G13)</f>
        <v>5352</v>
      </c>
      <c r="H11" s="312">
        <f t="shared" si="0"/>
        <v>45656</v>
      </c>
      <c r="I11" s="313">
        <f>SUM(I12:I13)</f>
        <v>828248040.87</v>
      </c>
      <c r="J11" s="314"/>
      <c r="K11" s="313">
        <f>SUM(K12:K13)</f>
        <v>403402282.08999997</v>
      </c>
      <c r="L11" s="314"/>
      <c r="M11" s="313">
        <f>SUM(M12:M13)</f>
        <v>1231650322.96</v>
      </c>
      <c r="N11" s="326">
        <f>SUM(N12:N13)</f>
        <v>835295229.50947797</v>
      </c>
      <c r="O11" s="316"/>
      <c r="P11" s="326">
        <f>SUM(P12:P13)</f>
        <v>396355093.45052212</v>
      </c>
      <c r="Q11" s="317"/>
      <c r="R11" s="318"/>
      <c r="S11" s="319"/>
      <c r="T11" s="320"/>
      <c r="U11" s="321"/>
      <c r="W11" s="325"/>
      <c r="X11" s="285"/>
      <c r="Y11" s="285"/>
    </row>
    <row r="12" spans="1:25" x14ac:dyDescent="0.25">
      <c r="C12" s="310" t="s">
        <v>1037</v>
      </c>
      <c r="D12" s="310"/>
      <c r="E12" s="327" t="s">
        <v>1038</v>
      </c>
      <c r="F12" s="311" t="s">
        <v>1039</v>
      </c>
      <c r="G12" s="312">
        <f>SUMIF(NACHRI!$A$10:$A$41,U12,NACHRI!$W$10:$W$41)</f>
        <v>1107</v>
      </c>
      <c r="H12" s="312">
        <f>SUMIF(NACHRI!$A$10:$A$41,U12,NACHRI!$X$10:$X$41)</f>
        <v>8884</v>
      </c>
      <c r="I12" s="312">
        <f>SUMIF(NACHRI!$A$10:$A$41,U12,NACHRI!$L$10:$L$41)</f>
        <v>76748118.129999995</v>
      </c>
      <c r="J12" s="314"/>
      <c r="K12" s="312">
        <f>SUMIF(NACHRI!$A$45:$A$88,U12,NACHRI!$L$45:$L$88)</f>
        <v>41740628.390000001</v>
      </c>
      <c r="L12" s="314"/>
      <c r="M12" s="314">
        <f>SUM(I12:K12)</f>
        <v>118488746.52</v>
      </c>
      <c r="N12" s="317">
        <f>M12-P12</f>
        <v>47151799.272162646</v>
      </c>
      <c r="O12" s="317"/>
      <c r="P12" s="317">
        <f>SUMIF(NACHRI!$A$10:$A$88,U12,NACHRI!$U$10:$U$88)</f>
        <v>71336947.24783735</v>
      </c>
      <c r="Q12" s="317"/>
      <c r="R12" s="318">
        <f>M12/$M$38</f>
        <v>4.2703871369027986E-2</v>
      </c>
      <c r="S12" s="319">
        <f>ROUND(R12,4)</f>
        <v>4.2700000000000002E-2</v>
      </c>
      <c r="T12" s="320"/>
      <c r="U12" s="321" t="s">
        <v>1040</v>
      </c>
      <c r="W12" s="325"/>
      <c r="X12" s="285"/>
      <c r="Y12" s="328"/>
    </row>
    <row r="13" spans="1:25" x14ac:dyDescent="0.25">
      <c r="C13" s="329" t="s">
        <v>1041</v>
      </c>
      <c r="D13" s="310"/>
      <c r="E13" s="327" t="s">
        <v>1042</v>
      </c>
      <c r="F13" s="311" t="s">
        <v>1043</v>
      </c>
      <c r="G13" s="312">
        <f>SUMIF(NACHRI!$A$10:$A$41,U13,NACHRI!$W$10:$W$41)</f>
        <v>4245</v>
      </c>
      <c r="H13" s="312">
        <f>SUMIF(NACHRI!$A$10:$A$41,U13,NACHRI!$X$10:$X$41)</f>
        <v>36772</v>
      </c>
      <c r="I13" s="312">
        <f>SUMIF(NACHRI!$A$10:$A$41,U13,NACHRI!$L$10:$L$41)</f>
        <v>751499922.74000001</v>
      </c>
      <c r="J13" s="330"/>
      <c r="K13" s="312">
        <f>SUMIF(NACHRI!$A$45:$A$88,U13,NACHRI!$L$45:$L$88)</f>
        <v>361661653.69999999</v>
      </c>
      <c r="L13" s="312"/>
      <c r="M13" s="314">
        <f>SUM(I13:K13)</f>
        <v>1113161576.4400001</v>
      </c>
      <c r="N13" s="317">
        <f>M13-P13</f>
        <v>788143430.2373153</v>
      </c>
      <c r="O13" s="317"/>
      <c r="P13" s="317">
        <f>SUMIF(NACHRI!$A$10:$A$88,U13,NACHRI!$U$10:$U$88)</f>
        <v>325018146.20268476</v>
      </c>
      <c r="Q13" s="317"/>
      <c r="R13" s="318">
        <f>M13/$M$38</f>
        <v>0.40118838429280207</v>
      </c>
      <c r="S13" s="319">
        <f>ROUND(R13,4)</f>
        <v>0.4012</v>
      </c>
      <c r="T13" s="320"/>
      <c r="U13" s="321" t="s">
        <v>1044</v>
      </c>
      <c r="W13" s="325"/>
      <c r="X13" s="285"/>
      <c r="Y13" s="285"/>
    </row>
    <row r="14" spans="1:25" x14ac:dyDescent="0.25">
      <c r="C14" s="323"/>
      <c r="E14" s="292"/>
      <c r="F14" s="311"/>
      <c r="G14" s="324"/>
      <c r="H14" s="324"/>
      <c r="I14" s="312"/>
      <c r="J14" s="314"/>
      <c r="K14" s="312"/>
      <c r="L14" s="314"/>
      <c r="M14" s="314"/>
      <c r="N14" s="317"/>
      <c r="O14" s="317"/>
      <c r="P14" s="317"/>
      <c r="Q14" s="317"/>
      <c r="R14" s="318"/>
      <c r="S14" s="319"/>
      <c r="T14" s="320"/>
      <c r="U14" s="321"/>
      <c r="W14" s="325"/>
      <c r="X14" s="285"/>
      <c r="Y14" s="285"/>
    </row>
    <row r="15" spans="1:25" x14ac:dyDescent="0.25">
      <c r="B15" s="276" t="s">
        <v>1045</v>
      </c>
      <c r="C15" s="323"/>
      <c r="D15" s="276" t="s">
        <v>1046</v>
      </c>
      <c r="E15" s="292"/>
      <c r="F15" s="311" t="s">
        <v>1047</v>
      </c>
      <c r="G15" s="312">
        <f t="shared" ref="G15:H15" si="1">SUM(G16:G17)</f>
        <v>326</v>
      </c>
      <c r="H15" s="312">
        <f t="shared" si="1"/>
        <v>5114</v>
      </c>
      <c r="I15" s="313">
        <f>SUM(I16:I17)</f>
        <v>78153604.670000002</v>
      </c>
      <c r="J15" s="314"/>
      <c r="K15" s="313">
        <f>SUM(K16:K17)</f>
        <v>15730510.83</v>
      </c>
      <c r="L15" s="314"/>
      <c r="M15" s="315">
        <f>SUM(M16:M17)</f>
        <v>93884115.5</v>
      </c>
      <c r="N15" s="316">
        <f>SUM(N16:N17)</f>
        <v>69001202.581716955</v>
      </c>
      <c r="O15" s="316"/>
      <c r="P15" s="316">
        <f>SUM(P16:P17)</f>
        <v>24882912.918283038</v>
      </c>
      <c r="Q15" s="317"/>
      <c r="R15" s="318"/>
      <c r="S15" s="319"/>
      <c r="T15" s="320"/>
      <c r="U15" s="321"/>
      <c r="W15" s="325"/>
      <c r="X15" s="285"/>
      <c r="Y15" s="285"/>
    </row>
    <row r="16" spans="1:25" x14ac:dyDescent="0.25">
      <c r="C16" s="323"/>
      <c r="D16" s="276" t="s">
        <v>1048</v>
      </c>
      <c r="E16" s="292"/>
      <c r="F16" s="311" t="s">
        <v>1049</v>
      </c>
      <c r="G16" s="324"/>
      <c r="H16" s="324"/>
      <c r="I16" s="312"/>
      <c r="J16" s="314"/>
      <c r="K16" s="312"/>
      <c r="L16" s="314"/>
      <c r="M16" s="314"/>
      <c r="N16" s="317"/>
      <c r="O16" s="317"/>
      <c r="P16" s="317"/>
      <c r="Q16" s="317"/>
      <c r="R16" s="318"/>
      <c r="S16" s="319"/>
      <c r="T16" s="331"/>
      <c r="U16" s="321"/>
      <c r="V16" s="332"/>
      <c r="W16" s="333"/>
      <c r="X16" s="332"/>
      <c r="Y16" s="285"/>
    </row>
    <row r="17" spans="1:27" x14ac:dyDescent="0.25">
      <c r="C17" s="323"/>
      <c r="D17" s="310" t="s">
        <v>1050</v>
      </c>
      <c r="E17" s="334"/>
      <c r="F17" s="311" t="s">
        <v>1051</v>
      </c>
      <c r="G17" s="313">
        <f>SUMIF(NACHRI!$A$10:$A$41,U17,NACHRI!$W$10:$W$41)</f>
        <v>326</v>
      </c>
      <c r="H17" s="313">
        <f>SUMIF(NACHRI!$A$10:$A$41,U17,NACHRI!$X$10:$X$41)</f>
        <v>5114</v>
      </c>
      <c r="I17" s="313">
        <f>SUMIF(NACHRI!$A$10:$A$41,U17,NACHRI!$L$10:$L$41)</f>
        <v>78153604.670000002</v>
      </c>
      <c r="J17" s="314"/>
      <c r="K17" s="313">
        <f>SUMIF(NACHRI!$A$45:$A$88,U17,NACHRI!$L$45:$L$88)</f>
        <v>15730510.83</v>
      </c>
      <c r="L17" s="314"/>
      <c r="M17" s="313">
        <f>SUM(I17:K17)</f>
        <v>93884115.5</v>
      </c>
      <c r="N17" s="316">
        <f>M17-P17</f>
        <v>69001202.581716955</v>
      </c>
      <c r="O17" s="317"/>
      <c r="P17" s="316">
        <f>SUMIF(NACHRI!$A$10:$A$88,U17,NACHRI!$U$10:$U$88)</f>
        <v>24882912.918283038</v>
      </c>
      <c r="Q17" s="317"/>
      <c r="R17" s="335">
        <f>M17/$M$38</f>
        <v>3.3836252890313438E-2</v>
      </c>
      <c r="S17" s="336">
        <f>ROUND(R17,4)</f>
        <v>3.3799999999999997E-2</v>
      </c>
      <c r="T17" s="320"/>
      <c r="U17" s="321" t="s">
        <v>1052</v>
      </c>
      <c r="W17" s="325"/>
      <c r="X17" s="285"/>
      <c r="Y17" s="328"/>
    </row>
    <row r="18" spans="1:27" s="337" customFormat="1" ht="13.8" x14ac:dyDescent="0.3">
      <c r="B18" s="338" t="s">
        <v>1053</v>
      </c>
      <c r="E18" s="327"/>
      <c r="F18" s="311" t="s">
        <v>1054</v>
      </c>
      <c r="G18" s="339">
        <f>G11+G20+G15</f>
        <v>5678</v>
      </c>
      <c r="H18" s="339">
        <f>H11+H20+H15</f>
        <v>50770</v>
      </c>
      <c r="I18" s="498">
        <f>I11+I20+I15</f>
        <v>906401645.53999996</v>
      </c>
      <c r="J18" s="499"/>
      <c r="K18" s="498">
        <f>K11+K20+K15</f>
        <v>419132792.91999996</v>
      </c>
      <c r="L18" s="499"/>
      <c r="M18" s="498">
        <f>M11+M20+M15</f>
        <v>1325534438.46</v>
      </c>
      <c r="N18" s="326">
        <f>N11+N20+N15</f>
        <v>904296432.09119487</v>
      </c>
      <c r="O18" s="316"/>
      <c r="P18" s="326">
        <f>P11+P20+P15</f>
        <v>421238006.36880517</v>
      </c>
      <c r="Q18" s="317"/>
      <c r="R18" s="318">
        <f>SUM(R12:R17)</f>
        <v>0.47772850855214349</v>
      </c>
      <c r="S18" s="340">
        <f>SUM(S12:S17)</f>
        <v>0.47770000000000001</v>
      </c>
      <c r="T18" s="331"/>
      <c r="U18" s="321"/>
      <c r="V18" s="341"/>
      <c r="W18" s="342"/>
      <c r="X18" s="328"/>
      <c r="Y18" s="328"/>
      <c r="Z18" s="343"/>
      <c r="AA18" s="343"/>
    </row>
    <row r="19" spans="1:27" s="337" customFormat="1" x14ac:dyDescent="0.25">
      <c r="C19" s="344"/>
      <c r="E19" s="327"/>
      <c r="F19" s="311"/>
      <c r="G19" s="339"/>
      <c r="H19" s="339"/>
      <c r="I19" s="339"/>
      <c r="J19" s="317"/>
      <c r="K19" s="339"/>
      <c r="L19" s="317"/>
      <c r="M19" s="339"/>
      <c r="N19" s="317"/>
      <c r="O19" s="317"/>
      <c r="P19" s="317"/>
      <c r="Q19" s="317"/>
      <c r="R19" s="318"/>
      <c r="S19" s="319"/>
      <c r="T19" s="331"/>
      <c r="U19" s="321"/>
      <c r="V19" s="328"/>
      <c r="W19" s="342"/>
      <c r="X19" s="328"/>
      <c r="Y19" s="328"/>
      <c r="Z19" s="343"/>
      <c r="AA19" s="343"/>
    </row>
    <row r="20" spans="1:27" x14ac:dyDescent="0.25">
      <c r="B20" s="276" t="s">
        <v>1055</v>
      </c>
      <c r="C20" s="323"/>
      <c r="E20" s="292"/>
      <c r="F20" s="311">
        <v>92</v>
      </c>
      <c r="G20" s="339"/>
      <c r="H20" s="339"/>
      <c r="I20" s="312"/>
      <c r="J20" s="314"/>
      <c r="K20" s="312"/>
      <c r="L20" s="314"/>
      <c r="M20" s="314"/>
      <c r="N20" s="317"/>
      <c r="O20" s="317"/>
      <c r="P20" s="317"/>
      <c r="Q20" s="317"/>
      <c r="R20" s="318"/>
      <c r="S20" s="319"/>
      <c r="T20" s="320"/>
      <c r="U20" s="321"/>
      <c r="W20" s="325"/>
      <c r="X20" s="285"/>
      <c r="Y20" s="345"/>
    </row>
    <row r="21" spans="1:27" x14ac:dyDescent="0.25">
      <c r="C21" s="288" t="s">
        <v>1056</v>
      </c>
      <c r="E21" s="292"/>
      <c r="F21" s="311" t="s">
        <v>1057</v>
      </c>
      <c r="G21" s="339"/>
      <c r="H21" s="339"/>
      <c r="I21" s="312"/>
      <c r="J21" s="314"/>
      <c r="K21" s="312"/>
      <c r="L21" s="314"/>
      <c r="M21" s="314"/>
      <c r="N21" s="317"/>
      <c r="O21" s="317"/>
      <c r="P21" s="317"/>
      <c r="Q21" s="317"/>
      <c r="R21" s="318"/>
      <c r="S21" s="319"/>
      <c r="T21" s="320"/>
      <c r="U21" s="321"/>
      <c r="W21" s="325"/>
      <c r="X21" s="285"/>
      <c r="Y21" s="285"/>
    </row>
    <row r="22" spans="1:27" x14ac:dyDescent="0.25">
      <c r="C22" s="288" t="s">
        <v>1058</v>
      </c>
      <c r="E22" s="292"/>
      <c r="F22" s="311" t="s">
        <v>1059</v>
      </c>
      <c r="G22" s="339"/>
      <c r="H22" s="339"/>
      <c r="I22" s="312"/>
      <c r="J22" s="314"/>
      <c r="K22" s="312"/>
      <c r="L22" s="314"/>
      <c r="M22" s="314"/>
      <c r="N22" s="317"/>
      <c r="O22" s="317"/>
      <c r="P22" s="317"/>
      <c r="Q22" s="317"/>
      <c r="R22" s="318"/>
      <c r="S22" s="319"/>
      <c r="T22" s="320"/>
      <c r="U22" s="321"/>
      <c r="W22" s="325"/>
      <c r="X22" s="285"/>
      <c r="Y22" s="285"/>
    </row>
    <row r="23" spans="1:27" ht="13.8" x14ac:dyDescent="0.3">
      <c r="B23" s="338" t="s">
        <v>1060</v>
      </c>
      <c r="C23" s="323"/>
      <c r="E23" s="292"/>
      <c r="F23" s="311"/>
      <c r="G23" s="339"/>
      <c r="H23" s="339"/>
      <c r="I23" s="312"/>
      <c r="J23" s="314"/>
      <c r="K23" s="312"/>
      <c r="L23" s="314"/>
      <c r="M23" s="314"/>
      <c r="N23" s="317"/>
      <c r="O23" s="317"/>
      <c r="P23" s="317"/>
      <c r="Q23" s="317"/>
      <c r="R23" s="318"/>
      <c r="S23" s="319"/>
      <c r="T23" s="320"/>
      <c r="U23" s="321"/>
      <c r="W23" s="325"/>
      <c r="X23" s="285"/>
      <c r="Y23" s="285"/>
    </row>
    <row r="24" spans="1:27" x14ac:dyDescent="0.25">
      <c r="C24" s="323"/>
      <c r="E24" s="292"/>
      <c r="F24" s="311"/>
      <c r="G24" s="339"/>
      <c r="H24" s="339"/>
      <c r="I24" s="312"/>
      <c r="J24" s="314"/>
      <c r="K24" s="312"/>
      <c r="L24" s="314"/>
      <c r="M24" s="314"/>
      <c r="N24" s="317"/>
      <c r="O24" s="317"/>
      <c r="P24" s="317"/>
      <c r="Q24" s="317"/>
      <c r="R24" s="318"/>
      <c r="S24" s="319"/>
      <c r="T24" s="320"/>
      <c r="U24" s="321"/>
      <c r="W24" s="325"/>
      <c r="X24" s="285"/>
      <c r="Y24" s="285"/>
    </row>
    <row r="25" spans="1:27" x14ac:dyDescent="0.25">
      <c r="B25" s="310" t="s">
        <v>1061</v>
      </c>
      <c r="C25" s="323" t="s">
        <v>1062</v>
      </c>
      <c r="E25" s="346" t="s">
        <v>1063</v>
      </c>
      <c r="F25" s="311" t="s">
        <v>1064</v>
      </c>
      <c r="G25" s="312">
        <f t="shared" ref="G25:H25" si="2">SUM(G26:G27)</f>
        <v>387</v>
      </c>
      <c r="H25" s="312">
        <f t="shared" si="2"/>
        <v>3295</v>
      </c>
      <c r="I25" s="313">
        <f>SUM(I26:I27)</f>
        <v>76423914.040000007</v>
      </c>
      <c r="J25" s="314"/>
      <c r="K25" s="313">
        <f>SUM(K26:K27)</f>
        <v>30665970.969999999</v>
      </c>
      <c r="L25" s="314"/>
      <c r="M25" s="313">
        <f>SUM(M26:M27)</f>
        <v>107089885.01000001</v>
      </c>
      <c r="N25" s="326">
        <f>SUM(N26:N27)</f>
        <v>78502927.756712928</v>
      </c>
      <c r="O25" s="317"/>
      <c r="P25" s="326">
        <f>SUM(P26:P27)</f>
        <v>28586957.253287081</v>
      </c>
      <c r="Q25" s="317"/>
      <c r="R25" s="318"/>
      <c r="S25" s="319"/>
      <c r="T25" s="320"/>
      <c r="U25" s="321"/>
      <c r="W25" s="325"/>
      <c r="X25" s="285"/>
      <c r="Y25" s="285"/>
    </row>
    <row r="26" spans="1:27" ht="13.8" x14ac:dyDescent="0.3">
      <c r="B26" s="347" t="s">
        <v>1065</v>
      </c>
      <c r="D26" s="276" t="s">
        <v>1048</v>
      </c>
      <c r="F26" s="311" t="s">
        <v>1066</v>
      </c>
      <c r="G26" s="339" t="s">
        <v>744</v>
      </c>
      <c r="H26" s="339" t="s">
        <v>744</v>
      </c>
      <c r="I26" s="312" t="s">
        <v>744</v>
      </c>
      <c r="J26" s="314"/>
      <c r="K26" s="312" t="s">
        <v>744</v>
      </c>
      <c r="L26" s="314"/>
      <c r="M26" s="312" t="s">
        <v>744</v>
      </c>
      <c r="N26" s="339" t="s">
        <v>744</v>
      </c>
      <c r="O26" s="317"/>
      <c r="P26" s="317"/>
      <c r="Q26" s="317"/>
      <c r="R26" s="318"/>
      <c r="S26" s="319"/>
      <c r="T26" s="331"/>
      <c r="U26" s="321"/>
      <c r="V26" s="332"/>
      <c r="W26" s="325"/>
      <c r="X26" s="285"/>
      <c r="Y26" s="285"/>
    </row>
    <row r="27" spans="1:27" x14ac:dyDescent="0.25">
      <c r="C27" s="323"/>
      <c r="D27" s="310" t="s">
        <v>1050</v>
      </c>
      <c r="E27" s="310"/>
      <c r="F27" s="311" t="s">
        <v>1067</v>
      </c>
      <c r="G27" s="312">
        <f>SUMIF(NACHRI!$A$10:$A$41,U27,NACHRI!$W$10:$W$41)</f>
        <v>387</v>
      </c>
      <c r="H27" s="312">
        <f>SUMIF(NACHRI!$A$10:$A$41,U27,NACHRI!$X$10:$X$41)</f>
        <v>3295</v>
      </c>
      <c r="I27" s="312">
        <f>SUMIF(NACHRI!$A$10:$A$41,U27,NACHRI!$L$10:$L$41)</f>
        <v>76423914.040000007</v>
      </c>
      <c r="J27" s="314"/>
      <c r="K27" s="312">
        <f>SUMIF(NACHRI!$A$45:$A$88,U27,NACHRI!$L$45:$L$88)</f>
        <v>30665970.969999999</v>
      </c>
      <c r="L27" s="314"/>
      <c r="M27" s="314">
        <f>SUM(I27:K27)</f>
        <v>107089885.01000001</v>
      </c>
      <c r="N27" s="317">
        <f>M27-P27</f>
        <v>78502927.756712928</v>
      </c>
      <c r="O27" s="317"/>
      <c r="P27" s="317">
        <f>SUMIF(NACHRI!$A$10:$A$88,U27,NACHRI!$U$10:$U$88)</f>
        <v>28586957.253287081</v>
      </c>
      <c r="Q27" s="317"/>
      <c r="R27" s="318">
        <f>M27/$M$38</f>
        <v>3.8595670970484316E-2</v>
      </c>
      <c r="S27" s="319">
        <f>ROUND(R27,4)</f>
        <v>3.8600000000000002E-2</v>
      </c>
      <c r="T27" s="320"/>
      <c r="U27" s="321" t="s">
        <v>1061</v>
      </c>
      <c r="W27" s="325"/>
      <c r="X27" s="285"/>
      <c r="Y27" s="345"/>
    </row>
    <row r="28" spans="1:27" x14ac:dyDescent="0.25">
      <c r="C28" s="323"/>
      <c r="F28" s="311"/>
      <c r="G28" s="339"/>
      <c r="H28" s="339"/>
      <c r="I28" s="312"/>
      <c r="J28" s="314"/>
      <c r="K28" s="312"/>
      <c r="L28" s="314"/>
      <c r="M28" s="314"/>
      <c r="N28" s="317"/>
      <c r="O28" s="317"/>
      <c r="P28" s="317"/>
      <c r="Q28" s="317"/>
      <c r="R28" s="318"/>
      <c r="S28" s="319"/>
      <c r="T28" s="320"/>
      <c r="U28" s="321"/>
      <c r="W28" s="325"/>
      <c r="X28" s="285"/>
      <c r="Y28" s="285"/>
    </row>
    <row r="29" spans="1:27" x14ac:dyDescent="0.25">
      <c r="B29" s="310" t="s">
        <v>1068</v>
      </c>
      <c r="C29" s="323"/>
      <c r="F29" s="311" t="s">
        <v>1069</v>
      </c>
      <c r="G29" s="312">
        <f>SUMIF(NACHRI!$A$10:$A$41,U29,NACHRI!$W$10:$W$41)</f>
        <v>11</v>
      </c>
      <c r="H29" s="312">
        <f>SUMIF(NACHRI!$A$10:$A$41,U29,NACHRI!$X$10:$X$41)</f>
        <v>183</v>
      </c>
      <c r="I29" s="313">
        <f>SUMIF(NACHRI!$A$10:$A$41,U29,NACHRI!$L$10:$L$41)</f>
        <v>631278.44999999995</v>
      </c>
      <c r="J29" s="314"/>
      <c r="K29" s="313">
        <f>SUMIF(NACHRI!$A$45:$A$88,U29,NACHRI!$L$45:$L$88)</f>
        <v>1406552.74</v>
      </c>
      <c r="L29" s="314"/>
      <c r="M29" s="315">
        <f>SUM(I29:K29)</f>
        <v>2037831.19</v>
      </c>
      <c r="N29" s="316">
        <f>M29-P29</f>
        <v>1228519.5365401101</v>
      </c>
      <c r="O29" s="317"/>
      <c r="P29" s="316">
        <f>SUMIF(NACHRI!$A$10:$A$88,U29,NACHRI!$U$10:$U$88)</f>
        <v>809311.6534598897</v>
      </c>
      <c r="Q29" s="317"/>
      <c r="R29" s="318">
        <f>M29/$M$38</f>
        <v>7.34443426615745E-4</v>
      </c>
      <c r="S29" s="319">
        <f>ROUND(R29,4)</f>
        <v>6.9999999999999999E-4</v>
      </c>
      <c r="T29" s="320"/>
      <c r="U29" s="321" t="s">
        <v>1070</v>
      </c>
      <c r="W29" s="325"/>
      <c r="X29" s="285"/>
      <c r="Y29" s="345"/>
    </row>
    <row r="30" spans="1:27" x14ac:dyDescent="0.25">
      <c r="F30" s="311"/>
      <c r="G30" s="339"/>
      <c r="H30" s="339"/>
      <c r="I30" s="312"/>
      <c r="J30" s="314"/>
      <c r="K30" s="312"/>
      <c r="L30" s="314"/>
      <c r="M30" s="314"/>
      <c r="N30" s="317"/>
      <c r="O30" s="317"/>
      <c r="P30" s="317"/>
      <c r="Q30" s="317"/>
      <c r="R30" s="318"/>
      <c r="S30" s="319"/>
      <c r="T30" s="320"/>
      <c r="U30" s="321"/>
      <c r="W30" s="325"/>
      <c r="X30" s="285"/>
      <c r="Y30" s="285"/>
    </row>
    <row r="31" spans="1:27" x14ac:dyDescent="0.25">
      <c r="A31" s="276" t="s">
        <v>1071</v>
      </c>
      <c r="B31" s="276" t="s">
        <v>1072</v>
      </c>
      <c r="F31" s="311"/>
      <c r="G31" s="339"/>
      <c r="H31" s="339"/>
      <c r="I31" s="312"/>
      <c r="J31" s="314"/>
      <c r="K31" s="312"/>
      <c r="L31" s="314"/>
      <c r="M31" s="314"/>
      <c r="N31" s="317"/>
      <c r="O31" s="317"/>
      <c r="P31" s="317"/>
      <c r="Q31" s="317"/>
      <c r="R31" s="318"/>
      <c r="S31" s="319"/>
      <c r="T31" s="320"/>
      <c r="U31" s="321"/>
      <c r="W31" s="325"/>
      <c r="X31" s="285"/>
    </row>
    <row r="32" spans="1:27" x14ac:dyDescent="0.25">
      <c r="C32" s="310" t="s">
        <v>1073</v>
      </c>
      <c r="D32" s="310"/>
      <c r="E32" s="346" t="s">
        <v>1074</v>
      </c>
      <c r="F32" s="311" t="s">
        <v>1075</v>
      </c>
      <c r="G32" s="312">
        <f>SUMIF(NACHRI!$A$10:$A$41,U32,NACHRI!$W$10:$W$41)</f>
        <v>41</v>
      </c>
      <c r="H32" s="312">
        <f>SUMIF(NACHRI!$A$10:$A$41,U32,NACHRI!$X$10:$X$41)</f>
        <v>152</v>
      </c>
      <c r="I32" s="313">
        <f>SUMIF(NACHRI!$A$10:$A$41,U32,NACHRI!$L$10:$L$41)</f>
        <v>1342706.8599999999</v>
      </c>
      <c r="J32" s="314"/>
      <c r="K32" s="313">
        <f>SUMIF(NACHRI!$A$45:$A$88,U32,NACHRI!$L$45:$L$88)</f>
        <v>10292593.810000001</v>
      </c>
      <c r="L32" s="314"/>
      <c r="M32" s="315">
        <f>SUM(I32:K32)</f>
        <v>11635300.67</v>
      </c>
      <c r="N32" s="316">
        <f>M32-P32</f>
        <v>6735548.0581669947</v>
      </c>
      <c r="O32" s="317"/>
      <c r="P32" s="316">
        <f>SUMIF(NACHRI!$A$10:$A$88,U32,NACHRI!$U$10:$U$88)</f>
        <v>4899752.6118330052</v>
      </c>
      <c r="Q32" s="317"/>
      <c r="R32" s="318">
        <f>(M32/$M$38)</f>
        <v>4.1934141236592195E-3</v>
      </c>
      <c r="S32" s="319">
        <f>ROUND(R32,4)</f>
        <v>4.1999999999999997E-3</v>
      </c>
      <c r="T32" s="320"/>
      <c r="U32" s="321" t="s">
        <v>1076</v>
      </c>
      <c r="W32" s="325"/>
      <c r="X32" s="285"/>
      <c r="Y32" s="285"/>
    </row>
    <row r="33" spans="1:25" x14ac:dyDescent="0.25">
      <c r="E33" s="346"/>
      <c r="F33" s="311"/>
      <c r="G33" s="339"/>
      <c r="H33" s="339"/>
      <c r="I33" s="312"/>
      <c r="J33" s="314"/>
      <c r="K33" s="312"/>
      <c r="L33" s="314"/>
      <c r="M33" s="314"/>
      <c r="N33" s="317"/>
      <c r="O33" s="317"/>
      <c r="P33" s="317"/>
      <c r="Q33" s="317"/>
      <c r="R33" s="318"/>
      <c r="S33" s="319"/>
      <c r="T33" s="320"/>
      <c r="U33" s="321"/>
      <c r="W33" s="325"/>
      <c r="X33" s="285"/>
      <c r="Y33" s="285"/>
    </row>
    <row r="34" spans="1:25" x14ac:dyDescent="0.25">
      <c r="C34" s="276" t="s">
        <v>1077</v>
      </c>
      <c r="E34" s="346"/>
      <c r="F34" s="311" t="s">
        <v>1078</v>
      </c>
      <c r="G34" s="312">
        <f t="shared" ref="G34:H34" si="3">SUM(G35:G36)</f>
        <v>5915</v>
      </c>
      <c r="H34" s="312">
        <f t="shared" si="3"/>
        <v>41100</v>
      </c>
      <c r="I34" s="313">
        <f>SUM(I35:I36)</f>
        <v>750435515.16999996</v>
      </c>
      <c r="J34" s="330"/>
      <c r="K34" s="313">
        <f>SUM(K35:K36)</f>
        <v>536589691.04000002</v>
      </c>
      <c r="L34" s="330"/>
      <c r="M34" s="313">
        <f>SUM(M35:M36)</f>
        <v>1287025206.21</v>
      </c>
      <c r="N34" s="326">
        <f>SUM(N35:N36)</f>
        <v>315246516.74617732</v>
      </c>
      <c r="O34" s="317"/>
      <c r="P34" s="326">
        <f>SUM(P35:P36)</f>
        <v>971778689.46382272</v>
      </c>
      <c r="Q34" s="317"/>
      <c r="R34" s="318"/>
      <c r="S34" s="319"/>
      <c r="T34" s="320"/>
      <c r="U34" s="321"/>
      <c r="W34" s="325"/>
      <c r="X34" s="285"/>
      <c r="Y34" s="285"/>
    </row>
    <row r="35" spans="1:25" x14ac:dyDescent="0.25">
      <c r="C35" s="310" t="s">
        <v>1079</v>
      </c>
      <c r="D35" s="310"/>
      <c r="E35" s="346" t="s">
        <v>1080</v>
      </c>
      <c r="F35" s="311" t="s">
        <v>1081</v>
      </c>
      <c r="G35" s="312">
        <f>SUMIF(NACHRI!$A$10:$A$41,U35,NACHRI!$W$10:$W$41)</f>
        <v>5847</v>
      </c>
      <c r="H35" s="312">
        <f>SUMIF(NACHRI!$A$10:$A$41,U35,NACHRI!$X$10:$X$41)</f>
        <v>40340</v>
      </c>
      <c r="I35" s="348">
        <f>SUMIF(NACHRI!$A$10:$A$41,U35,NACHRI!$L$10:$L$41)</f>
        <v>746682343.00999999</v>
      </c>
      <c r="J35" s="314"/>
      <c r="K35" s="312">
        <f>SUMIF(NACHRI!$A$45:$A$88,U35,NACHRI!$L$45:$L$88)</f>
        <v>533978754</v>
      </c>
      <c r="L35" s="314"/>
      <c r="M35" s="314">
        <f>SUM(I35:K35)</f>
        <v>1280661097.01</v>
      </c>
      <c r="N35" s="317">
        <f>M35-P35</f>
        <v>312187932.24227571</v>
      </c>
      <c r="O35" s="317"/>
      <c r="P35" s="317">
        <f>SUMIF(NACHRI!$A$10:$A$88,U35,NACHRI!$U$10:$U$88)</f>
        <v>968473164.76772428</v>
      </c>
      <c r="Q35" s="317"/>
      <c r="R35" s="318">
        <f>M35/$M$38</f>
        <v>0.46155595666464572</v>
      </c>
      <c r="S35" s="319">
        <f>ROUND(R35,4)</f>
        <v>0.46160000000000001</v>
      </c>
      <c r="T35" s="320"/>
      <c r="U35" s="321" t="s">
        <v>1082</v>
      </c>
      <c r="W35" s="325"/>
      <c r="X35" s="285"/>
      <c r="Y35" s="285"/>
    </row>
    <row r="36" spans="1:25" x14ac:dyDescent="0.25">
      <c r="C36" s="310" t="s">
        <v>1083</v>
      </c>
      <c r="D36" s="310"/>
      <c r="E36" s="346" t="s">
        <v>1080</v>
      </c>
      <c r="F36" s="311" t="s">
        <v>1084</v>
      </c>
      <c r="G36" s="313">
        <f>SUMIF(NACHRI!$A$10:$A$41,U36,NACHRI!$W$10:$W$41)</f>
        <v>68</v>
      </c>
      <c r="H36" s="313">
        <f>SUMIF(NACHRI!$A$10:$A$41,U36,NACHRI!$X$10:$X$41)</f>
        <v>760</v>
      </c>
      <c r="I36" s="313">
        <f>SUMIF(NACHRI!$A$10:$A$41,U36,NACHRI!$L$10:$L$41)</f>
        <v>3753172.16</v>
      </c>
      <c r="J36" s="330"/>
      <c r="K36" s="313">
        <f>SUMIF(NACHRI!$A$45:$A$90,U36,NACHRI!$L$45:$L$90)</f>
        <v>2610937.0400000005</v>
      </c>
      <c r="L36" s="330"/>
      <c r="M36" s="315">
        <f>SUM(I36:K36)</f>
        <v>6364109.2000000011</v>
      </c>
      <c r="N36" s="316">
        <f>M36-P36</f>
        <v>3058584.503901592</v>
      </c>
      <c r="O36" s="349"/>
      <c r="P36" s="316">
        <f>SUMIF(NACHRI!$A$10:$A$90,U36,NACHRI!$U$10:$U$90)</f>
        <v>3305524.6960984091</v>
      </c>
      <c r="Q36" s="349"/>
      <c r="R36" s="335">
        <f>M36/$M$38</f>
        <v>2.2936532678179238E-3</v>
      </c>
      <c r="S36" s="336">
        <f>ROUND(R36,4)</f>
        <v>2.3E-3</v>
      </c>
      <c r="T36" s="320"/>
      <c r="U36" s="321" t="s">
        <v>1085</v>
      </c>
      <c r="W36" s="325"/>
      <c r="X36" s="285"/>
      <c r="Y36" s="285"/>
    </row>
    <row r="37" spans="1:25" x14ac:dyDescent="0.25">
      <c r="B37" s="276" t="s">
        <v>1086</v>
      </c>
      <c r="E37" s="346"/>
      <c r="G37" s="348"/>
      <c r="H37" s="348"/>
      <c r="I37" s="348"/>
      <c r="J37" s="330"/>
      <c r="K37" s="348"/>
      <c r="L37" s="330"/>
      <c r="M37" s="330"/>
      <c r="N37" s="349"/>
      <c r="O37" s="349"/>
      <c r="P37" s="349"/>
      <c r="Q37" s="349"/>
      <c r="R37" s="350"/>
      <c r="S37" s="351"/>
      <c r="T37" s="320"/>
      <c r="V37" s="328"/>
      <c r="W37" s="325"/>
      <c r="X37" s="285"/>
      <c r="Y37" s="285"/>
    </row>
    <row r="38" spans="1:25" ht="13.8" thickBot="1" x14ac:dyDescent="0.3">
      <c r="B38" s="276" t="s">
        <v>1087</v>
      </c>
      <c r="G38" s="352">
        <f>G9+G18+G25+G29+G32+G34</f>
        <v>12145</v>
      </c>
      <c r="H38" s="352">
        <f>H9+H18+H25+H29+H32+H34</f>
        <v>96156</v>
      </c>
      <c r="I38" s="352">
        <f>I9+I18+I25+I29+I32+I34</f>
        <v>1754258239.01</v>
      </c>
      <c r="J38" s="314"/>
      <c r="K38" s="352">
        <f>K9+K18+K25+K29+K32+K34</f>
        <v>1020402294.6</v>
      </c>
      <c r="L38" s="330"/>
      <c r="M38" s="353">
        <f>M9+M18+M25+M29+M32+M34</f>
        <v>2774660533.6100001</v>
      </c>
      <c r="N38" s="353">
        <f>N9+N18+N25+N29+N32+N34</f>
        <v>1342273064.5500002</v>
      </c>
      <c r="O38" s="349"/>
      <c r="P38" s="353">
        <f>P9+P18+P25+P29+P32+P34</f>
        <v>1432387469.0599999</v>
      </c>
      <c r="Q38" s="330"/>
      <c r="R38" s="354">
        <f>SUM(R9:R36)-R18</f>
        <v>0.99999999999999978</v>
      </c>
      <c r="S38" s="354">
        <f>SUM(S9:S36)-S18</f>
        <v>0.99999999999999978</v>
      </c>
      <c r="T38" s="331"/>
      <c r="W38" s="325"/>
      <c r="X38" s="285"/>
      <c r="Y38" s="285"/>
    </row>
    <row r="39" spans="1:25" ht="13.8" thickTop="1" x14ac:dyDescent="0.25">
      <c r="G39" s="355"/>
      <c r="H39" s="355"/>
      <c r="S39" s="356"/>
      <c r="T39" s="285"/>
      <c r="W39" s="325"/>
      <c r="Y39" s="357"/>
    </row>
    <row r="40" spans="1:25" x14ac:dyDescent="0.25">
      <c r="G40" s="355"/>
      <c r="H40" s="355"/>
      <c r="I40" s="304">
        <f>I38-NACHRI!L42</f>
        <v>0</v>
      </c>
      <c r="K40" s="304">
        <f>K38-NACHRI!L92</f>
        <v>0</v>
      </c>
      <c r="R40" s="358"/>
      <c r="T40" s="285"/>
      <c r="W40" s="325"/>
      <c r="Y40" s="285"/>
    </row>
    <row r="41" spans="1:25" x14ac:dyDescent="0.25">
      <c r="G41" s="355"/>
      <c r="H41" s="355"/>
      <c r="K41" s="355"/>
      <c r="M41" s="285"/>
      <c r="T41" s="285"/>
      <c r="W41" s="325"/>
    </row>
    <row r="42" spans="1:25" x14ac:dyDescent="0.25">
      <c r="G42" s="355"/>
      <c r="H42" s="355"/>
      <c r="K42" s="355"/>
      <c r="T42" s="304"/>
      <c r="W42" s="325"/>
    </row>
    <row r="43" spans="1:25" x14ac:dyDescent="0.25">
      <c r="G43" s="355"/>
      <c r="H43" s="355"/>
      <c r="T43" s="304"/>
      <c r="W43" s="325"/>
    </row>
    <row r="44" spans="1:25" x14ac:dyDescent="0.25">
      <c r="G44" s="355"/>
      <c r="H44" s="355"/>
      <c r="T44" s="304"/>
      <c r="W44" s="325"/>
    </row>
    <row r="45" spans="1:25" x14ac:dyDescent="0.25">
      <c r="A45" s="276" t="str">
        <f ca="1">CELL("filename",A1)</f>
        <v>S:\HSQA\CHS\CHSShare\Charity Care and Hospital Financial\YearEnd\YearEnd_2019\[YE014-2019 (2).xlsx]NACHRI 19</v>
      </c>
      <c r="G45" s="355"/>
      <c r="H45" s="355"/>
      <c r="T45" s="304"/>
      <c r="W45" s="325"/>
    </row>
    <row r="46" spans="1:25" x14ac:dyDescent="0.25">
      <c r="G46" s="355"/>
      <c r="H46" s="355"/>
      <c r="T46" s="304"/>
      <c r="W46" s="325"/>
    </row>
    <row r="47" spans="1:25" x14ac:dyDescent="0.25">
      <c r="G47" s="355"/>
      <c r="H47" s="355"/>
      <c r="T47" s="304"/>
      <c r="W47" s="325"/>
    </row>
    <row r="48" spans="1:25" x14ac:dyDescent="0.25">
      <c r="G48" s="355"/>
      <c r="H48" s="355"/>
      <c r="T48" s="304"/>
    </row>
    <row r="49" spans="7:20" x14ac:dyDescent="0.25">
      <c r="G49" s="355"/>
      <c r="H49" s="355"/>
      <c r="T49" s="304"/>
    </row>
    <row r="50" spans="7:20" x14ac:dyDescent="0.25">
      <c r="G50" s="355"/>
      <c r="H50" s="355"/>
      <c r="T50" s="304"/>
    </row>
    <row r="51" spans="7:20" x14ac:dyDescent="0.25">
      <c r="G51" s="355"/>
      <c r="H51" s="355"/>
      <c r="T51" s="304"/>
    </row>
    <row r="52" spans="7:20" x14ac:dyDescent="0.25">
      <c r="G52" s="355"/>
      <c r="H52" s="355"/>
      <c r="T52" s="304"/>
    </row>
    <row r="53" spans="7:20" x14ac:dyDescent="0.25">
      <c r="G53" s="355"/>
      <c r="H53" s="355"/>
      <c r="T53" s="304"/>
    </row>
    <row r="54" spans="7:20" x14ac:dyDescent="0.25">
      <c r="G54" s="355"/>
      <c r="H54" s="355"/>
      <c r="T54" s="304"/>
    </row>
    <row r="55" spans="7:20" x14ac:dyDescent="0.25">
      <c r="G55" s="355"/>
      <c r="H55" s="355"/>
      <c r="T55" s="304"/>
    </row>
    <row r="56" spans="7:20" x14ac:dyDescent="0.25">
      <c r="G56" s="355"/>
      <c r="H56" s="355"/>
      <c r="T56" s="304"/>
    </row>
    <row r="57" spans="7:20" x14ac:dyDescent="0.25">
      <c r="G57" s="355"/>
      <c r="H57" s="355"/>
      <c r="T57" s="304"/>
    </row>
    <row r="58" spans="7:20" x14ac:dyDescent="0.25">
      <c r="G58" s="355"/>
      <c r="H58" s="355"/>
      <c r="T58" s="304"/>
    </row>
    <row r="59" spans="7:20" x14ac:dyDescent="0.25">
      <c r="G59" s="355"/>
      <c r="H59" s="355"/>
      <c r="T59" s="304"/>
    </row>
    <row r="60" spans="7:20" x14ac:dyDescent="0.25">
      <c r="G60" s="355"/>
      <c r="H60" s="355"/>
      <c r="T60" s="304"/>
    </row>
    <row r="61" spans="7:20" x14ac:dyDescent="0.25">
      <c r="G61" s="355"/>
      <c r="H61" s="355"/>
      <c r="T61" s="304"/>
    </row>
    <row r="62" spans="7:20" x14ac:dyDescent="0.25">
      <c r="G62" s="355"/>
      <c r="H62" s="355"/>
      <c r="T62" s="304"/>
    </row>
    <row r="63" spans="7:20" x14ac:dyDescent="0.25">
      <c r="G63" s="355"/>
      <c r="H63" s="355"/>
      <c r="T63" s="304"/>
    </row>
    <row r="64" spans="7:20" x14ac:dyDescent="0.25">
      <c r="G64" s="355"/>
      <c r="H64" s="355"/>
      <c r="T64" s="304"/>
    </row>
    <row r="65" spans="7:20" x14ac:dyDescent="0.25">
      <c r="G65" s="355"/>
      <c r="H65" s="355"/>
      <c r="T65" s="304"/>
    </row>
    <row r="66" spans="7:20" x14ac:dyDescent="0.25">
      <c r="G66" s="355"/>
      <c r="H66" s="355"/>
      <c r="T66" s="304"/>
    </row>
    <row r="67" spans="7:20" x14ac:dyDescent="0.25">
      <c r="T67" s="304"/>
    </row>
    <row r="68" spans="7:20" x14ac:dyDescent="0.25">
      <c r="T68" s="304"/>
    </row>
    <row r="69" spans="7:20" x14ac:dyDescent="0.25">
      <c r="T69" s="304"/>
    </row>
    <row r="70" spans="7:20" x14ac:dyDescent="0.25">
      <c r="T70" s="304"/>
    </row>
    <row r="71" spans="7:20" x14ac:dyDescent="0.25">
      <c r="T71" s="304"/>
    </row>
    <row r="72" spans="7:20" x14ac:dyDescent="0.25">
      <c r="T72" s="304"/>
    </row>
    <row r="73" spans="7:20" x14ac:dyDescent="0.25">
      <c r="T73" s="304"/>
    </row>
    <row r="74" spans="7:20" x14ac:dyDescent="0.25">
      <c r="T74" s="304"/>
    </row>
    <row r="75" spans="7:20" x14ac:dyDescent="0.25">
      <c r="T75" s="304"/>
    </row>
    <row r="76" spans="7:20" x14ac:dyDescent="0.25">
      <c r="T76" s="304"/>
    </row>
    <row r="77" spans="7:20" x14ac:dyDescent="0.25">
      <c r="T77" s="304"/>
    </row>
    <row r="78" spans="7:20" x14ac:dyDescent="0.25">
      <c r="T78" s="304"/>
    </row>
    <row r="79" spans="7:20" x14ac:dyDescent="0.25">
      <c r="T79" s="304"/>
    </row>
    <row r="80" spans="7:20" x14ac:dyDescent="0.25">
      <c r="T80" s="304"/>
    </row>
    <row r="81" spans="20:20" x14ac:dyDescent="0.25">
      <c r="T81" s="304"/>
    </row>
    <row r="82" spans="20:20" x14ac:dyDescent="0.25">
      <c r="T82" s="304"/>
    </row>
    <row r="83" spans="20:20" x14ac:dyDescent="0.25">
      <c r="T83" s="304"/>
    </row>
    <row r="84" spans="20:20" x14ac:dyDescent="0.25">
      <c r="T84" s="304"/>
    </row>
    <row r="85" spans="20:20" x14ac:dyDescent="0.25">
      <c r="T85" s="304"/>
    </row>
    <row r="86" spans="20:20" x14ac:dyDescent="0.25">
      <c r="T86" s="304"/>
    </row>
    <row r="87" spans="20:20" x14ac:dyDescent="0.25">
      <c r="T87" s="304"/>
    </row>
    <row r="88" spans="20:20" x14ac:dyDescent="0.25">
      <c r="T88" s="304"/>
    </row>
    <row r="89" spans="20:20" x14ac:dyDescent="0.25">
      <c r="T89" s="304"/>
    </row>
    <row r="90" spans="20:20" x14ac:dyDescent="0.25">
      <c r="T90" s="304"/>
    </row>
    <row r="91" spans="20:20" x14ac:dyDescent="0.25">
      <c r="T91" s="304"/>
    </row>
    <row r="92" spans="20:20" x14ac:dyDescent="0.25">
      <c r="T92" s="304"/>
    </row>
    <row r="93" spans="20:20" x14ac:dyDescent="0.25">
      <c r="T93" s="304"/>
    </row>
    <row r="94" spans="20:20" x14ac:dyDescent="0.25">
      <c r="T94" s="304"/>
    </row>
  </sheetData>
  <printOptions horizontalCentered="1" gridLines="1" gridLinesSet="0"/>
  <pageMargins left="0.25" right="0.25" top="0.75" bottom="0.75" header="0.5" footer="0.25"/>
  <pageSetup paperSize="5" scale="96" fitToHeight="0" orientation="landscape" r:id="rId1"/>
  <headerFooter alignWithMargins="0">
    <oddFooter>&amp;L&amp;"Times New Roman,Bold"&amp;12&amp;Z&amp;F&amp;C&amp;"Times New Roman,Bold"&amp;12&amp;D; &amp;T&amp;R&amp;"Times New Roman,Bold"&amp;12Page &amp;P of &amp;N</oddFooter>
  </headerFooter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1"/>
  </sheetPr>
  <dimension ref="A1:BP186"/>
  <sheetViews>
    <sheetView topLeftCell="A6" zoomScaleNormal="100" workbookViewId="0">
      <pane xSplit="3" ySplit="4" topLeftCell="D10" activePane="bottomRight" state="frozen"/>
      <selection activeCell="G30" sqref="G30"/>
      <selection pane="topRight" activeCell="G30" sqref="G30"/>
      <selection pane="bottomLeft" activeCell="G30" sqref="G30"/>
      <selection pane="bottomRight" activeCell="G30" sqref="G30"/>
    </sheetView>
  </sheetViews>
  <sheetFormatPr defaultColWidth="7.08203125" defaultRowHeight="13.2" x14ac:dyDescent="0.25"/>
  <cols>
    <col min="1" max="1" width="14.6640625" style="359" customWidth="1"/>
    <col min="2" max="2" width="22.25" style="583" customWidth="1"/>
    <col min="3" max="3" width="21.58203125" style="360" customWidth="1"/>
    <col min="4" max="8" width="13.58203125" style="360" customWidth="1"/>
    <col min="9" max="9" width="13.6640625" style="585" customWidth="1"/>
    <col min="10" max="10" width="13.33203125" style="583" customWidth="1"/>
    <col min="11" max="11" width="8.4140625" style="583" customWidth="1"/>
    <col min="12" max="12" width="12.9140625" style="583" bestFit="1" customWidth="1"/>
    <col min="13" max="13" width="8" style="583" customWidth="1"/>
    <col min="14" max="14" width="10" style="583" bestFit="1" customWidth="1"/>
    <col min="15" max="15" width="10.9140625" style="583" customWidth="1"/>
    <col min="16" max="16" width="11.6640625" style="583" customWidth="1"/>
    <col min="17" max="17" width="10.75" style="583" customWidth="1"/>
    <col min="18" max="18" width="9.08203125" style="583" customWidth="1"/>
    <col min="19" max="19" width="15.6640625" style="584" bestFit="1" customWidth="1"/>
    <col min="20" max="20" width="15.6640625" style="584" customWidth="1"/>
    <col min="21" max="21" width="16.25" style="583" bestFit="1" customWidth="1"/>
    <col min="22" max="22" width="12.08203125" style="583" customWidth="1"/>
    <col min="23" max="24" width="8.25" style="583" hidden="1" customWidth="1"/>
    <col min="25" max="35" width="0" style="583" hidden="1" customWidth="1"/>
    <col min="36" max="40" width="7.08203125" style="583"/>
    <col min="41" max="41" width="12.25" style="583" customWidth="1"/>
    <col min="42" max="42" width="12.9140625" style="583" bestFit="1" customWidth="1"/>
    <col min="43" max="68" width="7.08203125" style="583"/>
    <col min="69" max="261" width="7.08203125" style="359"/>
    <col min="262" max="262" width="14" style="359" customWidth="1"/>
    <col min="263" max="263" width="22.25" style="359" customWidth="1"/>
    <col min="264" max="264" width="0" style="359" hidden="1" customWidth="1"/>
    <col min="265" max="267" width="13.58203125" style="359" customWidth="1"/>
    <col min="268" max="268" width="13.6640625" style="359" customWidth="1"/>
    <col min="269" max="269" width="13.33203125" style="359" customWidth="1"/>
    <col min="270" max="270" width="8.4140625" style="359" bestFit="1" customWidth="1"/>
    <col min="271" max="271" width="4.58203125" style="359" customWidth="1"/>
    <col min="272" max="272" width="8" style="359" customWidth="1"/>
    <col min="273" max="274" width="10" style="359" bestFit="1" customWidth="1"/>
    <col min="275" max="275" width="7.08203125" style="359" customWidth="1"/>
    <col min="276" max="276" width="15.6640625" style="359" bestFit="1" customWidth="1"/>
    <col min="277" max="277" width="16.25" style="359" bestFit="1" customWidth="1"/>
    <col min="278" max="278" width="7.08203125" style="359"/>
    <col min="279" max="279" width="18" style="359" customWidth="1"/>
    <col min="280" max="517" width="7.08203125" style="359"/>
    <col min="518" max="518" width="14" style="359" customWidth="1"/>
    <col min="519" max="519" width="22.25" style="359" customWidth="1"/>
    <col min="520" max="520" width="0" style="359" hidden="1" customWidth="1"/>
    <col min="521" max="523" width="13.58203125" style="359" customWidth="1"/>
    <col min="524" max="524" width="13.6640625" style="359" customWidth="1"/>
    <col min="525" max="525" width="13.33203125" style="359" customWidth="1"/>
    <col min="526" max="526" width="8.4140625" style="359" bestFit="1" customWidth="1"/>
    <col min="527" max="527" width="4.58203125" style="359" customWidth="1"/>
    <col min="528" max="528" width="8" style="359" customWidth="1"/>
    <col min="529" max="530" width="10" style="359" bestFit="1" customWidth="1"/>
    <col min="531" max="531" width="7.08203125" style="359" customWidth="1"/>
    <col min="532" max="532" width="15.6640625" style="359" bestFit="1" customWidth="1"/>
    <col min="533" max="533" width="16.25" style="359" bestFit="1" customWidth="1"/>
    <col min="534" max="534" width="7.08203125" style="359"/>
    <col min="535" max="535" width="18" style="359" customWidth="1"/>
    <col min="536" max="773" width="7.08203125" style="359"/>
    <col min="774" max="774" width="14" style="359" customWidth="1"/>
    <col min="775" max="775" width="22.25" style="359" customWidth="1"/>
    <col min="776" max="776" width="0" style="359" hidden="1" customWidth="1"/>
    <col min="777" max="779" width="13.58203125" style="359" customWidth="1"/>
    <col min="780" max="780" width="13.6640625" style="359" customWidth="1"/>
    <col min="781" max="781" width="13.33203125" style="359" customWidth="1"/>
    <col min="782" max="782" width="8.4140625" style="359" bestFit="1" customWidth="1"/>
    <col min="783" max="783" width="4.58203125" style="359" customWidth="1"/>
    <col min="784" max="784" width="8" style="359" customWidth="1"/>
    <col min="785" max="786" width="10" style="359" bestFit="1" customWidth="1"/>
    <col min="787" max="787" width="7.08203125" style="359" customWidth="1"/>
    <col min="788" max="788" width="15.6640625" style="359" bestFit="1" customWidth="1"/>
    <col min="789" max="789" width="16.25" style="359" bestFit="1" customWidth="1"/>
    <col min="790" max="790" width="7.08203125" style="359"/>
    <col min="791" max="791" width="18" style="359" customWidth="1"/>
    <col min="792" max="1029" width="7.08203125" style="359"/>
    <col min="1030" max="1030" width="14" style="359" customWidth="1"/>
    <col min="1031" max="1031" width="22.25" style="359" customWidth="1"/>
    <col min="1032" max="1032" width="0" style="359" hidden="1" customWidth="1"/>
    <col min="1033" max="1035" width="13.58203125" style="359" customWidth="1"/>
    <col min="1036" max="1036" width="13.6640625" style="359" customWidth="1"/>
    <col min="1037" max="1037" width="13.33203125" style="359" customWidth="1"/>
    <col min="1038" max="1038" width="8.4140625" style="359" bestFit="1" customWidth="1"/>
    <col min="1039" max="1039" width="4.58203125" style="359" customWidth="1"/>
    <col min="1040" max="1040" width="8" style="359" customWidth="1"/>
    <col min="1041" max="1042" width="10" style="359" bestFit="1" customWidth="1"/>
    <col min="1043" max="1043" width="7.08203125" style="359" customWidth="1"/>
    <col min="1044" max="1044" width="15.6640625" style="359" bestFit="1" customWidth="1"/>
    <col min="1045" max="1045" width="16.25" style="359" bestFit="1" customWidth="1"/>
    <col min="1046" max="1046" width="7.08203125" style="359"/>
    <col min="1047" max="1047" width="18" style="359" customWidth="1"/>
    <col min="1048" max="1285" width="7.08203125" style="359"/>
    <col min="1286" max="1286" width="14" style="359" customWidth="1"/>
    <col min="1287" max="1287" width="22.25" style="359" customWidth="1"/>
    <col min="1288" max="1288" width="0" style="359" hidden="1" customWidth="1"/>
    <col min="1289" max="1291" width="13.58203125" style="359" customWidth="1"/>
    <col min="1292" max="1292" width="13.6640625" style="359" customWidth="1"/>
    <col min="1293" max="1293" width="13.33203125" style="359" customWidth="1"/>
    <col min="1294" max="1294" width="8.4140625" style="359" bestFit="1" customWidth="1"/>
    <col min="1295" max="1295" width="4.58203125" style="359" customWidth="1"/>
    <col min="1296" max="1296" width="8" style="359" customWidth="1"/>
    <col min="1297" max="1298" width="10" style="359" bestFit="1" customWidth="1"/>
    <col min="1299" max="1299" width="7.08203125" style="359" customWidth="1"/>
    <col min="1300" max="1300" width="15.6640625" style="359" bestFit="1" customWidth="1"/>
    <col min="1301" max="1301" width="16.25" style="359" bestFit="1" customWidth="1"/>
    <col min="1302" max="1302" width="7.08203125" style="359"/>
    <col min="1303" max="1303" width="18" style="359" customWidth="1"/>
    <col min="1304" max="1541" width="7.08203125" style="359"/>
    <col min="1542" max="1542" width="14" style="359" customWidth="1"/>
    <col min="1543" max="1543" width="22.25" style="359" customWidth="1"/>
    <col min="1544" max="1544" width="0" style="359" hidden="1" customWidth="1"/>
    <col min="1545" max="1547" width="13.58203125" style="359" customWidth="1"/>
    <col min="1548" max="1548" width="13.6640625" style="359" customWidth="1"/>
    <col min="1549" max="1549" width="13.33203125" style="359" customWidth="1"/>
    <col min="1550" max="1550" width="8.4140625" style="359" bestFit="1" customWidth="1"/>
    <col min="1551" max="1551" width="4.58203125" style="359" customWidth="1"/>
    <col min="1552" max="1552" width="8" style="359" customWidth="1"/>
    <col min="1553" max="1554" width="10" style="359" bestFit="1" customWidth="1"/>
    <col min="1555" max="1555" width="7.08203125" style="359" customWidth="1"/>
    <col min="1556" max="1556" width="15.6640625" style="359" bestFit="1" customWidth="1"/>
    <col min="1557" max="1557" width="16.25" style="359" bestFit="1" customWidth="1"/>
    <col min="1558" max="1558" width="7.08203125" style="359"/>
    <col min="1559" max="1559" width="18" style="359" customWidth="1"/>
    <col min="1560" max="1797" width="7.08203125" style="359"/>
    <col min="1798" max="1798" width="14" style="359" customWidth="1"/>
    <col min="1799" max="1799" width="22.25" style="359" customWidth="1"/>
    <col min="1800" max="1800" width="0" style="359" hidden="1" customWidth="1"/>
    <col min="1801" max="1803" width="13.58203125" style="359" customWidth="1"/>
    <col min="1804" max="1804" width="13.6640625" style="359" customWidth="1"/>
    <col min="1805" max="1805" width="13.33203125" style="359" customWidth="1"/>
    <col min="1806" max="1806" width="8.4140625" style="359" bestFit="1" customWidth="1"/>
    <col min="1807" max="1807" width="4.58203125" style="359" customWidth="1"/>
    <col min="1808" max="1808" width="8" style="359" customWidth="1"/>
    <col min="1809" max="1810" width="10" style="359" bestFit="1" customWidth="1"/>
    <col min="1811" max="1811" width="7.08203125" style="359" customWidth="1"/>
    <col min="1812" max="1812" width="15.6640625" style="359" bestFit="1" customWidth="1"/>
    <col min="1813" max="1813" width="16.25" style="359" bestFit="1" customWidth="1"/>
    <col min="1814" max="1814" width="7.08203125" style="359"/>
    <col min="1815" max="1815" width="18" style="359" customWidth="1"/>
    <col min="1816" max="2053" width="7.08203125" style="359"/>
    <col min="2054" max="2054" width="14" style="359" customWidth="1"/>
    <col min="2055" max="2055" width="22.25" style="359" customWidth="1"/>
    <col min="2056" max="2056" width="0" style="359" hidden="1" customWidth="1"/>
    <col min="2057" max="2059" width="13.58203125" style="359" customWidth="1"/>
    <col min="2060" max="2060" width="13.6640625" style="359" customWidth="1"/>
    <col min="2061" max="2061" width="13.33203125" style="359" customWidth="1"/>
    <col min="2062" max="2062" width="8.4140625" style="359" bestFit="1" customWidth="1"/>
    <col min="2063" max="2063" width="4.58203125" style="359" customWidth="1"/>
    <col min="2064" max="2064" width="8" style="359" customWidth="1"/>
    <col min="2065" max="2066" width="10" style="359" bestFit="1" customWidth="1"/>
    <col min="2067" max="2067" width="7.08203125" style="359" customWidth="1"/>
    <col min="2068" max="2068" width="15.6640625" style="359" bestFit="1" customWidth="1"/>
    <col min="2069" max="2069" width="16.25" style="359" bestFit="1" customWidth="1"/>
    <col min="2070" max="2070" width="7.08203125" style="359"/>
    <col min="2071" max="2071" width="18" style="359" customWidth="1"/>
    <col min="2072" max="2309" width="7.08203125" style="359"/>
    <col min="2310" max="2310" width="14" style="359" customWidth="1"/>
    <col min="2311" max="2311" width="22.25" style="359" customWidth="1"/>
    <col min="2312" max="2312" width="0" style="359" hidden="1" customWidth="1"/>
    <col min="2313" max="2315" width="13.58203125" style="359" customWidth="1"/>
    <col min="2316" max="2316" width="13.6640625" style="359" customWidth="1"/>
    <col min="2317" max="2317" width="13.33203125" style="359" customWidth="1"/>
    <col min="2318" max="2318" width="8.4140625" style="359" bestFit="1" customWidth="1"/>
    <col min="2319" max="2319" width="4.58203125" style="359" customWidth="1"/>
    <col min="2320" max="2320" width="8" style="359" customWidth="1"/>
    <col min="2321" max="2322" width="10" style="359" bestFit="1" customWidth="1"/>
    <col min="2323" max="2323" width="7.08203125" style="359" customWidth="1"/>
    <col min="2324" max="2324" width="15.6640625" style="359" bestFit="1" customWidth="1"/>
    <col min="2325" max="2325" width="16.25" style="359" bestFit="1" customWidth="1"/>
    <col min="2326" max="2326" width="7.08203125" style="359"/>
    <col min="2327" max="2327" width="18" style="359" customWidth="1"/>
    <col min="2328" max="2565" width="7.08203125" style="359"/>
    <col min="2566" max="2566" width="14" style="359" customWidth="1"/>
    <col min="2567" max="2567" width="22.25" style="359" customWidth="1"/>
    <col min="2568" max="2568" width="0" style="359" hidden="1" customWidth="1"/>
    <col min="2569" max="2571" width="13.58203125" style="359" customWidth="1"/>
    <col min="2572" max="2572" width="13.6640625" style="359" customWidth="1"/>
    <col min="2573" max="2573" width="13.33203125" style="359" customWidth="1"/>
    <col min="2574" max="2574" width="8.4140625" style="359" bestFit="1" customWidth="1"/>
    <col min="2575" max="2575" width="4.58203125" style="359" customWidth="1"/>
    <col min="2576" max="2576" width="8" style="359" customWidth="1"/>
    <col min="2577" max="2578" width="10" style="359" bestFit="1" customWidth="1"/>
    <col min="2579" max="2579" width="7.08203125" style="359" customWidth="1"/>
    <col min="2580" max="2580" width="15.6640625" style="359" bestFit="1" customWidth="1"/>
    <col min="2581" max="2581" width="16.25" style="359" bestFit="1" customWidth="1"/>
    <col min="2582" max="2582" width="7.08203125" style="359"/>
    <col min="2583" max="2583" width="18" style="359" customWidth="1"/>
    <col min="2584" max="2821" width="7.08203125" style="359"/>
    <col min="2822" max="2822" width="14" style="359" customWidth="1"/>
    <col min="2823" max="2823" width="22.25" style="359" customWidth="1"/>
    <col min="2824" max="2824" width="0" style="359" hidden="1" customWidth="1"/>
    <col min="2825" max="2827" width="13.58203125" style="359" customWidth="1"/>
    <col min="2828" max="2828" width="13.6640625" style="359" customWidth="1"/>
    <col min="2829" max="2829" width="13.33203125" style="359" customWidth="1"/>
    <col min="2830" max="2830" width="8.4140625" style="359" bestFit="1" customWidth="1"/>
    <col min="2831" max="2831" width="4.58203125" style="359" customWidth="1"/>
    <col min="2832" max="2832" width="8" style="359" customWidth="1"/>
    <col min="2833" max="2834" width="10" style="359" bestFit="1" customWidth="1"/>
    <col min="2835" max="2835" width="7.08203125" style="359" customWidth="1"/>
    <col min="2836" max="2836" width="15.6640625" style="359" bestFit="1" customWidth="1"/>
    <col min="2837" max="2837" width="16.25" style="359" bestFit="1" customWidth="1"/>
    <col min="2838" max="2838" width="7.08203125" style="359"/>
    <col min="2839" max="2839" width="18" style="359" customWidth="1"/>
    <col min="2840" max="3077" width="7.08203125" style="359"/>
    <col min="3078" max="3078" width="14" style="359" customWidth="1"/>
    <col min="3079" max="3079" width="22.25" style="359" customWidth="1"/>
    <col min="3080" max="3080" width="0" style="359" hidden="1" customWidth="1"/>
    <col min="3081" max="3083" width="13.58203125" style="359" customWidth="1"/>
    <col min="3084" max="3084" width="13.6640625" style="359" customWidth="1"/>
    <col min="3085" max="3085" width="13.33203125" style="359" customWidth="1"/>
    <col min="3086" max="3086" width="8.4140625" style="359" bestFit="1" customWidth="1"/>
    <col min="3087" max="3087" width="4.58203125" style="359" customWidth="1"/>
    <col min="3088" max="3088" width="8" style="359" customWidth="1"/>
    <col min="3089" max="3090" width="10" style="359" bestFit="1" customWidth="1"/>
    <col min="3091" max="3091" width="7.08203125" style="359" customWidth="1"/>
    <col min="3092" max="3092" width="15.6640625" style="359" bestFit="1" customWidth="1"/>
    <col min="3093" max="3093" width="16.25" style="359" bestFit="1" customWidth="1"/>
    <col min="3094" max="3094" width="7.08203125" style="359"/>
    <col min="3095" max="3095" width="18" style="359" customWidth="1"/>
    <col min="3096" max="3333" width="7.08203125" style="359"/>
    <col min="3334" max="3334" width="14" style="359" customWidth="1"/>
    <col min="3335" max="3335" width="22.25" style="359" customWidth="1"/>
    <col min="3336" max="3336" width="0" style="359" hidden="1" customWidth="1"/>
    <col min="3337" max="3339" width="13.58203125" style="359" customWidth="1"/>
    <col min="3340" max="3340" width="13.6640625" style="359" customWidth="1"/>
    <col min="3341" max="3341" width="13.33203125" style="359" customWidth="1"/>
    <col min="3342" max="3342" width="8.4140625" style="359" bestFit="1" customWidth="1"/>
    <col min="3343" max="3343" width="4.58203125" style="359" customWidth="1"/>
    <col min="3344" max="3344" width="8" style="359" customWidth="1"/>
    <col min="3345" max="3346" width="10" style="359" bestFit="1" customWidth="1"/>
    <col min="3347" max="3347" width="7.08203125" style="359" customWidth="1"/>
    <col min="3348" max="3348" width="15.6640625" style="359" bestFit="1" customWidth="1"/>
    <col min="3349" max="3349" width="16.25" style="359" bestFit="1" customWidth="1"/>
    <col min="3350" max="3350" width="7.08203125" style="359"/>
    <col min="3351" max="3351" width="18" style="359" customWidth="1"/>
    <col min="3352" max="3589" width="7.08203125" style="359"/>
    <col min="3590" max="3590" width="14" style="359" customWidth="1"/>
    <col min="3591" max="3591" width="22.25" style="359" customWidth="1"/>
    <col min="3592" max="3592" width="0" style="359" hidden="1" customWidth="1"/>
    <col min="3593" max="3595" width="13.58203125" style="359" customWidth="1"/>
    <col min="3596" max="3596" width="13.6640625" style="359" customWidth="1"/>
    <col min="3597" max="3597" width="13.33203125" style="359" customWidth="1"/>
    <col min="3598" max="3598" width="8.4140625" style="359" bestFit="1" customWidth="1"/>
    <col min="3599" max="3599" width="4.58203125" style="359" customWidth="1"/>
    <col min="3600" max="3600" width="8" style="359" customWidth="1"/>
    <col min="3601" max="3602" width="10" style="359" bestFit="1" customWidth="1"/>
    <col min="3603" max="3603" width="7.08203125" style="359" customWidth="1"/>
    <col min="3604" max="3604" width="15.6640625" style="359" bestFit="1" customWidth="1"/>
    <col min="3605" max="3605" width="16.25" style="359" bestFit="1" customWidth="1"/>
    <col min="3606" max="3606" width="7.08203125" style="359"/>
    <col min="3607" max="3607" width="18" style="359" customWidth="1"/>
    <col min="3608" max="3845" width="7.08203125" style="359"/>
    <col min="3846" max="3846" width="14" style="359" customWidth="1"/>
    <col min="3847" max="3847" width="22.25" style="359" customWidth="1"/>
    <col min="3848" max="3848" width="0" style="359" hidden="1" customWidth="1"/>
    <col min="3849" max="3851" width="13.58203125" style="359" customWidth="1"/>
    <col min="3852" max="3852" width="13.6640625" style="359" customWidth="1"/>
    <col min="3853" max="3853" width="13.33203125" style="359" customWidth="1"/>
    <col min="3854" max="3854" width="8.4140625" style="359" bestFit="1" customWidth="1"/>
    <col min="3855" max="3855" width="4.58203125" style="359" customWidth="1"/>
    <col min="3856" max="3856" width="8" style="359" customWidth="1"/>
    <col min="3857" max="3858" width="10" style="359" bestFit="1" customWidth="1"/>
    <col min="3859" max="3859" width="7.08203125" style="359" customWidth="1"/>
    <col min="3860" max="3860" width="15.6640625" style="359" bestFit="1" customWidth="1"/>
    <col min="3861" max="3861" width="16.25" style="359" bestFit="1" customWidth="1"/>
    <col min="3862" max="3862" width="7.08203125" style="359"/>
    <col min="3863" max="3863" width="18" style="359" customWidth="1"/>
    <col min="3864" max="4101" width="7.08203125" style="359"/>
    <col min="4102" max="4102" width="14" style="359" customWidth="1"/>
    <col min="4103" max="4103" width="22.25" style="359" customWidth="1"/>
    <col min="4104" max="4104" width="0" style="359" hidden="1" customWidth="1"/>
    <col min="4105" max="4107" width="13.58203125" style="359" customWidth="1"/>
    <col min="4108" max="4108" width="13.6640625" style="359" customWidth="1"/>
    <col min="4109" max="4109" width="13.33203125" style="359" customWidth="1"/>
    <col min="4110" max="4110" width="8.4140625" style="359" bestFit="1" customWidth="1"/>
    <col min="4111" max="4111" width="4.58203125" style="359" customWidth="1"/>
    <col min="4112" max="4112" width="8" style="359" customWidth="1"/>
    <col min="4113" max="4114" width="10" style="359" bestFit="1" customWidth="1"/>
    <col min="4115" max="4115" width="7.08203125" style="359" customWidth="1"/>
    <col min="4116" max="4116" width="15.6640625" style="359" bestFit="1" customWidth="1"/>
    <col min="4117" max="4117" width="16.25" style="359" bestFit="1" customWidth="1"/>
    <col min="4118" max="4118" width="7.08203125" style="359"/>
    <col min="4119" max="4119" width="18" style="359" customWidth="1"/>
    <col min="4120" max="4357" width="7.08203125" style="359"/>
    <col min="4358" max="4358" width="14" style="359" customWidth="1"/>
    <col min="4359" max="4359" width="22.25" style="359" customWidth="1"/>
    <col min="4360" max="4360" width="0" style="359" hidden="1" customWidth="1"/>
    <col min="4361" max="4363" width="13.58203125" style="359" customWidth="1"/>
    <col min="4364" max="4364" width="13.6640625" style="359" customWidth="1"/>
    <col min="4365" max="4365" width="13.33203125" style="359" customWidth="1"/>
    <col min="4366" max="4366" width="8.4140625" style="359" bestFit="1" customWidth="1"/>
    <col min="4367" max="4367" width="4.58203125" style="359" customWidth="1"/>
    <col min="4368" max="4368" width="8" style="359" customWidth="1"/>
    <col min="4369" max="4370" width="10" style="359" bestFit="1" customWidth="1"/>
    <col min="4371" max="4371" width="7.08203125" style="359" customWidth="1"/>
    <col min="4372" max="4372" width="15.6640625" style="359" bestFit="1" customWidth="1"/>
    <col min="4373" max="4373" width="16.25" style="359" bestFit="1" customWidth="1"/>
    <col min="4374" max="4374" width="7.08203125" style="359"/>
    <col min="4375" max="4375" width="18" style="359" customWidth="1"/>
    <col min="4376" max="4613" width="7.08203125" style="359"/>
    <col min="4614" max="4614" width="14" style="359" customWidth="1"/>
    <col min="4615" max="4615" width="22.25" style="359" customWidth="1"/>
    <col min="4616" max="4616" width="0" style="359" hidden="1" customWidth="1"/>
    <col min="4617" max="4619" width="13.58203125" style="359" customWidth="1"/>
    <col min="4620" max="4620" width="13.6640625" style="359" customWidth="1"/>
    <col min="4621" max="4621" width="13.33203125" style="359" customWidth="1"/>
    <col min="4622" max="4622" width="8.4140625" style="359" bestFit="1" customWidth="1"/>
    <col min="4623" max="4623" width="4.58203125" style="359" customWidth="1"/>
    <col min="4624" max="4624" width="8" style="359" customWidth="1"/>
    <col min="4625" max="4626" width="10" style="359" bestFit="1" customWidth="1"/>
    <col min="4627" max="4627" width="7.08203125" style="359" customWidth="1"/>
    <col min="4628" max="4628" width="15.6640625" style="359" bestFit="1" customWidth="1"/>
    <col min="4629" max="4629" width="16.25" style="359" bestFit="1" customWidth="1"/>
    <col min="4630" max="4630" width="7.08203125" style="359"/>
    <col min="4631" max="4631" width="18" style="359" customWidth="1"/>
    <col min="4632" max="4869" width="7.08203125" style="359"/>
    <col min="4870" max="4870" width="14" style="359" customWidth="1"/>
    <col min="4871" max="4871" width="22.25" style="359" customWidth="1"/>
    <col min="4872" max="4872" width="0" style="359" hidden="1" customWidth="1"/>
    <col min="4873" max="4875" width="13.58203125" style="359" customWidth="1"/>
    <col min="4876" max="4876" width="13.6640625" style="359" customWidth="1"/>
    <col min="4877" max="4877" width="13.33203125" style="359" customWidth="1"/>
    <col min="4878" max="4878" width="8.4140625" style="359" bestFit="1" customWidth="1"/>
    <col min="4879" max="4879" width="4.58203125" style="359" customWidth="1"/>
    <col min="4880" max="4880" width="8" style="359" customWidth="1"/>
    <col min="4881" max="4882" width="10" style="359" bestFit="1" customWidth="1"/>
    <col min="4883" max="4883" width="7.08203125" style="359" customWidth="1"/>
    <col min="4884" max="4884" width="15.6640625" style="359" bestFit="1" customWidth="1"/>
    <col min="4885" max="4885" width="16.25" style="359" bestFit="1" customWidth="1"/>
    <col min="4886" max="4886" width="7.08203125" style="359"/>
    <col min="4887" max="4887" width="18" style="359" customWidth="1"/>
    <col min="4888" max="5125" width="7.08203125" style="359"/>
    <col min="5126" max="5126" width="14" style="359" customWidth="1"/>
    <col min="5127" max="5127" width="22.25" style="359" customWidth="1"/>
    <col min="5128" max="5128" width="0" style="359" hidden="1" customWidth="1"/>
    <col min="5129" max="5131" width="13.58203125" style="359" customWidth="1"/>
    <col min="5132" max="5132" width="13.6640625" style="359" customWidth="1"/>
    <col min="5133" max="5133" width="13.33203125" style="359" customWidth="1"/>
    <col min="5134" max="5134" width="8.4140625" style="359" bestFit="1" customWidth="1"/>
    <col min="5135" max="5135" width="4.58203125" style="359" customWidth="1"/>
    <col min="5136" max="5136" width="8" style="359" customWidth="1"/>
    <col min="5137" max="5138" width="10" style="359" bestFit="1" customWidth="1"/>
    <col min="5139" max="5139" width="7.08203125" style="359" customWidth="1"/>
    <col min="5140" max="5140" width="15.6640625" style="359" bestFit="1" customWidth="1"/>
    <col min="5141" max="5141" width="16.25" style="359" bestFit="1" customWidth="1"/>
    <col min="5142" max="5142" width="7.08203125" style="359"/>
    <col min="5143" max="5143" width="18" style="359" customWidth="1"/>
    <col min="5144" max="5381" width="7.08203125" style="359"/>
    <col min="5382" max="5382" width="14" style="359" customWidth="1"/>
    <col min="5383" max="5383" width="22.25" style="359" customWidth="1"/>
    <col min="5384" max="5384" width="0" style="359" hidden="1" customWidth="1"/>
    <col min="5385" max="5387" width="13.58203125" style="359" customWidth="1"/>
    <col min="5388" max="5388" width="13.6640625" style="359" customWidth="1"/>
    <col min="5389" max="5389" width="13.33203125" style="359" customWidth="1"/>
    <col min="5390" max="5390" width="8.4140625" style="359" bestFit="1" customWidth="1"/>
    <col min="5391" max="5391" width="4.58203125" style="359" customWidth="1"/>
    <col min="5392" max="5392" width="8" style="359" customWidth="1"/>
    <col min="5393" max="5394" width="10" style="359" bestFit="1" customWidth="1"/>
    <col min="5395" max="5395" width="7.08203125" style="359" customWidth="1"/>
    <col min="5396" max="5396" width="15.6640625" style="359" bestFit="1" customWidth="1"/>
    <col min="5397" max="5397" width="16.25" style="359" bestFit="1" customWidth="1"/>
    <col min="5398" max="5398" width="7.08203125" style="359"/>
    <col min="5399" max="5399" width="18" style="359" customWidth="1"/>
    <col min="5400" max="5637" width="7.08203125" style="359"/>
    <col min="5638" max="5638" width="14" style="359" customWidth="1"/>
    <col min="5639" max="5639" width="22.25" style="359" customWidth="1"/>
    <col min="5640" max="5640" width="0" style="359" hidden="1" customWidth="1"/>
    <col min="5641" max="5643" width="13.58203125" style="359" customWidth="1"/>
    <col min="5644" max="5644" width="13.6640625" style="359" customWidth="1"/>
    <col min="5645" max="5645" width="13.33203125" style="359" customWidth="1"/>
    <col min="5646" max="5646" width="8.4140625" style="359" bestFit="1" customWidth="1"/>
    <col min="5647" max="5647" width="4.58203125" style="359" customWidth="1"/>
    <col min="5648" max="5648" width="8" style="359" customWidth="1"/>
    <col min="5649" max="5650" width="10" style="359" bestFit="1" customWidth="1"/>
    <col min="5651" max="5651" width="7.08203125" style="359" customWidth="1"/>
    <col min="5652" max="5652" width="15.6640625" style="359" bestFit="1" customWidth="1"/>
    <col min="5653" max="5653" width="16.25" style="359" bestFit="1" customWidth="1"/>
    <col min="5654" max="5654" width="7.08203125" style="359"/>
    <col min="5655" max="5655" width="18" style="359" customWidth="1"/>
    <col min="5656" max="5893" width="7.08203125" style="359"/>
    <col min="5894" max="5894" width="14" style="359" customWidth="1"/>
    <col min="5895" max="5895" width="22.25" style="359" customWidth="1"/>
    <col min="5896" max="5896" width="0" style="359" hidden="1" customWidth="1"/>
    <col min="5897" max="5899" width="13.58203125" style="359" customWidth="1"/>
    <col min="5900" max="5900" width="13.6640625" style="359" customWidth="1"/>
    <col min="5901" max="5901" width="13.33203125" style="359" customWidth="1"/>
    <col min="5902" max="5902" width="8.4140625" style="359" bestFit="1" customWidth="1"/>
    <col min="5903" max="5903" width="4.58203125" style="359" customWidth="1"/>
    <col min="5904" max="5904" width="8" style="359" customWidth="1"/>
    <col min="5905" max="5906" width="10" style="359" bestFit="1" customWidth="1"/>
    <col min="5907" max="5907" width="7.08203125" style="359" customWidth="1"/>
    <col min="5908" max="5908" width="15.6640625" style="359" bestFit="1" customWidth="1"/>
    <col min="5909" max="5909" width="16.25" style="359" bestFit="1" customWidth="1"/>
    <col min="5910" max="5910" width="7.08203125" style="359"/>
    <col min="5911" max="5911" width="18" style="359" customWidth="1"/>
    <col min="5912" max="6149" width="7.08203125" style="359"/>
    <col min="6150" max="6150" width="14" style="359" customWidth="1"/>
    <col min="6151" max="6151" width="22.25" style="359" customWidth="1"/>
    <col min="6152" max="6152" width="0" style="359" hidden="1" customWidth="1"/>
    <col min="6153" max="6155" width="13.58203125" style="359" customWidth="1"/>
    <col min="6156" max="6156" width="13.6640625" style="359" customWidth="1"/>
    <col min="6157" max="6157" width="13.33203125" style="359" customWidth="1"/>
    <col min="6158" max="6158" width="8.4140625" style="359" bestFit="1" customWidth="1"/>
    <col min="6159" max="6159" width="4.58203125" style="359" customWidth="1"/>
    <col min="6160" max="6160" width="8" style="359" customWidth="1"/>
    <col min="6161" max="6162" width="10" style="359" bestFit="1" customWidth="1"/>
    <col min="6163" max="6163" width="7.08203125" style="359" customWidth="1"/>
    <col min="6164" max="6164" width="15.6640625" style="359" bestFit="1" customWidth="1"/>
    <col min="6165" max="6165" width="16.25" style="359" bestFit="1" customWidth="1"/>
    <col min="6166" max="6166" width="7.08203125" style="359"/>
    <col min="6167" max="6167" width="18" style="359" customWidth="1"/>
    <col min="6168" max="6405" width="7.08203125" style="359"/>
    <col min="6406" max="6406" width="14" style="359" customWidth="1"/>
    <col min="6407" max="6407" width="22.25" style="359" customWidth="1"/>
    <col min="6408" max="6408" width="0" style="359" hidden="1" customWidth="1"/>
    <col min="6409" max="6411" width="13.58203125" style="359" customWidth="1"/>
    <col min="6412" max="6412" width="13.6640625" style="359" customWidth="1"/>
    <col min="6413" max="6413" width="13.33203125" style="359" customWidth="1"/>
    <col min="6414" max="6414" width="8.4140625" style="359" bestFit="1" customWidth="1"/>
    <col min="6415" max="6415" width="4.58203125" style="359" customWidth="1"/>
    <col min="6416" max="6416" width="8" style="359" customWidth="1"/>
    <col min="6417" max="6418" width="10" style="359" bestFit="1" customWidth="1"/>
    <col min="6419" max="6419" width="7.08203125" style="359" customWidth="1"/>
    <col min="6420" max="6420" width="15.6640625" style="359" bestFit="1" customWidth="1"/>
    <col min="6421" max="6421" width="16.25" style="359" bestFit="1" customWidth="1"/>
    <col min="6422" max="6422" width="7.08203125" style="359"/>
    <col min="6423" max="6423" width="18" style="359" customWidth="1"/>
    <col min="6424" max="6661" width="7.08203125" style="359"/>
    <col min="6662" max="6662" width="14" style="359" customWidth="1"/>
    <col min="6663" max="6663" width="22.25" style="359" customWidth="1"/>
    <col min="6664" max="6664" width="0" style="359" hidden="1" customWidth="1"/>
    <col min="6665" max="6667" width="13.58203125" style="359" customWidth="1"/>
    <col min="6668" max="6668" width="13.6640625" style="359" customWidth="1"/>
    <col min="6669" max="6669" width="13.33203125" style="359" customWidth="1"/>
    <col min="6670" max="6670" width="8.4140625" style="359" bestFit="1" customWidth="1"/>
    <col min="6671" max="6671" width="4.58203125" style="359" customWidth="1"/>
    <col min="6672" max="6672" width="8" style="359" customWidth="1"/>
    <col min="6673" max="6674" width="10" style="359" bestFit="1" customWidth="1"/>
    <col min="6675" max="6675" width="7.08203125" style="359" customWidth="1"/>
    <col min="6676" max="6676" width="15.6640625" style="359" bestFit="1" customWidth="1"/>
    <col min="6677" max="6677" width="16.25" style="359" bestFit="1" customWidth="1"/>
    <col min="6678" max="6678" width="7.08203125" style="359"/>
    <col min="6679" max="6679" width="18" style="359" customWidth="1"/>
    <col min="6680" max="6917" width="7.08203125" style="359"/>
    <col min="6918" max="6918" width="14" style="359" customWidth="1"/>
    <col min="6919" max="6919" width="22.25" style="359" customWidth="1"/>
    <col min="6920" max="6920" width="0" style="359" hidden="1" customWidth="1"/>
    <col min="6921" max="6923" width="13.58203125" style="359" customWidth="1"/>
    <col min="6924" max="6924" width="13.6640625" style="359" customWidth="1"/>
    <col min="6925" max="6925" width="13.33203125" style="359" customWidth="1"/>
    <col min="6926" max="6926" width="8.4140625" style="359" bestFit="1" customWidth="1"/>
    <col min="6927" max="6927" width="4.58203125" style="359" customWidth="1"/>
    <col min="6928" max="6928" width="8" style="359" customWidth="1"/>
    <col min="6929" max="6930" width="10" style="359" bestFit="1" customWidth="1"/>
    <col min="6931" max="6931" width="7.08203125" style="359" customWidth="1"/>
    <col min="6932" max="6932" width="15.6640625" style="359" bestFit="1" customWidth="1"/>
    <col min="6933" max="6933" width="16.25" style="359" bestFit="1" customWidth="1"/>
    <col min="6934" max="6934" width="7.08203125" style="359"/>
    <col min="6935" max="6935" width="18" style="359" customWidth="1"/>
    <col min="6936" max="7173" width="7.08203125" style="359"/>
    <col min="7174" max="7174" width="14" style="359" customWidth="1"/>
    <col min="7175" max="7175" width="22.25" style="359" customWidth="1"/>
    <col min="7176" max="7176" width="0" style="359" hidden="1" customWidth="1"/>
    <col min="7177" max="7179" width="13.58203125" style="359" customWidth="1"/>
    <col min="7180" max="7180" width="13.6640625" style="359" customWidth="1"/>
    <col min="7181" max="7181" width="13.33203125" style="359" customWidth="1"/>
    <col min="7182" max="7182" width="8.4140625" style="359" bestFit="1" customWidth="1"/>
    <col min="7183" max="7183" width="4.58203125" style="359" customWidth="1"/>
    <col min="7184" max="7184" width="8" style="359" customWidth="1"/>
    <col min="7185" max="7186" width="10" style="359" bestFit="1" customWidth="1"/>
    <col min="7187" max="7187" width="7.08203125" style="359" customWidth="1"/>
    <col min="7188" max="7188" width="15.6640625" style="359" bestFit="1" customWidth="1"/>
    <col min="7189" max="7189" width="16.25" style="359" bestFit="1" customWidth="1"/>
    <col min="7190" max="7190" width="7.08203125" style="359"/>
    <col min="7191" max="7191" width="18" style="359" customWidth="1"/>
    <col min="7192" max="7429" width="7.08203125" style="359"/>
    <col min="7430" max="7430" width="14" style="359" customWidth="1"/>
    <col min="7431" max="7431" width="22.25" style="359" customWidth="1"/>
    <col min="7432" max="7432" width="0" style="359" hidden="1" customWidth="1"/>
    <col min="7433" max="7435" width="13.58203125" style="359" customWidth="1"/>
    <col min="7436" max="7436" width="13.6640625" style="359" customWidth="1"/>
    <col min="7437" max="7437" width="13.33203125" style="359" customWidth="1"/>
    <col min="7438" max="7438" width="8.4140625" style="359" bestFit="1" customWidth="1"/>
    <col min="7439" max="7439" width="4.58203125" style="359" customWidth="1"/>
    <col min="7440" max="7440" width="8" style="359" customWidth="1"/>
    <col min="7441" max="7442" width="10" style="359" bestFit="1" customWidth="1"/>
    <col min="7443" max="7443" width="7.08203125" style="359" customWidth="1"/>
    <col min="7444" max="7444" width="15.6640625" style="359" bestFit="1" customWidth="1"/>
    <col min="7445" max="7445" width="16.25" style="359" bestFit="1" customWidth="1"/>
    <col min="7446" max="7446" width="7.08203125" style="359"/>
    <col min="7447" max="7447" width="18" style="359" customWidth="1"/>
    <col min="7448" max="7685" width="7.08203125" style="359"/>
    <col min="7686" max="7686" width="14" style="359" customWidth="1"/>
    <col min="7687" max="7687" width="22.25" style="359" customWidth="1"/>
    <col min="7688" max="7688" width="0" style="359" hidden="1" customWidth="1"/>
    <col min="7689" max="7691" width="13.58203125" style="359" customWidth="1"/>
    <col min="7692" max="7692" width="13.6640625" style="359" customWidth="1"/>
    <col min="7693" max="7693" width="13.33203125" style="359" customWidth="1"/>
    <col min="7694" max="7694" width="8.4140625" style="359" bestFit="1" customWidth="1"/>
    <col min="7695" max="7695" width="4.58203125" style="359" customWidth="1"/>
    <col min="7696" max="7696" width="8" style="359" customWidth="1"/>
    <col min="7697" max="7698" width="10" style="359" bestFit="1" customWidth="1"/>
    <col min="7699" max="7699" width="7.08203125" style="359" customWidth="1"/>
    <col min="7700" max="7700" width="15.6640625" style="359" bestFit="1" customWidth="1"/>
    <col min="7701" max="7701" width="16.25" style="359" bestFit="1" customWidth="1"/>
    <col min="7702" max="7702" width="7.08203125" style="359"/>
    <col min="7703" max="7703" width="18" style="359" customWidth="1"/>
    <col min="7704" max="7941" width="7.08203125" style="359"/>
    <col min="7942" max="7942" width="14" style="359" customWidth="1"/>
    <col min="7943" max="7943" width="22.25" style="359" customWidth="1"/>
    <col min="7944" max="7944" width="0" style="359" hidden="1" customWidth="1"/>
    <col min="7945" max="7947" width="13.58203125" style="359" customWidth="1"/>
    <col min="7948" max="7948" width="13.6640625" style="359" customWidth="1"/>
    <col min="7949" max="7949" width="13.33203125" style="359" customWidth="1"/>
    <col min="7950" max="7950" width="8.4140625" style="359" bestFit="1" customWidth="1"/>
    <col min="7951" max="7951" width="4.58203125" style="359" customWidth="1"/>
    <col min="7952" max="7952" width="8" style="359" customWidth="1"/>
    <col min="7953" max="7954" width="10" style="359" bestFit="1" customWidth="1"/>
    <col min="7955" max="7955" width="7.08203125" style="359" customWidth="1"/>
    <col min="7956" max="7956" width="15.6640625" style="359" bestFit="1" customWidth="1"/>
    <col min="7957" max="7957" width="16.25" style="359" bestFit="1" customWidth="1"/>
    <col min="7958" max="7958" width="7.08203125" style="359"/>
    <col min="7959" max="7959" width="18" style="359" customWidth="1"/>
    <col min="7960" max="8197" width="7.08203125" style="359"/>
    <col min="8198" max="8198" width="14" style="359" customWidth="1"/>
    <col min="8199" max="8199" width="22.25" style="359" customWidth="1"/>
    <col min="8200" max="8200" width="0" style="359" hidden="1" customWidth="1"/>
    <col min="8201" max="8203" width="13.58203125" style="359" customWidth="1"/>
    <col min="8204" max="8204" width="13.6640625" style="359" customWidth="1"/>
    <col min="8205" max="8205" width="13.33203125" style="359" customWidth="1"/>
    <col min="8206" max="8206" width="8.4140625" style="359" bestFit="1" customWidth="1"/>
    <col min="8207" max="8207" width="4.58203125" style="359" customWidth="1"/>
    <col min="8208" max="8208" width="8" style="359" customWidth="1"/>
    <col min="8209" max="8210" width="10" style="359" bestFit="1" customWidth="1"/>
    <col min="8211" max="8211" width="7.08203125" style="359" customWidth="1"/>
    <col min="8212" max="8212" width="15.6640625" style="359" bestFit="1" customWidth="1"/>
    <col min="8213" max="8213" width="16.25" style="359" bestFit="1" customWidth="1"/>
    <col min="8214" max="8214" width="7.08203125" style="359"/>
    <col min="8215" max="8215" width="18" style="359" customWidth="1"/>
    <col min="8216" max="8453" width="7.08203125" style="359"/>
    <col min="8454" max="8454" width="14" style="359" customWidth="1"/>
    <col min="8455" max="8455" width="22.25" style="359" customWidth="1"/>
    <col min="8456" max="8456" width="0" style="359" hidden="1" customWidth="1"/>
    <col min="8457" max="8459" width="13.58203125" style="359" customWidth="1"/>
    <col min="8460" max="8460" width="13.6640625" style="359" customWidth="1"/>
    <col min="8461" max="8461" width="13.33203125" style="359" customWidth="1"/>
    <col min="8462" max="8462" width="8.4140625" style="359" bestFit="1" customWidth="1"/>
    <col min="8463" max="8463" width="4.58203125" style="359" customWidth="1"/>
    <col min="8464" max="8464" width="8" style="359" customWidth="1"/>
    <col min="8465" max="8466" width="10" style="359" bestFit="1" customWidth="1"/>
    <col min="8467" max="8467" width="7.08203125" style="359" customWidth="1"/>
    <col min="8468" max="8468" width="15.6640625" style="359" bestFit="1" customWidth="1"/>
    <col min="8469" max="8469" width="16.25" style="359" bestFit="1" customWidth="1"/>
    <col min="8470" max="8470" width="7.08203125" style="359"/>
    <col min="8471" max="8471" width="18" style="359" customWidth="1"/>
    <col min="8472" max="8709" width="7.08203125" style="359"/>
    <col min="8710" max="8710" width="14" style="359" customWidth="1"/>
    <col min="8711" max="8711" width="22.25" style="359" customWidth="1"/>
    <col min="8712" max="8712" width="0" style="359" hidden="1" customWidth="1"/>
    <col min="8713" max="8715" width="13.58203125" style="359" customWidth="1"/>
    <col min="8716" max="8716" width="13.6640625" style="359" customWidth="1"/>
    <col min="8717" max="8717" width="13.33203125" style="359" customWidth="1"/>
    <col min="8718" max="8718" width="8.4140625" style="359" bestFit="1" customWidth="1"/>
    <col min="8719" max="8719" width="4.58203125" style="359" customWidth="1"/>
    <col min="8720" max="8720" width="8" style="359" customWidth="1"/>
    <col min="8721" max="8722" width="10" style="359" bestFit="1" customWidth="1"/>
    <col min="8723" max="8723" width="7.08203125" style="359" customWidth="1"/>
    <col min="8724" max="8724" width="15.6640625" style="359" bestFit="1" customWidth="1"/>
    <col min="8725" max="8725" width="16.25" style="359" bestFit="1" customWidth="1"/>
    <col min="8726" max="8726" width="7.08203125" style="359"/>
    <col min="8727" max="8727" width="18" style="359" customWidth="1"/>
    <col min="8728" max="8965" width="7.08203125" style="359"/>
    <col min="8966" max="8966" width="14" style="359" customWidth="1"/>
    <col min="8967" max="8967" width="22.25" style="359" customWidth="1"/>
    <col min="8968" max="8968" width="0" style="359" hidden="1" customWidth="1"/>
    <col min="8969" max="8971" width="13.58203125" style="359" customWidth="1"/>
    <col min="8972" max="8972" width="13.6640625" style="359" customWidth="1"/>
    <col min="8973" max="8973" width="13.33203125" style="359" customWidth="1"/>
    <col min="8974" max="8974" width="8.4140625" style="359" bestFit="1" customWidth="1"/>
    <col min="8975" max="8975" width="4.58203125" style="359" customWidth="1"/>
    <col min="8976" max="8976" width="8" style="359" customWidth="1"/>
    <col min="8977" max="8978" width="10" style="359" bestFit="1" customWidth="1"/>
    <col min="8979" max="8979" width="7.08203125" style="359" customWidth="1"/>
    <col min="8980" max="8980" width="15.6640625" style="359" bestFit="1" customWidth="1"/>
    <col min="8981" max="8981" width="16.25" style="359" bestFit="1" customWidth="1"/>
    <col min="8982" max="8982" width="7.08203125" style="359"/>
    <col min="8983" max="8983" width="18" style="359" customWidth="1"/>
    <col min="8984" max="9221" width="7.08203125" style="359"/>
    <col min="9222" max="9222" width="14" style="359" customWidth="1"/>
    <col min="9223" max="9223" width="22.25" style="359" customWidth="1"/>
    <col min="9224" max="9224" width="0" style="359" hidden="1" customWidth="1"/>
    <col min="9225" max="9227" width="13.58203125" style="359" customWidth="1"/>
    <col min="9228" max="9228" width="13.6640625" style="359" customWidth="1"/>
    <col min="9229" max="9229" width="13.33203125" style="359" customWidth="1"/>
    <col min="9230" max="9230" width="8.4140625" style="359" bestFit="1" customWidth="1"/>
    <col min="9231" max="9231" width="4.58203125" style="359" customWidth="1"/>
    <col min="9232" max="9232" width="8" style="359" customWidth="1"/>
    <col min="9233" max="9234" width="10" style="359" bestFit="1" customWidth="1"/>
    <col min="9235" max="9235" width="7.08203125" style="359" customWidth="1"/>
    <col min="9236" max="9236" width="15.6640625" style="359" bestFit="1" customWidth="1"/>
    <col min="9237" max="9237" width="16.25" style="359" bestFit="1" customWidth="1"/>
    <col min="9238" max="9238" width="7.08203125" style="359"/>
    <col min="9239" max="9239" width="18" style="359" customWidth="1"/>
    <col min="9240" max="9477" width="7.08203125" style="359"/>
    <col min="9478" max="9478" width="14" style="359" customWidth="1"/>
    <col min="9479" max="9479" width="22.25" style="359" customWidth="1"/>
    <col min="9480" max="9480" width="0" style="359" hidden="1" customWidth="1"/>
    <col min="9481" max="9483" width="13.58203125" style="359" customWidth="1"/>
    <col min="9484" max="9484" width="13.6640625" style="359" customWidth="1"/>
    <col min="9485" max="9485" width="13.33203125" style="359" customWidth="1"/>
    <col min="9486" max="9486" width="8.4140625" style="359" bestFit="1" customWidth="1"/>
    <col min="9487" max="9487" width="4.58203125" style="359" customWidth="1"/>
    <col min="9488" max="9488" width="8" style="359" customWidth="1"/>
    <col min="9489" max="9490" width="10" style="359" bestFit="1" customWidth="1"/>
    <col min="9491" max="9491" width="7.08203125" style="359" customWidth="1"/>
    <col min="9492" max="9492" width="15.6640625" style="359" bestFit="1" customWidth="1"/>
    <col min="9493" max="9493" width="16.25" style="359" bestFit="1" customWidth="1"/>
    <col min="9494" max="9494" width="7.08203125" style="359"/>
    <col min="9495" max="9495" width="18" style="359" customWidth="1"/>
    <col min="9496" max="9733" width="7.08203125" style="359"/>
    <col min="9734" max="9734" width="14" style="359" customWidth="1"/>
    <col min="9735" max="9735" width="22.25" style="359" customWidth="1"/>
    <col min="9736" max="9736" width="0" style="359" hidden="1" customWidth="1"/>
    <col min="9737" max="9739" width="13.58203125" style="359" customWidth="1"/>
    <col min="9740" max="9740" width="13.6640625" style="359" customWidth="1"/>
    <col min="9741" max="9741" width="13.33203125" style="359" customWidth="1"/>
    <col min="9742" max="9742" width="8.4140625" style="359" bestFit="1" customWidth="1"/>
    <col min="9743" max="9743" width="4.58203125" style="359" customWidth="1"/>
    <col min="9744" max="9744" width="8" style="359" customWidth="1"/>
    <col min="9745" max="9746" width="10" style="359" bestFit="1" customWidth="1"/>
    <col min="9747" max="9747" width="7.08203125" style="359" customWidth="1"/>
    <col min="9748" max="9748" width="15.6640625" style="359" bestFit="1" customWidth="1"/>
    <col min="9749" max="9749" width="16.25" style="359" bestFit="1" customWidth="1"/>
    <col min="9750" max="9750" width="7.08203125" style="359"/>
    <col min="9751" max="9751" width="18" style="359" customWidth="1"/>
    <col min="9752" max="9989" width="7.08203125" style="359"/>
    <col min="9990" max="9990" width="14" style="359" customWidth="1"/>
    <col min="9991" max="9991" width="22.25" style="359" customWidth="1"/>
    <col min="9992" max="9992" width="0" style="359" hidden="1" customWidth="1"/>
    <col min="9993" max="9995" width="13.58203125" style="359" customWidth="1"/>
    <col min="9996" max="9996" width="13.6640625" style="359" customWidth="1"/>
    <col min="9997" max="9997" width="13.33203125" style="359" customWidth="1"/>
    <col min="9998" max="9998" width="8.4140625" style="359" bestFit="1" customWidth="1"/>
    <col min="9999" max="9999" width="4.58203125" style="359" customWidth="1"/>
    <col min="10000" max="10000" width="8" style="359" customWidth="1"/>
    <col min="10001" max="10002" width="10" style="359" bestFit="1" customWidth="1"/>
    <col min="10003" max="10003" width="7.08203125" style="359" customWidth="1"/>
    <col min="10004" max="10004" width="15.6640625" style="359" bestFit="1" customWidth="1"/>
    <col min="10005" max="10005" width="16.25" style="359" bestFit="1" customWidth="1"/>
    <col min="10006" max="10006" width="7.08203125" style="359"/>
    <col min="10007" max="10007" width="18" style="359" customWidth="1"/>
    <col min="10008" max="10245" width="7.08203125" style="359"/>
    <col min="10246" max="10246" width="14" style="359" customWidth="1"/>
    <col min="10247" max="10247" width="22.25" style="359" customWidth="1"/>
    <col min="10248" max="10248" width="0" style="359" hidden="1" customWidth="1"/>
    <col min="10249" max="10251" width="13.58203125" style="359" customWidth="1"/>
    <col min="10252" max="10252" width="13.6640625" style="359" customWidth="1"/>
    <col min="10253" max="10253" width="13.33203125" style="359" customWidth="1"/>
    <col min="10254" max="10254" width="8.4140625" style="359" bestFit="1" customWidth="1"/>
    <col min="10255" max="10255" width="4.58203125" style="359" customWidth="1"/>
    <col min="10256" max="10256" width="8" style="359" customWidth="1"/>
    <col min="10257" max="10258" width="10" style="359" bestFit="1" customWidth="1"/>
    <col min="10259" max="10259" width="7.08203125" style="359" customWidth="1"/>
    <col min="10260" max="10260" width="15.6640625" style="359" bestFit="1" customWidth="1"/>
    <col min="10261" max="10261" width="16.25" style="359" bestFit="1" customWidth="1"/>
    <col min="10262" max="10262" width="7.08203125" style="359"/>
    <col min="10263" max="10263" width="18" style="359" customWidth="1"/>
    <col min="10264" max="10501" width="7.08203125" style="359"/>
    <col min="10502" max="10502" width="14" style="359" customWidth="1"/>
    <col min="10503" max="10503" width="22.25" style="359" customWidth="1"/>
    <col min="10504" max="10504" width="0" style="359" hidden="1" customWidth="1"/>
    <col min="10505" max="10507" width="13.58203125" style="359" customWidth="1"/>
    <col min="10508" max="10508" width="13.6640625" style="359" customWidth="1"/>
    <col min="10509" max="10509" width="13.33203125" style="359" customWidth="1"/>
    <col min="10510" max="10510" width="8.4140625" style="359" bestFit="1" customWidth="1"/>
    <col min="10511" max="10511" width="4.58203125" style="359" customWidth="1"/>
    <col min="10512" max="10512" width="8" style="359" customWidth="1"/>
    <col min="10513" max="10514" width="10" style="359" bestFit="1" customWidth="1"/>
    <col min="10515" max="10515" width="7.08203125" style="359" customWidth="1"/>
    <col min="10516" max="10516" width="15.6640625" style="359" bestFit="1" customWidth="1"/>
    <col min="10517" max="10517" width="16.25" style="359" bestFit="1" customWidth="1"/>
    <col min="10518" max="10518" width="7.08203125" style="359"/>
    <col min="10519" max="10519" width="18" style="359" customWidth="1"/>
    <col min="10520" max="10757" width="7.08203125" style="359"/>
    <col min="10758" max="10758" width="14" style="359" customWidth="1"/>
    <col min="10759" max="10759" width="22.25" style="359" customWidth="1"/>
    <col min="10760" max="10760" width="0" style="359" hidden="1" customWidth="1"/>
    <col min="10761" max="10763" width="13.58203125" style="359" customWidth="1"/>
    <col min="10764" max="10764" width="13.6640625" style="359" customWidth="1"/>
    <col min="10765" max="10765" width="13.33203125" style="359" customWidth="1"/>
    <col min="10766" max="10766" width="8.4140625" style="359" bestFit="1" customWidth="1"/>
    <col min="10767" max="10767" width="4.58203125" style="359" customWidth="1"/>
    <col min="10768" max="10768" width="8" style="359" customWidth="1"/>
    <col min="10769" max="10770" width="10" style="359" bestFit="1" customWidth="1"/>
    <col min="10771" max="10771" width="7.08203125" style="359" customWidth="1"/>
    <col min="10772" max="10772" width="15.6640625" style="359" bestFit="1" customWidth="1"/>
    <col min="10773" max="10773" width="16.25" style="359" bestFit="1" customWidth="1"/>
    <col min="10774" max="10774" width="7.08203125" style="359"/>
    <col min="10775" max="10775" width="18" style="359" customWidth="1"/>
    <col min="10776" max="11013" width="7.08203125" style="359"/>
    <col min="11014" max="11014" width="14" style="359" customWidth="1"/>
    <col min="11015" max="11015" width="22.25" style="359" customWidth="1"/>
    <col min="11016" max="11016" width="0" style="359" hidden="1" customWidth="1"/>
    <col min="11017" max="11019" width="13.58203125" style="359" customWidth="1"/>
    <col min="11020" max="11020" width="13.6640625" style="359" customWidth="1"/>
    <col min="11021" max="11021" width="13.33203125" style="359" customWidth="1"/>
    <col min="11022" max="11022" width="8.4140625" style="359" bestFit="1" customWidth="1"/>
    <col min="11023" max="11023" width="4.58203125" style="359" customWidth="1"/>
    <col min="11024" max="11024" width="8" style="359" customWidth="1"/>
    <col min="11025" max="11026" width="10" style="359" bestFit="1" customWidth="1"/>
    <col min="11027" max="11027" width="7.08203125" style="359" customWidth="1"/>
    <col min="11028" max="11028" width="15.6640625" style="359" bestFit="1" customWidth="1"/>
    <col min="11029" max="11029" width="16.25" style="359" bestFit="1" customWidth="1"/>
    <col min="11030" max="11030" width="7.08203125" style="359"/>
    <col min="11031" max="11031" width="18" style="359" customWidth="1"/>
    <col min="11032" max="11269" width="7.08203125" style="359"/>
    <col min="11270" max="11270" width="14" style="359" customWidth="1"/>
    <col min="11271" max="11271" width="22.25" style="359" customWidth="1"/>
    <col min="11272" max="11272" width="0" style="359" hidden="1" customWidth="1"/>
    <col min="11273" max="11275" width="13.58203125" style="359" customWidth="1"/>
    <col min="11276" max="11276" width="13.6640625" style="359" customWidth="1"/>
    <col min="11277" max="11277" width="13.33203125" style="359" customWidth="1"/>
    <col min="11278" max="11278" width="8.4140625" style="359" bestFit="1" customWidth="1"/>
    <col min="11279" max="11279" width="4.58203125" style="359" customWidth="1"/>
    <col min="11280" max="11280" width="8" style="359" customWidth="1"/>
    <col min="11281" max="11282" width="10" style="359" bestFit="1" customWidth="1"/>
    <col min="11283" max="11283" width="7.08203125" style="359" customWidth="1"/>
    <col min="11284" max="11284" width="15.6640625" style="359" bestFit="1" customWidth="1"/>
    <col min="11285" max="11285" width="16.25" style="359" bestFit="1" customWidth="1"/>
    <col min="11286" max="11286" width="7.08203125" style="359"/>
    <col min="11287" max="11287" width="18" style="359" customWidth="1"/>
    <col min="11288" max="11525" width="7.08203125" style="359"/>
    <col min="11526" max="11526" width="14" style="359" customWidth="1"/>
    <col min="11527" max="11527" width="22.25" style="359" customWidth="1"/>
    <col min="11528" max="11528" width="0" style="359" hidden="1" customWidth="1"/>
    <col min="11529" max="11531" width="13.58203125" style="359" customWidth="1"/>
    <col min="11532" max="11532" width="13.6640625" style="359" customWidth="1"/>
    <col min="11533" max="11533" width="13.33203125" style="359" customWidth="1"/>
    <col min="11534" max="11534" width="8.4140625" style="359" bestFit="1" customWidth="1"/>
    <col min="11535" max="11535" width="4.58203125" style="359" customWidth="1"/>
    <col min="11536" max="11536" width="8" style="359" customWidth="1"/>
    <col min="11537" max="11538" width="10" style="359" bestFit="1" customWidth="1"/>
    <col min="11539" max="11539" width="7.08203125" style="359" customWidth="1"/>
    <col min="11540" max="11540" width="15.6640625" style="359" bestFit="1" customWidth="1"/>
    <col min="11541" max="11541" width="16.25" style="359" bestFit="1" customWidth="1"/>
    <col min="11542" max="11542" width="7.08203125" style="359"/>
    <col min="11543" max="11543" width="18" style="359" customWidth="1"/>
    <col min="11544" max="11781" width="7.08203125" style="359"/>
    <col min="11782" max="11782" width="14" style="359" customWidth="1"/>
    <col min="11783" max="11783" width="22.25" style="359" customWidth="1"/>
    <col min="11784" max="11784" width="0" style="359" hidden="1" customWidth="1"/>
    <col min="11785" max="11787" width="13.58203125" style="359" customWidth="1"/>
    <col min="11788" max="11788" width="13.6640625" style="359" customWidth="1"/>
    <col min="11789" max="11789" width="13.33203125" style="359" customWidth="1"/>
    <col min="11790" max="11790" width="8.4140625" style="359" bestFit="1" customWidth="1"/>
    <col min="11791" max="11791" width="4.58203125" style="359" customWidth="1"/>
    <col min="11792" max="11792" width="8" style="359" customWidth="1"/>
    <col min="11793" max="11794" width="10" style="359" bestFit="1" customWidth="1"/>
    <col min="11795" max="11795" width="7.08203125" style="359" customWidth="1"/>
    <col min="11796" max="11796" width="15.6640625" style="359" bestFit="1" customWidth="1"/>
    <col min="11797" max="11797" width="16.25" style="359" bestFit="1" customWidth="1"/>
    <col min="11798" max="11798" width="7.08203125" style="359"/>
    <col min="11799" max="11799" width="18" style="359" customWidth="1"/>
    <col min="11800" max="12037" width="7.08203125" style="359"/>
    <col min="12038" max="12038" width="14" style="359" customWidth="1"/>
    <col min="12039" max="12039" width="22.25" style="359" customWidth="1"/>
    <col min="12040" max="12040" width="0" style="359" hidden="1" customWidth="1"/>
    <col min="12041" max="12043" width="13.58203125" style="359" customWidth="1"/>
    <col min="12044" max="12044" width="13.6640625" style="359" customWidth="1"/>
    <col min="12045" max="12045" width="13.33203125" style="359" customWidth="1"/>
    <col min="12046" max="12046" width="8.4140625" style="359" bestFit="1" customWidth="1"/>
    <col min="12047" max="12047" width="4.58203125" style="359" customWidth="1"/>
    <col min="12048" max="12048" width="8" style="359" customWidth="1"/>
    <col min="12049" max="12050" width="10" style="359" bestFit="1" customWidth="1"/>
    <col min="12051" max="12051" width="7.08203125" style="359" customWidth="1"/>
    <col min="12052" max="12052" width="15.6640625" style="359" bestFit="1" customWidth="1"/>
    <col min="12053" max="12053" width="16.25" style="359" bestFit="1" customWidth="1"/>
    <col min="12054" max="12054" width="7.08203125" style="359"/>
    <col min="12055" max="12055" width="18" style="359" customWidth="1"/>
    <col min="12056" max="12293" width="7.08203125" style="359"/>
    <col min="12294" max="12294" width="14" style="359" customWidth="1"/>
    <col min="12295" max="12295" width="22.25" style="359" customWidth="1"/>
    <col min="12296" max="12296" width="0" style="359" hidden="1" customWidth="1"/>
    <col min="12297" max="12299" width="13.58203125" style="359" customWidth="1"/>
    <col min="12300" max="12300" width="13.6640625" style="359" customWidth="1"/>
    <col min="12301" max="12301" width="13.33203125" style="359" customWidth="1"/>
    <col min="12302" max="12302" width="8.4140625" style="359" bestFit="1" customWidth="1"/>
    <col min="12303" max="12303" width="4.58203125" style="359" customWidth="1"/>
    <col min="12304" max="12304" width="8" style="359" customWidth="1"/>
    <col min="12305" max="12306" width="10" style="359" bestFit="1" customWidth="1"/>
    <col min="12307" max="12307" width="7.08203125" style="359" customWidth="1"/>
    <col min="12308" max="12308" width="15.6640625" style="359" bestFit="1" customWidth="1"/>
    <col min="12309" max="12309" width="16.25" style="359" bestFit="1" customWidth="1"/>
    <col min="12310" max="12310" width="7.08203125" style="359"/>
    <col min="12311" max="12311" width="18" style="359" customWidth="1"/>
    <col min="12312" max="12549" width="7.08203125" style="359"/>
    <col min="12550" max="12550" width="14" style="359" customWidth="1"/>
    <col min="12551" max="12551" width="22.25" style="359" customWidth="1"/>
    <col min="12552" max="12552" width="0" style="359" hidden="1" customWidth="1"/>
    <col min="12553" max="12555" width="13.58203125" style="359" customWidth="1"/>
    <col min="12556" max="12556" width="13.6640625" style="359" customWidth="1"/>
    <col min="12557" max="12557" width="13.33203125" style="359" customWidth="1"/>
    <col min="12558" max="12558" width="8.4140625" style="359" bestFit="1" customWidth="1"/>
    <col min="12559" max="12559" width="4.58203125" style="359" customWidth="1"/>
    <col min="12560" max="12560" width="8" style="359" customWidth="1"/>
    <col min="12561" max="12562" width="10" style="359" bestFit="1" customWidth="1"/>
    <col min="12563" max="12563" width="7.08203125" style="359" customWidth="1"/>
    <col min="12564" max="12564" width="15.6640625" style="359" bestFit="1" customWidth="1"/>
    <col min="12565" max="12565" width="16.25" style="359" bestFit="1" customWidth="1"/>
    <col min="12566" max="12566" width="7.08203125" style="359"/>
    <col min="12567" max="12567" width="18" style="359" customWidth="1"/>
    <col min="12568" max="12805" width="7.08203125" style="359"/>
    <col min="12806" max="12806" width="14" style="359" customWidth="1"/>
    <col min="12807" max="12807" width="22.25" style="359" customWidth="1"/>
    <col min="12808" max="12808" width="0" style="359" hidden="1" customWidth="1"/>
    <col min="12809" max="12811" width="13.58203125" style="359" customWidth="1"/>
    <col min="12812" max="12812" width="13.6640625" style="359" customWidth="1"/>
    <col min="12813" max="12813" width="13.33203125" style="359" customWidth="1"/>
    <col min="12814" max="12814" width="8.4140625" style="359" bestFit="1" customWidth="1"/>
    <col min="12815" max="12815" width="4.58203125" style="359" customWidth="1"/>
    <col min="12816" max="12816" width="8" style="359" customWidth="1"/>
    <col min="12817" max="12818" width="10" style="359" bestFit="1" customWidth="1"/>
    <col min="12819" max="12819" width="7.08203125" style="359" customWidth="1"/>
    <col min="12820" max="12820" width="15.6640625" style="359" bestFit="1" customWidth="1"/>
    <col min="12821" max="12821" width="16.25" style="359" bestFit="1" customWidth="1"/>
    <col min="12822" max="12822" width="7.08203125" style="359"/>
    <col min="12823" max="12823" width="18" style="359" customWidth="1"/>
    <col min="12824" max="13061" width="7.08203125" style="359"/>
    <col min="13062" max="13062" width="14" style="359" customWidth="1"/>
    <col min="13063" max="13063" width="22.25" style="359" customWidth="1"/>
    <col min="13064" max="13064" width="0" style="359" hidden="1" customWidth="1"/>
    <col min="13065" max="13067" width="13.58203125" style="359" customWidth="1"/>
    <col min="13068" max="13068" width="13.6640625" style="359" customWidth="1"/>
    <col min="13069" max="13069" width="13.33203125" style="359" customWidth="1"/>
    <col min="13070" max="13070" width="8.4140625" style="359" bestFit="1" customWidth="1"/>
    <col min="13071" max="13071" width="4.58203125" style="359" customWidth="1"/>
    <col min="13072" max="13072" width="8" style="359" customWidth="1"/>
    <col min="13073" max="13074" width="10" style="359" bestFit="1" customWidth="1"/>
    <col min="13075" max="13075" width="7.08203125" style="359" customWidth="1"/>
    <col min="13076" max="13076" width="15.6640625" style="359" bestFit="1" customWidth="1"/>
    <col min="13077" max="13077" width="16.25" style="359" bestFit="1" customWidth="1"/>
    <col min="13078" max="13078" width="7.08203125" style="359"/>
    <col min="13079" max="13079" width="18" style="359" customWidth="1"/>
    <col min="13080" max="13317" width="7.08203125" style="359"/>
    <col min="13318" max="13318" width="14" style="359" customWidth="1"/>
    <col min="13319" max="13319" width="22.25" style="359" customWidth="1"/>
    <col min="13320" max="13320" width="0" style="359" hidden="1" customWidth="1"/>
    <col min="13321" max="13323" width="13.58203125" style="359" customWidth="1"/>
    <col min="13324" max="13324" width="13.6640625" style="359" customWidth="1"/>
    <col min="13325" max="13325" width="13.33203125" style="359" customWidth="1"/>
    <col min="13326" max="13326" width="8.4140625" style="359" bestFit="1" customWidth="1"/>
    <col min="13327" max="13327" width="4.58203125" style="359" customWidth="1"/>
    <col min="13328" max="13328" width="8" style="359" customWidth="1"/>
    <col min="13329" max="13330" width="10" style="359" bestFit="1" customWidth="1"/>
    <col min="13331" max="13331" width="7.08203125" style="359" customWidth="1"/>
    <col min="13332" max="13332" width="15.6640625" style="359" bestFit="1" customWidth="1"/>
    <col min="13333" max="13333" width="16.25" style="359" bestFit="1" customWidth="1"/>
    <col min="13334" max="13334" width="7.08203125" style="359"/>
    <col min="13335" max="13335" width="18" style="359" customWidth="1"/>
    <col min="13336" max="13573" width="7.08203125" style="359"/>
    <col min="13574" max="13574" width="14" style="359" customWidth="1"/>
    <col min="13575" max="13575" width="22.25" style="359" customWidth="1"/>
    <col min="13576" max="13576" width="0" style="359" hidden="1" customWidth="1"/>
    <col min="13577" max="13579" width="13.58203125" style="359" customWidth="1"/>
    <col min="13580" max="13580" width="13.6640625" style="359" customWidth="1"/>
    <col min="13581" max="13581" width="13.33203125" style="359" customWidth="1"/>
    <col min="13582" max="13582" width="8.4140625" style="359" bestFit="1" customWidth="1"/>
    <col min="13583" max="13583" width="4.58203125" style="359" customWidth="1"/>
    <col min="13584" max="13584" width="8" style="359" customWidth="1"/>
    <col min="13585" max="13586" width="10" style="359" bestFit="1" customWidth="1"/>
    <col min="13587" max="13587" width="7.08203125" style="359" customWidth="1"/>
    <col min="13588" max="13588" width="15.6640625" style="359" bestFit="1" customWidth="1"/>
    <col min="13589" max="13589" width="16.25" style="359" bestFit="1" customWidth="1"/>
    <col min="13590" max="13590" width="7.08203125" style="359"/>
    <col min="13591" max="13591" width="18" style="359" customWidth="1"/>
    <col min="13592" max="13829" width="7.08203125" style="359"/>
    <col min="13830" max="13830" width="14" style="359" customWidth="1"/>
    <col min="13831" max="13831" width="22.25" style="359" customWidth="1"/>
    <col min="13832" max="13832" width="0" style="359" hidden="1" customWidth="1"/>
    <col min="13833" max="13835" width="13.58203125" style="359" customWidth="1"/>
    <col min="13836" max="13836" width="13.6640625" style="359" customWidth="1"/>
    <col min="13837" max="13837" width="13.33203125" style="359" customWidth="1"/>
    <col min="13838" max="13838" width="8.4140625" style="359" bestFit="1" customWidth="1"/>
    <col min="13839" max="13839" width="4.58203125" style="359" customWidth="1"/>
    <col min="13840" max="13840" width="8" style="359" customWidth="1"/>
    <col min="13841" max="13842" width="10" style="359" bestFit="1" customWidth="1"/>
    <col min="13843" max="13843" width="7.08203125" style="359" customWidth="1"/>
    <col min="13844" max="13844" width="15.6640625" style="359" bestFit="1" customWidth="1"/>
    <col min="13845" max="13845" width="16.25" style="359" bestFit="1" customWidth="1"/>
    <col min="13846" max="13846" width="7.08203125" style="359"/>
    <col min="13847" max="13847" width="18" style="359" customWidth="1"/>
    <col min="13848" max="14085" width="7.08203125" style="359"/>
    <col min="14086" max="14086" width="14" style="359" customWidth="1"/>
    <col min="14087" max="14087" width="22.25" style="359" customWidth="1"/>
    <col min="14088" max="14088" width="0" style="359" hidden="1" customWidth="1"/>
    <col min="14089" max="14091" width="13.58203125" style="359" customWidth="1"/>
    <col min="14092" max="14092" width="13.6640625" style="359" customWidth="1"/>
    <col min="14093" max="14093" width="13.33203125" style="359" customWidth="1"/>
    <col min="14094" max="14094" width="8.4140625" style="359" bestFit="1" customWidth="1"/>
    <col min="14095" max="14095" width="4.58203125" style="359" customWidth="1"/>
    <col min="14096" max="14096" width="8" style="359" customWidth="1"/>
    <col min="14097" max="14098" width="10" style="359" bestFit="1" customWidth="1"/>
    <col min="14099" max="14099" width="7.08203125" style="359" customWidth="1"/>
    <col min="14100" max="14100" width="15.6640625" style="359" bestFit="1" customWidth="1"/>
    <col min="14101" max="14101" width="16.25" style="359" bestFit="1" customWidth="1"/>
    <col min="14102" max="14102" width="7.08203125" style="359"/>
    <col min="14103" max="14103" width="18" style="359" customWidth="1"/>
    <col min="14104" max="14341" width="7.08203125" style="359"/>
    <col min="14342" max="14342" width="14" style="359" customWidth="1"/>
    <col min="14343" max="14343" width="22.25" style="359" customWidth="1"/>
    <col min="14344" max="14344" width="0" style="359" hidden="1" customWidth="1"/>
    <col min="14345" max="14347" width="13.58203125" style="359" customWidth="1"/>
    <col min="14348" max="14348" width="13.6640625" style="359" customWidth="1"/>
    <col min="14349" max="14349" width="13.33203125" style="359" customWidth="1"/>
    <col min="14350" max="14350" width="8.4140625" style="359" bestFit="1" customWidth="1"/>
    <col min="14351" max="14351" width="4.58203125" style="359" customWidth="1"/>
    <col min="14352" max="14352" width="8" style="359" customWidth="1"/>
    <col min="14353" max="14354" width="10" style="359" bestFit="1" customWidth="1"/>
    <col min="14355" max="14355" width="7.08203125" style="359" customWidth="1"/>
    <col min="14356" max="14356" width="15.6640625" style="359" bestFit="1" customWidth="1"/>
    <col min="14357" max="14357" width="16.25" style="359" bestFit="1" customWidth="1"/>
    <col min="14358" max="14358" width="7.08203125" style="359"/>
    <col min="14359" max="14359" width="18" style="359" customWidth="1"/>
    <col min="14360" max="14597" width="7.08203125" style="359"/>
    <col min="14598" max="14598" width="14" style="359" customWidth="1"/>
    <col min="14599" max="14599" width="22.25" style="359" customWidth="1"/>
    <col min="14600" max="14600" width="0" style="359" hidden="1" customWidth="1"/>
    <col min="14601" max="14603" width="13.58203125" style="359" customWidth="1"/>
    <col min="14604" max="14604" width="13.6640625" style="359" customWidth="1"/>
    <col min="14605" max="14605" width="13.33203125" style="359" customWidth="1"/>
    <col min="14606" max="14606" width="8.4140625" style="359" bestFit="1" customWidth="1"/>
    <col min="14607" max="14607" width="4.58203125" style="359" customWidth="1"/>
    <col min="14608" max="14608" width="8" style="359" customWidth="1"/>
    <col min="14609" max="14610" width="10" style="359" bestFit="1" customWidth="1"/>
    <col min="14611" max="14611" width="7.08203125" style="359" customWidth="1"/>
    <col min="14612" max="14612" width="15.6640625" style="359" bestFit="1" customWidth="1"/>
    <col min="14613" max="14613" width="16.25" style="359" bestFit="1" customWidth="1"/>
    <col min="14614" max="14614" width="7.08203125" style="359"/>
    <col min="14615" max="14615" width="18" style="359" customWidth="1"/>
    <col min="14616" max="14853" width="7.08203125" style="359"/>
    <col min="14854" max="14854" width="14" style="359" customWidth="1"/>
    <col min="14855" max="14855" width="22.25" style="359" customWidth="1"/>
    <col min="14856" max="14856" width="0" style="359" hidden="1" customWidth="1"/>
    <col min="14857" max="14859" width="13.58203125" style="359" customWidth="1"/>
    <col min="14860" max="14860" width="13.6640625" style="359" customWidth="1"/>
    <col min="14861" max="14861" width="13.33203125" style="359" customWidth="1"/>
    <col min="14862" max="14862" width="8.4140625" style="359" bestFit="1" customWidth="1"/>
    <col min="14863" max="14863" width="4.58203125" style="359" customWidth="1"/>
    <col min="14864" max="14864" width="8" style="359" customWidth="1"/>
    <col min="14865" max="14866" width="10" style="359" bestFit="1" customWidth="1"/>
    <col min="14867" max="14867" width="7.08203125" style="359" customWidth="1"/>
    <col min="14868" max="14868" width="15.6640625" style="359" bestFit="1" customWidth="1"/>
    <col min="14869" max="14869" width="16.25" style="359" bestFit="1" customWidth="1"/>
    <col min="14870" max="14870" width="7.08203125" style="359"/>
    <col min="14871" max="14871" width="18" style="359" customWidth="1"/>
    <col min="14872" max="15109" width="7.08203125" style="359"/>
    <col min="15110" max="15110" width="14" style="359" customWidth="1"/>
    <col min="15111" max="15111" width="22.25" style="359" customWidth="1"/>
    <col min="15112" max="15112" width="0" style="359" hidden="1" customWidth="1"/>
    <col min="15113" max="15115" width="13.58203125" style="359" customWidth="1"/>
    <col min="15116" max="15116" width="13.6640625" style="359" customWidth="1"/>
    <col min="15117" max="15117" width="13.33203125" style="359" customWidth="1"/>
    <col min="15118" max="15118" width="8.4140625" style="359" bestFit="1" customWidth="1"/>
    <col min="15119" max="15119" width="4.58203125" style="359" customWidth="1"/>
    <col min="15120" max="15120" width="8" style="359" customWidth="1"/>
    <col min="15121" max="15122" width="10" style="359" bestFit="1" customWidth="1"/>
    <col min="15123" max="15123" width="7.08203125" style="359" customWidth="1"/>
    <col min="15124" max="15124" width="15.6640625" style="359" bestFit="1" customWidth="1"/>
    <col min="15125" max="15125" width="16.25" style="359" bestFit="1" customWidth="1"/>
    <col min="15126" max="15126" width="7.08203125" style="359"/>
    <col min="15127" max="15127" width="18" style="359" customWidth="1"/>
    <col min="15128" max="15365" width="7.08203125" style="359"/>
    <col min="15366" max="15366" width="14" style="359" customWidth="1"/>
    <col min="15367" max="15367" width="22.25" style="359" customWidth="1"/>
    <col min="15368" max="15368" width="0" style="359" hidden="1" customWidth="1"/>
    <col min="15369" max="15371" width="13.58203125" style="359" customWidth="1"/>
    <col min="15372" max="15372" width="13.6640625" style="359" customWidth="1"/>
    <col min="15373" max="15373" width="13.33203125" style="359" customWidth="1"/>
    <col min="15374" max="15374" width="8.4140625" style="359" bestFit="1" customWidth="1"/>
    <col min="15375" max="15375" width="4.58203125" style="359" customWidth="1"/>
    <col min="15376" max="15376" width="8" style="359" customWidth="1"/>
    <col min="15377" max="15378" width="10" style="359" bestFit="1" customWidth="1"/>
    <col min="15379" max="15379" width="7.08203125" style="359" customWidth="1"/>
    <col min="15380" max="15380" width="15.6640625" style="359" bestFit="1" customWidth="1"/>
    <col min="15381" max="15381" width="16.25" style="359" bestFit="1" customWidth="1"/>
    <col min="15382" max="15382" width="7.08203125" style="359"/>
    <col min="15383" max="15383" width="18" style="359" customWidth="1"/>
    <col min="15384" max="15621" width="7.08203125" style="359"/>
    <col min="15622" max="15622" width="14" style="359" customWidth="1"/>
    <col min="15623" max="15623" width="22.25" style="359" customWidth="1"/>
    <col min="15624" max="15624" width="0" style="359" hidden="1" customWidth="1"/>
    <col min="15625" max="15627" width="13.58203125" style="359" customWidth="1"/>
    <col min="15628" max="15628" width="13.6640625" style="359" customWidth="1"/>
    <col min="15629" max="15629" width="13.33203125" style="359" customWidth="1"/>
    <col min="15630" max="15630" width="8.4140625" style="359" bestFit="1" customWidth="1"/>
    <col min="15631" max="15631" width="4.58203125" style="359" customWidth="1"/>
    <col min="15632" max="15632" width="8" style="359" customWidth="1"/>
    <col min="15633" max="15634" width="10" style="359" bestFit="1" customWidth="1"/>
    <col min="15635" max="15635" width="7.08203125" style="359" customWidth="1"/>
    <col min="15636" max="15636" width="15.6640625" style="359" bestFit="1" customWidth="1"/>
    <col min="15637" max="15637" width="16.25" style="359" bestFit="1" customWidth="1"/>
    <col min="15638" max="15638" width="7.08203125" style="359"/>
    <col min="15639" max="15639" width="18" style="359" customWidth="1"/>
    <col min="15640" max="15877" width="7.08203125" style="359"/>
    <col min="15878" max="15878" width="14" style="359" customWidth="1"/>
    <col min="15879" max="15879" width="22.25" style="359" customWidth="1"/>
    <col min="15880" max="15880" width="0" style="359" hidden="1" customWidth="1"/>
    <col min="15881" max="15883" width="13.58203125" style="359" customWidth="1"/>
    <col min="15884" max="15884" width="13.6640625" style="359" customWidth="1"/>
    <col min="15885" max="15885" width="13.33203125" style="359" customWidth="1"/>
    <col min="15886" max="15886" width="8.4140625" style="359" bestFit="1" customWidth="1"/>
    <col min="15887" max="15887" width="4.58203125" style="359" customWidth="1"/>
    <col min="15888" max="15888" width="8" style="359" customWidth="1"/>
    <col min="15889" max="15890" width="10" style="359" bestFit="1" customWidth="1"/>
    <col min="15891" max="15891" width="7.08203125" style="359" customWidth="1"/>
    <col min="15892" max="15892" width="15.6640625" style="359" bestFit="1" customWidth="1"/>
    <col min="15893" max="15893" width="16.25" style="359" bestFit="1" customWidth="1"/>
    <col min="15894" max="15894" width="7.08203125" style="359"/>
    <col min="15895" max="15895" width="18" style="359" customWidth="1"/>
    <col min="15896" max="16133" width="7.08203125" style="359"/>
    <col min="16134" max="16134" width="14" style="359" customWidth="1"/>
    <col min="16135" max="16135" width="22.25" style="359" customWidth="1"/>
    <col min="16136" max="16136" width="0" style="359" hidden="1" customWidth="1"/>
    <col min="16137" max="16139" width="13.58203125" style="359" customWidth="1"/>
    <col min="16140" max="16140" width="13.6640625" style="359" customWidth="1"/>
    <col min="16141" max="16141" width="13.33203125" style="359" customWidth="1"/>
    <col min="16142" max="16142" width="8.4140625" style="359" bestFit="1" customWidth="1"/>
    <col min="16143" max="16143" width="4.58203125" style="359" customWidth="1"/>
    <col min="16144" max="16144" width="8" style="359" customWidth="1"/>
    <col min="16145" max="16146" width="10" style="359" bestFit="1" customWidth="1"/>
    <col min="16147" max="16147" width="7.08203125" style="359" customWidth="1"/>
    <col min="16148" max="16148" width="15.6640625" style="359" bestFit="1" customWidth="1"/>
    <col min="16149" max="16149" width="16.25" style="359" bestFit="1" customWidth="1"/>
    <col min="16150" max="16150" width="7.08203125" style="359"/>
    <col min="16151" max="16151" width="18" style="359" customWidth="1"/>
    <col min="16152" max="16384" width="7.08203125" style="359"/>
  </cols>
  <sheetData>
    <row r="1" spans="1:42" ht="15.6" x14ac:dyDescent="0.3">
      <c r="A1" s="923" t="s">
        <v>1088</v>
      </c>
      <c r="B1" s="923"/>
      <c r="C1" s="923"/>
      <c r="D1" s="923"/>
      <c r="E1" s="923"/>
      <c r="F1" s="923"/>
      <c r="G1" s="923"/>
      <c r="H1" s="923"/>
      <c r="I1" s="923"/>
      <c r="J1" s="923"/>
    </row>
    <row r="2" spans="1:42" x14ac:dyDescent="0.25">
      <c r="A2" s="924" t="s">
        <v>1089</v>
      </c>
      <c r="B2" s="924"/>
      <c r="C2" s="924"/>
      <c r="D2" s="924"/>
      <c r="E2" s="924"/>
      <c r="F2" s="924"/>
      <c r="G2" s="924"/>
      <c r="H2" s="924"/>
      <c r="I2" s="924"/>
      <c r="J2" s="924"/>
    </row>
    <row r="3" spans="1:42" x14ac:dyDescent="0.25">
      <c r="A3" s="924" t="s">
        <v>1090</v>
      </c>
      <c r="B3" s="924"/>
      <c r="C3" s="924"/>
      <c r="D3" s="924"/>
      <c r="E3" s="924"/>
      <c r="F3" s="924"/>
      <c r="G3" s="924"/>
      <c r="H3" s="924"/>
      <c r="I3" s="924"/>
      <c r="J3" s="924"/>
      <c r="M3" s="583" t="s">
        <v>1091</v>
      </c>
      <c r="Q3" s="583" t="s">
        <v>1092</v>
      </c>
      <c r="S3" s="584" t="s">
        <v>1028</v>
      </c>
      <c r="U3" s="583" t="s">
        <v>1093</v>
      </c>
    </row>
    <row r="4" spans="1:42" x14ac:dyDescent="0.25">
      <c r="M4" s="586">
        <v>40086</v>
      </c>
      <c r="U4" s="583" t="s">
        <v>1094</v>
      </c>
    </row>
    <row r="6" spans="1:42" x14ac:dyDescent="0.25">
      <c r="AP6" s="361"/>
    </row>
    <row r="7" spans="1:42" x14ac:dyDescent="0.25">
      <c r="M7" s="583" t="s">
        <v>1095</v>
      </c>
      <c r="W7" s="587" t="s">
        <v>1096</v>
      </c>
      <c r="AP7" s="361"/>
    </row>
    <row r="8" spans="1:42" ht="15" customHeight="1" x14ac:dyDescent="0.25">
      <c r="A8" s="362" t="s">
        <v>1097</v>
      </c>
      <c r="B8" s="363" t="s">
        <v>1098</v>
      </c>
      <c r="L8" s="925" t="s">
        <v>1099</v>
      </c>
      <c r="M8" s="583" t="s">
        <v>482</v>
      </c>
      <c r="V8" s="364" t="s">
        <v>1100</v>
      </c>
      <c r="W8" s="365" t="s">
        <v>1101</v>
      </c>
      <c r="X8" s="366" t="s">
        <v>1102</v>
      </c>
      <c r="AD8" s="583" t="s">
        <v>1103</v>
      </c>
      <c r="AP8" s="361"/>
    </row>
    <row r="9" spans="1:42" x14ac:dyDescent="0.25">
      <c r="B9" s="367" t="s">
        <v>1104</v>
      </c>
      <c r="C9" s="368"/>
      <c r="D9" s="369" t="s">
        <v>1091</v>
      </c>
      <c r="E9" s="370" t="s">
        <v>1105</v>
      </c>
      <c r="F9" s="369" t="s">
        <v>1106</v>
      </c>
      <c r="G9" s="369" t="s">
        <v>1107</v>
      </c>
      <c r="H9" s="371" t="s">
        <v>1108</v>
      </c>
      <c r="I9" s="372" t="s">
        <v>1109</v>
      </c>
      <c r="J9" s="372" t="s">
        <v>661</v>
      </c>
      <c r="K9" s="373" t="s">
        <v>1029</v>
      </c>
      <c r="L9" s="925"/>
      <c r="M9" s="374" t="str">
        <f>D9</f>
        <v>HB</v>
      </c>
      <c r="N9" s="374" t="str">
        <f t="shared" ref="N9:R9" si="0">E9</f>
        <v>ED Visit accrual</v>
      </c>
      <c r="O9" s="374" t="str">
        <f t="shared" si="0"/>
        <v>PB SA2 - HCS</v>
      </c>
      <c r="P9" s="374" t="str">
        <f t="shared" si="0"/>
        <v>PB SA2 - PRO Fees</v>
      </c>
      <c r="Q9" s="374" t="str">
        <f t="shared" si="0"/>
        <v xml:space="preserve">HCS accrual </v>
      </c>
      <c r="R9" s="374" t="str">
        <f t="shared" si="0"/>
        <v xml:space="preserve">HB Accrual </v>
      </c>
      <c r="S9" s="375" t="s">
        <v>1110</v>
      </c>
      <c r="T9" s="375" t="s">
        <v>1111</v>
      </c>
      <c r="U9" s="507" t="s">
        <v>1112</v>
      </c>
      <c r="V9" s="364" t="s">
        <v>1113</v>
      </c>
      <c r="W9" s="365" t="s">
        <v>1102</v>
      </c>
      <c r="X9" s="366" t="s">
        <v>1027</v>
      </c>
      <c r="AP9" s="361" t="s">
        <v>1112</v>
      </c>
    </row>
    <row r="10" spans="1:42" x14ac:dyDescent="0.25">
      <c r="A10" s="321" t="s">
        <v>1082</v>
      </c>
      <c r="B10" s="376" t="s">
        <v>1114</v>
      </c>
      <c r="C10" s="377" t="s">
        <v>1114</v>
      </c>
      <c r="D10" s="616">
        <v>84083636.739999995</v>
      </c>
      <c r="E10" s="617"/>
      <c r="F10" s="617"/>
      <c r="G10" s="616">
        <v>142392.29999999999</v>
      </c>
      <c r="H10" s="617"/>
      <c r="I10" s="616">
        <v>8840.4100000000326</v>
      </c>
      <c r="J10" s="378">
        <f t="shared" ref="J10:J41" si="1">SUM(D10:I10)</f>
        <v>84234869.449999988</v>
      </c>
      <c r="K10" s="588">
        <f t="shared" ref="K10:K37" si="2">J10/$J$42</f>
        <v>4.801763776463986E-2</v>
      </c>
      <c r="L10" s="379">
        <f t="shared" ref="L10:L37" si="3">ROUND(J10/$J$42*$J$43,2)</f>
        <v>84235336.670000002</v>
      </c>
      <c r="M10" s="380">
        <v>0.20844688484811863</v>
      </c>
      <c r="N10" s="381"/>
      <c r="O10" s="381"/>
      <c r="P10" s="382">
        <v>0.60227631686382332</v>
      </c>
      <c r="Q10" s="383"/>
      <c r="R10" s="588">
        <f>M10</f>
        <v>0.20844688484811863</v>
      </c>
      <c r="S10" s="384">
        <f>D10*(1-M10)+H10*(1-Q10)+G10*(1-P10)+I10*(1-R10)</f>
        <v>66620295.038927123</v>
      </c>
      <c r="T10" s="384"/>
      <c r="U10" s="385">
        <f t="shared" ref="U10:U22" si="4">S10/$S$93*$S$95+S10</f>
        <v>66075163.025107265</v>
      </c>
      <c r="V10" s="589">
        <v>3</v>
      </c>
      <c r="W10" s="386">
        <v>718</v>
      </c>
      <c r="X10" s="387">
        <v>5200</v>
      </c>
      <c r="AA10" s="376" t="s">
        <v>1114</v>
      </c>
      <c r="AB10" s="388"/>
      <c r="AD10" s="386">
        <v>598</v>
      </c>
      <c r="AE10" s="387">
        <v>3092</v>
      </c>
      <c r="AG10" s="376" t="s">
        <v>1114</v>
      </c>
      <c r="AO10" s="585">
        <f>U10-AP10</f>
        <v>697164.91644951701</v>
      </c>
      <c r="AP10" s="361">
        <v>65377998.108657748</v>
      </c>
    </row>
    <row r="11" spans="1:42" x14ac:dyDescent="0.25">
      <c r="A11" s="321" t="s">
        <v>1040</v>
      </c>
      <c r="B11" s="376" t="s">
        <v>1115</v>
      </c>
      <c r="C11" s="377" t="s">
        <v>1115</v>
      </c>
      <c r="D11" s="616">
        <v>0</v>
      </c>
      <c r="E11" s="617"/>
      <c r="F11" s="617"/>
      <c r="G11" s="616">
        <v>0</v>
      </c>
      <c r="H11" s="616"/>
      <c r="I11" s="616">
        <v>0</v>
      </c>
      <c r="J11" s="378">
        <f t="shared" si="1"/>
        <v>0</v>
      </c>
      <c r="K11" s="588">
        <f t="shared" si="2"/>
        <v>0</v>
      </c>
      <c r="L11" s="379">
        <f t="shared" si="3"/>
        <v>0</v>
      </c>
      <c r="M11" s="380">
        <v>0</v>
      </c>
      <c r="N11" s="381"/>
      <c r="O11" s="381"/>
      <c r="P11" s="382">
        <v>0</v>
      </c>
      <c r="Q11" s="383"/>
      <c r="R11" s="588">
        <f t="shared" ref="R11:R41" si="5">M11</f>
        <v>0</v>
      </c>
      <c r="S11" s="384">
        <f t="shared" ref="S11:S41" si="6">D11*(1-M11)+H11*(1-Q11)+G11*(1-P11)+I11*(1-R11)</f>
        <v>0</v>
      </c>
      <c r="T11" s="384"/>
      <c r="U11" s="385">
        <f t="shared" si="4"/>
        <v>0</v>
      </c>
      <c r="V11" s="589">
        <v>8</v>
      </c>
      <c r="W11" s="386"/>
      <c r="X11" s="387"/>
      <c r="AA11" s="376" t="s">
        <v>1115</v>
      </c>
      <c r="AB11" s="388"/>
      <c r="AD11" s="386"/>
      <c r="AE11" s="387"/>
      <c r="AG11" s="376" t="s">
        <v>1115</v>
      </c>
      <c r="AO11" s="585">
        <f t="shared" ref="AO11:AO74" si="7">U11-AP11</f>
        <v>0</v>
      </c>
      <c r="AP11" s="361">
        <v>0</v>
      </c>
    </row>
    <row r="12" spans="1:42" x14ac:dyDescent="0.25">
      <c r="A12" s="321" t="s">
        <v>1082</v>
      </c>
      <c r="B12" s="376" t="s">
        <v>1116</v>
      </c>
      <c r="C12" s="377" t="s">
        <v>1116</v>
      </c>
      <c r="D12" s="616">
        <v>195230024.22999999</v>
      </c>
      <c r="E12" s="617"/>
      <c r="F12" s="617"/>
      <c r="G12" s="616">
        <v>299949.59999999998</v>
      </c>
      <c r="H12" s="616"/>
      <c r="I12" s="616">
        <v>-390682.26999999984</v>
      </c>
      <c r="J12" s="378">
        <f t="shared" si="1"/>
        <v>195139291.55999997</v>
      </c>
      <c r="K12" s="588">
        <f t="shared" si="2"/>
        <v>0.11123811168649618</v>
      </c>
      <c r="L12" s="379">
        <f t="shared" si="3"/>
        <v>195140373.91999999</v>
      </c>
      <c r="M12" s="380">
        <v>0.19671579009393048</v>
      </c>
      <c r="N12" s="381"/>
      <c r="O12" s="381"/>
      <c r="P12" s="382">
        <v>0.64699792555825242</v>
      </c>
      <c r="Q12" s="383"/>
      <c r="R12" s="588">
        <f t="shared" si="5"/>
        <v>0.19671579009393048</v>
      </c>
      <c r="S12" s="384">
        <f t="shared" si="6"/>
        <v>156617249.69598508</v>
      </c>
      <c r="T12" s="384"/>
      <c r="U12" s="385">
        <f t="shared" si="4"/>
        <v>155335702.13340205</v>
      </c>
      <c r="V12" s="589">
        <v>1</v>
      </c>
      <c r="W12" s="386">
        <v>1743</v>
      </c>
      <c r="X12" s="387">
        <v>10087</v>
      </c>
      <c r="AA12" s="376" t="s">
        <v>1116</v>
      </c>
      <c r="AB12" s="388"/>
      <c r="AD12" s="386">
        <v>1781</v>
      </c>
      <c r="AE12" s="387">
        <v>9548</v>
      </c>
      <c r="AG12" s="376" t="s">
        <v>1116</v>
      </c>
      <c r="AO12" s="585">
        <f t="shared" si="7"/>
        <v>1638960.796181649</v>
      </c>
      <c r="AP12" s="361">
        <v>153696741.3372204</v>
      </c>
    </row>
    <row r="13" spans="1:42" x14ac:dyDescent="0.25">
      <c r="A13" s="321" t="s">
        <v>1082</v>
      </c>
      <c r="B13" s="376" t="s">
        <v>1117</v>
      </c>
      <c r="C13" s="377" t="s">
        <v>1117</v>
      </c>
      <c r="D13" s="616">
        <v>162639913.47999999</v>
      </c>
      <c r="E13" s="617"/>
      <c r="F13" s="617"/>
      <c r="G13" s="616">
        <v>365252.45</v>
      </c>
      <c r="H13" s="616"/>
      <c r="I13" s="616">
        <v>104888.8299999999</v>
      </c>
      <c r="J13" s="378">
        <f t="shared" si="1"/>
        <v>163110054.75999999</v>
      </c>
      <c r="K13" s="588">
        <f t="shared" si="2"/>
        <v>9.2980016190150963E-2</v>
      </c>
      <c r="L13" s="379">
        <f t="shared" si="3"/>
        <v>163110959.47</v>
      </c>
      <c r="M13" s="380">
        <v>0.184710040079865</v>
      </c>
      <c r="N13" s="381"/>
      <c r="O13" s="381"/>
      <c r="P13" s="382">
        <v>0.59702777073730195</v>
      </c>
      <c r="Q13" s="383"/>
      <c r="R13" s="588">
        <f t="shared" si="5"/>
        <v>0.184710040079865</v>
      </c>
      <c r="S13" s="384">
        <f t="shared" si="6"/>
        <v>132831389.94655034</v>
      </c>
      <c r="T13" s="384"/>
      <c r="U13" s="385">
        <f t="shared" si="4"/>
        <v>131744474.26931199</v>
      </c>
      <c r="V13" s="589">
        <v>2</v>
      </c>
      <c r="W13" s="386">
        <v>1494</v>
      </c>
      <c r="X13" s="387">
        <v>10688</v>
      </c>
      <c r="AA13" s="376" t="s">
        <v>1117</v>
      </c>
      <c r="AB13" s="388"/>
      <c r="AD13" s="386">
        <v>1577</v>
      </c>
      <c r="AE13" s="387">
        <v>10461</v>
      </c>
      <c r="AG13" s="376" t="s">
        <v>1117</v>
      </c>
      <c r="AO13" s="585">
        <f t="shared" si="7"/>
        <v>1390047.6546951532</v>
      </c>
      <c r="AP13" s="361">
        <v>130354426.61461684</v>
      </c>
    </row>
    <row r="14" spans="1:42" x14ac:dyDescent="0.25">
      <c r="A14" s="321" t="s">
        <v>1082</v>
      </c>
      <c r="B14" s="376" t="s">
        <v>1118</v>
      </c>
      <c r="C14" s="377" t="s">
        <v>1118</v>
      </c>
      <c r="D14" s="616">
        <v>186811903.25999999</v>
      </c>
      <c r="E14" s="617"/>
      <c r="F14" s="617"/>
      <c r="G14" s="616">
        <v>286039.26</v>
      </c>
      <c r="H14" s="616"/>
      <c r="I14" s="616">
        <v>-71592.299999999988</v>
      </c>
      <c r="J14" s="378">
        <f t="shared" si="1"/>
        <v>187026350.21999997</v>
      </c>
      <c r="K14" s="588">
        <f t="shared" si="2"/>
        <v>0.1066133727747664</v>
      </c>
      <c r="L14" s="379">
        <f t="shared" si="3"/>
        <v>187027387.58000001</v>
      </c>
      <c r="M14" s="380">
        <v>0.18871604152331273</v>
      </c>
      <c r="N14" s="381"/>
      <c r="O14" s="381"/>
      <c r="P14" s="382">
        <v>0.49342680358851709</v>
      </c>
      <c r="Q14" s="383"/>
      <c r="R14" s="588">
        <f t="shared" si="5"/>
        <v>0.18871604152331273</v>
      </c>
      <c r="S14" s="384">
        <f t="shared" si="6"/>
        <v>151644318.50503367</v>
      </c>
      <c r="T14" s="384"/>
      <c r="U14" s="385">
        <f t="shared" si="4"/>
        <v>150403462.80659094</v>
      </c>
      <c r="V14" s="589">
        <v>3</v>
      </c>
      <c r="W14" s="386">
        <v>1039</v>
      </c>
      <c r="X14" s="387">
        <v>8897</v>
      </c>
      <c r="AA14" s="376" t="s">
        <v>1118</v>
      </c>
      <c r="AB14" s="388"/>
      <c r="AD14" s="386">
        <v>1053</v>
      </c>
      <c r="AE14" s="387">
        <v>8096</v>
      </c>
      <c r="AG14" s="376" t="s">
        <v>1118</v>
      </c>
      <c r="AO14" s="585">
        <f t="shared" si="7"/>
        <v>1586920.3007707</v>
      </c>
      <c r="AP14" s="361">
        <v>148816542.50582024</v>
      </c>
    </row>
    <row r="15" spans="1:42" x14ac:dyDescent="0.25">
      <c r="A15" s="321" t="s">
        <v>1082</v>
      </c>
      <c r="B15" s="376" t="s">
        <v>1119</v>
      </c>
      <c r="C15" s="377" t="s">
        <v>1119</v>
      </c>
      <c r="D15" s="616">
        <v>6008646.6000000006</v>
      </c>
      <c r="E15" s="617"/>
      <c r="F15" s="617"/>
      <c r="G15" s="616">
        <v>594</v>
      </c>
      <c r="H15" s="616"/>
      <c r="I15" s="616">
        <v>3427.7</v>
      </c>
      <c r="J15" s="378">
        <f t="shared" si="1"/>
        <v>6012668.3000000007</v>
      </c>
      <c r="K15" s="588">
        <f t="shared" si="2"/>
        <v>3.4274894745305864E-3</v>
      </c>
      <c r="L15" s="379">
        <f t="shared" si="3"/>
        <v>6012701.6500000004</v>
      </c>
      <c r="M15" s="380">
        <v>0.39993354957665628</v>
      </c>
      <c r="N15" s="381"/>
      <c r="O15" s="381"/>
      <c r="P15" s="382">
        <v>7.6140013427933723E-2</v>
      </c>
      <c r="Q15" s="383"/>
      <c r="R15" s="588">
        <f t="shared" si="5"/>
        <v>0.39993354957665628</v>
      </c>
      <c r="S15" s="384">
        <f t="shared" si="6"/>
        <v>3608192.8577144332</v>
      </c>
      <c r="T15" s="384"/>
      <c r="U15" s="385">
        <f t="shared" si="4"/>
        <v>3578668.1995359156</v>
      </c>
      <c r="V15" s="589">
        <v>3</v>
      </c>
      <c r="W15" s="386">
        <v>25</v>
      </c>
      <c r="X15" s="387">
        <v>144</v>
      </c>
      <c r="AA15" s="376" t="s">
        <v>1119</v>
      </c>
      <c r="AB15" s="388"/>
      <c r="AD15" s="386">
        <v>83</v>
      </c>
      <c r="AE15" s="387">
        <v>495</v>
      </c>
      <c r="AG15" s="376" t="s">
        <v>1119</v>
      </c>
      <c r="AO15" s="585">
        <f t="shared" si="7"/>
        <v>37758.846170110162</v>
      </c>
      <c r="AP15" s="361">
        <v>3540909.3533658055</v>
      </c>
    </row>
    <row r="16" spans="1:42" x14ac:dyDescent="0.25">
      <c r="A16" s="321" t="s">
        <v>1085</v>
      </c>
      <c r="B16" s="376" t="s">
        <v>1120</v>
      </c>
      <c r="C16" s="377" t="s">
        <v>1120</v>
      </c>
      <c r="D16" s="616">
        <v>1760956.9499999997</v>
      </c>
      <c r="E16" s="617"/>
      <c r="F16" s="617"/>
      <c r="G16" s="616">
        <v>9666.9000000000015</v>
      </c>
      <c r="H16" s="617"/>
      <c r="I16" s="616">
        <v>4379.3500000000004</v>
      </c>
      <c r="J16" s="378">
        <f t="shared" si="1"/>
        <v>1775003.1999999997</v>
      </c>
      <c r="K16" s="588">
        <f t="shared" si="2"/>
        <v>1.0118311008871232E-3</v>
      </c>
      <c r="L16" s="379">
        <f t="shared" si="3"/>
        <v>1775013.05</v>
      </c>
      <c r="M16" s="380">
        <v>5.7186967937939551E-2</v>
      </c>
      <c r="N16" s="376"/>
      <c r="O16" s="376"/>
      <c r="P16" s="382">
        <v>0.14942828613471876</v>
      </c>
      <c r="Q16" s="383"/>
      <c r="R16" s="588">
        <f t="shared" si="5"/>
        <v>5.7186967937939551E-2</v>
      </c>
      <c r="S16" s="384">
        <f t="shared" si="6"/>
        <v>1672604.4613129832</v>
      </c>
      <c r="T16" s="384"/>
      <c r="U16" s="385">
        <f t="shared" si="4"/>
        <v>1658918.0878469567</v>
      </c>
      <c r="V16" s="589">
        <v>3</v>
      </c>
      <c r="W16" s="386">
        <v>35</v>
      </c>
      <c r="X16" s="387">
        <v>258</v>
      </c>
      <c r="AA16" s="376" t="s">
        <v>1120</v>
      </c>
      <c r="AB16" s="388"/>
      <c r="AD16" s="386">
        <v>32</v>
      </c>
      <c r="AE16" s="387">
        <v>474</v>
      </c>
      <c r="AG16" s="376" t="s">
        <v>1120</v>
      </c>
      <c r="AO16" s="585">
        <f t="shared" si="7"/>
        <v>17503.392154642846</v>
      </c>
      <c r="AP16" s="361">
        <v>1641414.6956923138</v>
      </c>
    </row>
    <row r="17" spans="1:42" x14ac:dyDescent="0.25">
      <c r="A17" s="321" t="s">
        <v>1082</v>
      </c>
      <c r="B17" s="376" t="s">
        <v>1121</v>
      </c>
      <c r="C17" s="377" t="s">
        <v>1121</v>
      </c>
      <c r="D17" s="616">
        <v>21996767.689999998</v>
      </c>
      <c r="E17" s="617"/>
      <c r="F17" s="617"/>
      <c r="G17" s="616">
        <v>21753.1</v>
      </c>
      <c r="H17" s="617"/>
      <c r="I17" s="616">
        <v>278.06999999999971</v>
      </c>
      <c r="J17" s="378">
        <f t="shared" si="1"/>
        <v>22018798.859999999</v>
      </c>
      <c r="K17" s="588">
        <f t="shared" si="2"/>
        <v>1.2551698774811187E-2</v>
      </c>
      <c r="L17" s="379">
        <f t="shared" si="3"/>
        <v>22018920.989999998</v>
      </c>
      <c r="M17" s="380">
        <v>0.1360703021113604</v>
      </c>
      <c r="N17" s="381"/>
      <c r="O17" s="381"/>
      <c r="P17" s="382">
        <v>0.36957739327379074</v>
      </c>
      <c r="Q17" s="383"/>
      <c r="R17" s="588">
        <f t="shared" si="5"/>
        <v>0.1360703021113604</v>
      </c>
      <c r="S17" s="384">
        <f t="shared" si="6"/>
        <v>19017614.743885756</v>
      </c>
      <c r="T17" s="384"/>
      <c r="U17" s="385">
        <f t="shared" si="4"/>
        <v>18861999.842791021</v>
      </c>
      <c r="V17" s="589">
        <v>3</v>
      </c>
      <c r="W17" s="386">
        <v>177</v>
      </c>
      <c r="X17" s="387">
        <v>998</v>
      </c>
      <c r="AA17" s="376" t="s">
        <v>1121</v>
      </c>
      <c r="AB17" s="388"/>
      <c r="AD17" s="386">
        <v>160</v>
      </c>
      <c r="AE17" s="387">
        <v>826</v>
      </c>
      <c r="AG17" s="376" t="s">
        <v>1121</v>
      </c>
      <c r="AO17" s="585">
        <f t="shared" si="7"/>
        <v>199014.63639936224</v>
      </c>
      <c r="AP17" s="361">
        <v>18662985.206391659</v>
      </c>
    </row>
    <row r="18" spans="1:42" x14ac:dyDescent="0.25">
      <c r="A18" s="321" t="s">
        <v>1082</v>
      </c>
      <c r="B18" s="377" t="s">
        <v>1122</v>
      </c>
      <c r="C18" s="377" t="s">
        <v>1122</v>
      </c>
      <c r="D18" s="616">
        <v>89575924.059999987</v>
      </c>
      <c r="E18" s="617"/>
      <c r="F18" s="617"/>
      <c r="G18" s="616">
        <v>137547.46</v>
      </c>
      <c r="H18" s="617"/>
      <c r="I18" s="616">
        <v>-577303.18999999994</v>
      </c>
      <c r="J18" s="378">
        <f t="shared" si="1"/>
        <v>89136168.329999983</v>
      </c>
      <c r="K18" s="588">
        <f t="shared" si="2"/>
        <v>5.0811597032728632E-2</v>
      </c>
      <c r="L18" s="379">
        <f t="shared" si="3"/>
        <v>89136662.730000004</v>
      </c>
      <c r="M18" s="380">
        <v>0.32208869407123381</v>
      </c>
      <c r="N18" s="381"/>
      <c r="O18" s="381"/>
      <c r="P18" s="382">
        <v>0.3900696778047113</v>
      </c>
      <c r="Q18" s="383"/>
      <c r="R18" s="588">
        <f t="shared" si="5"/>
        <v>0.32208869407123381</v>
      </c>
      <c r="S18" s="384">
        <f t="shared" si="6"/>
        <v>60417065.666435778</v>
      </c>
      <c r="T18" s="384"/>
      <c r="U18" s="385">
        <f t="shared" si="4"/>
        <v>59922692.643071257</v>
      </c>
      <c r="V18" s="589">
        <v>3</v>
      </c>
      <c r="W18" s="386">
        <v>651</v>
      </c>
      <c r="X18" s="387">
        <v>4326</v>
      </c>
      <c r="AA18" s="376" t="s">
        <v>1123</v>
      </c>
      <c r="AB18" s="388"/>
      <c r="AD18" s="386">
        <v>560</v>
      </c>
      <c r="AE18" s="387">
        <v>3415</v>
      </c>
      <c r="AG18" s="376" t="s">
        <v>1123</v>
      </c>
      <c r="AO18" s="585">
        <f t="shared" si="7"/>
        <v>632249.65474641323</v>
      </c>
      <c r="AP18" s="361">
        <v>59290442.988324843</v>
      </c>
    </row>
    <row r="19" spans="1:42" x14ac:dyDescent="0.25">
      <c r="A19" s="321" t="s">
        <v>1082</v>
      </c>
      <c r="B19" s="376" t="s">
        <v>1124</v>
      </c>
      <c r="C19" s="377" t="s">
        <v>1124</v>
      </c>
      <c r="D19" s="616">
        <v>0</v>
      </c>
      <c r="E19" s="617"/>
      <c r="F19" s="617"/>
      <c r="G19" s="616"/>
      <c r="H19" s="617"/>
      <c r="I19" s="616"/>
      <c r="J19" s="378">
        <f t="shared" si="1"/>
        <v>0</v>
      </c>
      <c r="K19" s="588">
        <f t="shared" si="2"/>
        <v>0</v>
      </c>
      <c r="L19" s="379">
        <f t="shared" si="3"/>
        <v>0</v>
      </c>
      <c r="M19" s="380">
        <v>0</v>
      </c>
      <c r="N19" s="381"/>
      <c r="O19" s="381"/>
      <c r="P19" s="382">
        <v>0</v>
      </c>
      <c r="Q19" s="383"/>
      <c r="R19" s="588">
        <f t="shared" si="5"/>
        <v>0</v>
      </c>
      <c r="S19" s="384">
        <f t="shared" si="6"/>
        <v>0</v>
      </c>
      <c r="T19" s="384"/>
      <c r="U19" s="385">
        <f t="shared" si="4"/>
        <v>0</v>
      </c>
      <c r="V19" s="589">
        <v>3</v>
      </c>
      <c r="W19" s="386"/>
      <c r="X19" s="387"/>
      <c r="AA19" s="376" t="s">
        <v>1124</v>
      </c>
      <c r="AB19" s="388"/>
      <c r="AD19" s="386"/>
      <c r="AE19" s="387"/>
      <c r="AG19" s="376" t="s">
        <v>1124</v>
      </c>
      <c r="AO19" s="585">
        <f t="shared" si="7"/>
        <v>0</v>
      </c>
      <c r="AP19" s="361">
        <v>0</v>
      </c>
    </row>
    <row r="20" spans="1:42" x14ac:dyDescent="0.25">
      <c r="A20" s="321" t="s">
        <v>1052</v>
      </c>
      <c r="B20" s="376" t="s">
        <v>1125</v>
      </c>
      <c r="C20" s="377" t="s">
        <v>1125</v>
      </c>
      <c r="D20" s="616">
        <v>39472029.719999999</v>
      </c>
      <c r="E20" s="617"/>
      <c r="F20" s="617"/>
      <c r="G20" s="616">
        <v>38255.22</v>
      </c>
      <c r="H20" s="617"/>
      <c r="I20" s="616">
        <v>156925.30000000002</v>
      </c>
      <c r="J20" s="378">
        <f t="shared" si="1"/>
        <v>39667210.239999995</v>
      </c>
      <c r="K20" s="588">
        <f t="shared" si="2"/>
        <v>2.2612081491605294E-2</v>
      </c>
      <c r="L20" s="379">
        <f t="shared" si="3"/>
        <v>39667430.259999998</v>
      </c>
      <c r="M20" s="380">
        <v>0.62799303236145065</v>
      </c>
      <c r="N20" s="381"/>
      <c r="O20" s="381"/>
      <c r="P20" s="382">
        <v>0.77722996846873416</v>
      </c>
      <c r="Q20" s="383"/>
      <c r="R20" s="588">
        <f t="shared" si="5"/>
        <v>0.62799303236145065</v>
      </c>
      <c r="S20" s="384">
        <f t="shared" si="6"/>
        <v>14750769.504240304</v>
      </c>
      <c r="T20" s="384"/>
      <c r="U20" s="385">
        <f t="shared" si="4"/>
        <v>14630068.7976382</v>
      </c>
      <c r="V20" s="589">
        <v>8</v>
      </c>
      <c r="W20" s="386">
        <v>161</v>
      </c>
      <c r="X20" s="387">
        <v>2184</v>
      </c>
      <c r="AA20" s="376" t="s">
        <v>1125</v>
      </c>
      <c r="AB20" s="388"/>
      <c r="AD20" s="386">
        <v>125</v>
      </c>
      <c r="AE20" s="387">
        <v>1925</v>
      </c>
      <c r="AG20" s="376" t="s">
        <v>1125</v>
      </c>
      <c r="AO20" s="585">
        <f t="shared" si="7"/>
        <v>154363.15589687601</v>
      </c>
      <c r="AP20" s="361">
        <v>14475705.641741324</v>
      </c>
    </row>
    <row r="21" spans="1:42" x14ac:dyDescent="0.25">
      <c r="A21" s="321" t="s">
        <v>1052</v>
      </c>
      <c r="B21" s="376" t="s">
        <v>1126</v>
      </c>
      <c r="C21" s="377" t="s">
        <v>1126</v>
      </c>
      <c r="D21" s="616">
        <v>7445264.290000001</v>
      </c>
      <c r="E21" s="617"/>
      <c r="F21" s="617"/>
      <c r="G21" s="616">
        <v>8675.16</v>
      </c>
      <c r="H21" s="617"/>
      <c r="I21" s="616">
        <v>28350.329999999998</v>
      </c>
      <c r="J21" s="378">
        <f t="shared" si="1"/>
        <v>7482289.7800000012</v>
      </c>
      <c r="K21" s="588">
        <f t="shared" si="2"/>
        <v>4.2652393557678506E-3</v>
      </c>
      <c r="L21" s="379">
        <f t="shared" si="3"/>
        <v>7482331.2800000003</v>
      </c>
      <c r="M21" s="380">
        <v>0.69072848302718803</v>
      </c>
      <c r="N21" s="381"/>
      <c r="O21" s="381"/>
      <c r="P21" s="382">
        <v>0.79188206722292775</v>
      </c>
      <c r="Q21" s="383"/>
      <c r="R21" s="588">
        <f t="shared" si="5"/>
        <v>0.69072848302718803</v>
      </c>
      <c r="S21" s="384">
        <f t="shared" si="6"/>
        <v>2313181.5871632961</v>
      </c>
      <c r="T21" s="384"/>
      <c r="U21" s="385">
        <f t="shared" si="4"/>
        <v>2294253.5812725304</v>
      </c>
      <c r="V21" s="589">
        <v>8</v>
      </c>
      <c r="W21" s="386">
        <v>45</v>
      </c>
      <c r="X21" s="387">
        <v>784</v>
      </c>
      <c r="AA21" s="376" t="s">
        <v>1126</v>
      </c>
      <c r="AB21" s="388"/>
      <c r="AD21" s="386">
        <v>37</v>
      </c>
      <c r="AE21" s="387">
        <v>364</v>
      </c>
      <c r="AG21" s="376" t="s">
        <v>1126</v>
      </c>
      <c r="AO21" s="585">
        <f t="shared" si="7"/>
        <v>24206.873401040211</v>
      </c>
      <c r="AP21" s="361">
        <v>2270046.7078714902</v>
      </c>
    </row>
    <row r="22" spans="1:42" x14ac:dyDescent="0.25">
      <c r="A22" s="321" t="s">
        <v>1052</v>
      </c>
      <c r="B22" s="376" t="s">
        <v>1127</v>
      </c>
      <c r="C22" s="377" t="s">
        <v>1127</v>
      </c>
      <c r="D22" s="616">
        <v>30916405.900000002</v>
      </c>
      <c r="E22" s="617"/>
      <c r="F22" s="617"/>
      <c r="G22" s="616">
        <v>20499.219999999998</v>
      </c>
      <c r="H22" s="617"/>
      <c r="I22" s="616">
        <v>66766.05</v>
      </c>
      <c r="J22" s="378">
        <f t="shared" si="1"/>
        <v>31003671.170000002</v>
      </c>
      <c r="K22" s="588">
        <f t="shared" si="2"/>
        <v>1.7673477282454178E-2</v>
      </c>
      <c r="L22" s="379">
        <f t="shared" si="3"/>
        <v>31003843.129999999</v>
      </c>
      <c r="M22" s="380">
        <v>0.82623553365978231</v>
      </c>
      <c r="N22" s="381"/>
      <c r="O22" s="381"/>
      <c r="P22" s="382">
        <v>0.74219587352625938</v>
      </c>
      <c r="Q22" s="383"/>
      <c r="R22" s="588">
        <f t="shared" si="5"/>
        <v>0.82623553365978231</v>
      </c>
      <c r="S22" s="384">
        <f t="shared" si="6"/>
        <v>5389059.1229244452</v>
      </c>
      <c r="T22" s="384"/>
      <c r="U22" s="385">
        <f t="shared" si="4"/>
        <v>5344962.220463153</v>
      </c>
      <c r="V22" s="589">
        <v>8</v>
      </c>
      <c r="W22" s="386">
        <v>120</v>
      </c>
      <c r="X22" s="387">
        <v>2146</v>
      </c>
      <c r="AA22" s="376" t="s">
        <v>1127</v>
      </c>
      <c r="AB22" s="388"/>
      <c r="AD22" s="386">
        <v>152</v>
      </c>
      <c r="AE22" s="387">
        <v>1980</v>
      </c>
      <c r="AG22" s="376" t="s">
        <v>1127</v>
      </c>
      <c r="AO22" s="585">
        <f t="shared" si="7"/>
        <v>56395.171335999854</v>
      </c>
      <c r="AP22" s="361">
        <v>5288567.0491271531</v>
      </c>
    </row>
    <row r="23" spans="1:42" x14ac:dyDescent="0.25">
      <c r="A23" s="321" t="s">
        <v>1040</v>
      </c>
      <c r="B23" s="376" t="s">
        <v>1128</v>
      </c>
      <c r="C23" s="377" t="s">
        <v>1128</v>
      </c>
      <c r="D23" s="616">
        <v>76744686.73999998</v>
      </c>
      <c r="E23" s="617"/>
      <c r="F23" s="617"/>
      <c r="G23" s="616">
        <v>140919</v>
      </c>
      <c r="H23" s="616"/>
      <c r="I23" s="616">
        <v>-137913.29999999999</v>
      </c>
      <c r="J23" s="378">
        <f t="shared" si="1"/>
        <v>76747692.439999983</v>
      </c>
      <c r="K23" s="588">
        <f t="shared" si="2"/>
        <v>4.3749612469493881E-2</v>
      </c>
      <c r="L23" s="379">
        <f t="shared" si="3"/>
        <v>76748118.129999995</v>
      </c>
      <c r="M23" s="380">
        <v>0.70518033579246098</v>
      </c>
      <c r="N23" s="381"/>
      <c r="O23" s="381"/>
      <c r="P23" s="382">
        <v>0.7957598911439927</v>
      </c>
      <c r="Q23" s="383"/>
      <c r="R23" s="588">
        <f t="shared" si="5"/>
        <v>0.70518033579246098</v>
      </c>
      <c r="S23" s="384">
        <f>D23*(1-M23)+H23*(1-Q23)+G23*(1-P23)+I23*(1-R23)</f>
        <v>22613964.533503693</v>
      </c>
      <c r="T23" s="384">
        <f>G163+L162</f>
        <v>25600071.370223448</v>
      </c>
      <c r="U23" s="385">
        <f>S23/$S$93*$S$95+S23+T23</f>
        <v>48028993.252393991</v>
      </c>
      <c r="V23" s="589">
        <v>8</v>
      </c>
      <c r="W23" s="386">
        <v>1107</v>
      </c>
      <c r="X23" s="387">
        <v>8884</v>
      </c>
      <c r="AA23" s="376" t="s">
        <v>1128</v>
      </c>
      <c r="AB23" s="388"/>
      <c r="AD23" s="386">
        <v>1019</v>
      </c>
      <c r="AE23" s="387">
        <v>8734</v>
      </c>
      <c r="AG23" s="376" t="s">
        <v>1128</v>
      </c>
      <c r="AO23" s="585">
        <f t="shared" si="7"/>
        <v>714024.94907449186</v>
      </c>
      <c r="AP23" s="361">
        <v>47314968.303319499</v>
      </c>
    </row>
    <row r="24" spans="1:42" x14ac:dyDescent="0.25">
      <c r="A24" s="321" t="s">
        <v>1044</v>
      </c>
      <c r="B24" s="376" t="s">
        <v>1129</v>
      </c>
      <c r="C24" s="377" t="s">
        <v>1129</v>
      </c>
      <c r="D24" s="616">
        <v>16657017.770000001</v>
      </c>
      <c r="E24" s="617"/>
      <c r="F24" s="617"/>
      <c r="G24" s="616">
        <v>15011.6</v>
      </c>
      <c r="H24" s="617"/>
      <c r="I24" s="616">
        <v>897.19999999989705</v>
      </c>
      <c r="J24" s="378">
        <f t="shared" si="1"/>
        <v>16672926.57</v>
      </c>
      <c r="K24" s="588">
        <f t="shared" si="2"/>
        <v>9.5043128070604437E-3</v>
      </c>
      <c r="L24" s="379">
        <f t="shared" si="3"/>
        <v>16673019.050000001</v>
      </c>
      <c r="M24" s="380">
        <v>0.50873443400826479</v>
      </c>
      <c r="N24" s="376"/>
      <c r="O24" s="376"/>
      <c r="P24" s="382">
        <v>0.64104469711406131</v>
      </c>
      <c r="Q24" s="383"/>
      <c r="R24" s="588">
        <f t="shared" si="5"/>
        <v>0.50873443400826479</v>
      </c>
      <c r="S24" s="384">
        <f t="shared" si="6"/>
        <v>8188848.5194040528</v>
      </c>
      <c r="T24" s="384"/>
      <c r="U24" s="385">
        <f>S24/$S$93*$S$95+S24</f>
        <v>8121841.8590216553</v>
      </c>
      <c r="V24" s="589">
        <v>8</v>
      </c>
      <c r="W24" s="386">
        <v>21</v>
      </c>
      <c r="X24" s="387">
        <v>488</v>
      </c>
      <c r="AA24" s="376" t="s">
        <v>1129</v>
      </c>
      <c r="AB24" s="388"/>
      <c r="AD24" s="386">
        <v>7</v>
      </c>
      <c r="AE24" s="387">
        <v>57</v>
      </c>
      <c r="AG24" s="376" t="s">
        <v>1129</v>
      </c>
      <c r="AO24" s="585">
        <f t="shared" si="7"/>
        <v>85694.275153123774</v>
      </c>
      <c r="AP24" s="361">
        <v>8036147.5838685315</v>
      </c>
    </row>
    <row r="25" spans="1:42" x14ac:dyDescent="0.25">
      <c r="A25" s="321" t="s">
        <v>1044</v>
      </c>
      <c r="B25" s="376" t="s">
        <v>1130</v>
      </c>
      <c r="C25" s="377" t="s">
        <v>1130</v>
      </c>
      <c r="D25" s="616">
        <v>10114240.9</v>
      </c>
      <c r="E25" s="617"/>
      <c r="F25" s="617"/>
      <c r="G25" s="616">
        <v>6119.5</v>
      </c>
      <c r="H25" s="617"/>
      <c r="I25" s="616">
        <v>387055.30999999994</v>
      </c>
      <c r="J25" s="378">
        <f t="shared" si="1"/>
        <v>10507415.710000001</v>
      </c>
      <c r="K25" s="588">
        <f t="shared" si="2"/>
        <v>5.9896962469295585E-3</v>
      </c>
      <c r="L25" s="379">
        <f t="shared" si="3"/>
        <v>10507473.99</v>
      </c>
      <c r="M25" s="380">
        <v>0.38678373366886437</v>
      </c>
      <c r="N25" s="381"/>
      <c r="O25" s="381"/>
      <c r="P25" s="382">
        <v>0.36293549671511049</v>
      </c>
      <c r="Q25" s="383"/>
      <c r="R25" s="588">
        <f t="shared" si="5"/>
        <v>0.38678373366886437</v>
      </c>
      <c r="S25" s="384">
        <f t="shared" si="6"/>
        <v>6443464.1697613569</v>
      </c>
      <c r="T25" s="384"/>
      <c r="U25" s="385">
        <f>S25/$S$93*$S$95+S25</f>
        <v>6390739.4167895233</v>
      </c>
      <c r="V25" s="589">
        <v>8</v>
      </c>
      <c r="W25" s="386">
        <v>52</v>
      </c>
      <c r="X25" s="387">
        <v>1040</v>
      </c>
      <c r="AA25" s="376" t="s">
        <v>1130</v>
      </c>
      <c r="AB25" s="388"/>
      <c r="AD25" s="386">
        <v>34</v>
      </c>
      <c r="AE25" s="387">
        <v>504</v>
      </c>
      <c r="AG25" s="376" t="s">
        <v>1130</v>
      </c>
      <c r="AO25" s="585">
        <f t="shared" si="7"/>
        <v>67429.259461134672</v>
      </c>
      <c r="AP25" s="361">
        <v>6323310.1573283887</v>
      </c>
    </row>
    <row r="26" spans="1:42" x14ac:dyDescent="0.25">
      <c r="A26" s="321" t="s">
        <v>1044</v>
      </c>
      <c r="B26" s="377" t="s">
        <v>1131</v>
      </c>
      <c r="C26" s="377" t="s">
        <v>1131</v>
      </c>
      <c r="D26" s="616">
        <v>723123055.87000012</v>
      </c>
      <c r="E26" s="617"/>
      <c r="F26" s="617"/>
      <c r="G26" s="616">
        <v>963301.46000000008</v>
      </c>
      <c r="H26" s="616"/>
      <c r="I26" s="616">
        <v>229054.88000000012</v>
      </c>
      <c r="J26" s="378">
        <f t="shared" si="1"/>
        <v>724315412.21000016</v>
      </c>
      <c r="K26" s="588">
        <f t="shared" si="2"/>
        <v>0.41289213502598476</v>
      </c>
      <c r="L26" s="379">
        <f t="shared" si="3"/>
        <v>724319429.70000005</v>
      </c>
      <c r="M26" s="380">
        <v>0.69040294943656177</v>
      </c>
      <c r="N26" s="389"/>
      <c r="O26" s="389"/>
      <c r="P26" s="382">
        <v>0.81356201290115537</v>
      </c>
      <c r="Q26" s="383"/>
      <c r="R26" s="588">
        <f t="shared" si="5"/>
        <v>0.69040294943656177</v>
      </c>
      <c r="S26" s="384">
        <f>D26*(1-M26)+H26*(1-Q26)+G26*(1-P26)+I26*(1-R26)</f>
        <v>224127275.99220932</v>
      </c>
      <c r="T26" s="384">
        <f>F163</f>
        <v>12836497.73</v>
      </c>
      <c r="U26" s="385">
        <f>S26/$S$93*$S$95+S26+T26</f>
        <v>235129813.76688036</v>
      </c>
      <c r="V26" s="589">
        <v>4</v>
      </c>
      <c r="W26" s="386">
        <v>4172</v>
      </c>
      <c r="X26" s="387">
        <v>35244</v>
      </c>
      <c r="AA26" s="376" t="s">
        <v>1132</v>
      </c>
      <c r="AB26" s="388"/>
      <c r="AD26" s="386">
        <v>4202</v>
      </c>
      <c r="AE26" s="387">
        <v>31670</v>
      </c>
      <c r="AG26" s="376" t="s">
        <v>1132</v>
      </c>
      <c r="AO26" s="585">
        <f t="shared" si="7"/>
        <v>2584804.1541385651</v>
      </c>
      <c r="AP26" s="361">
        <v>232545009.6127418</v>
      </c>
    </row>
    <row r="27" spans="1:42" x14ac:dyDescent="0.25">
      <c r="A27" s="321" t="s">
        <v>344</v>
      </c>
      <c r="B27" s="376" t="s">
        <v>296</v>
      </c>
      <c r="C27" s="377" t="s">
        <v>296</v>
      </c>
      <c r="D27" s="616">
        <v>19045577.100000001</v>
      </c>
      <c r="E27" s="617"/>
      <c r="F27" s="617"/>
      <c r="G27" s="616">
        <v>18520.7</v>
      </c>
      <c r="H27" s="616"/>
      <c r="I27" s="616">
        <v>-41024.36</v>
      </c>
      <c r="J27" s="378">
        <f t="shared" si="1"/>
        <v>19023073.440000001</v>
      </c>
      <c r="K27" s="588">
        <f t="shared" si="2"/>
        <v>1.0844001487463121E-2</v>
      </c>
      <c r="L27" s="379">
        <f t="shared" si="3"/>
        <v>19023178.949999999</v>
      </c>
      <c r="M27" s="380">
        <v>0.80379593976966535</v>
      </c>
      <c r="N27" s="389"/>
      <c r="O27" s="389"/>
      <c r="P27" s="382">
        <v>0.81727667438223539</v>
      </c>
      <c r="Q27" s="383"/>
      <c r="R27" s="588">
        <f t="shared" si="5"/>
        <v>0.80379593976966535</v>
      </c>
      <c r="S27" s="384">
        <f t="shared" si="6"/>
        <v>3732154.5743463007</v>
      </c>
      <c r="T27" s="384"/>
      <c r="U27" s="385">
        <f t="shared" ref="U27:U41" si="8">S27/$S$93*$S$95+S27</f>
        <v>3701615.5781168244</v>
      </c>
      <c r="V27" s="589">
        <v>9</v>
      </c>
      <c r="W27" s="386">
        <v>113</v>
      </c>
      <c r="X27" s="387">
        <v>656</v>
      </c>
      <c r="AA27" s="376" t="s">
        <v>296</v>
      </c>
      <c r="AB27" s="388"/>
      <c r="AD27" s="386">
        <v>84</v>
      </c>
      <c r="AE27" s="387">
        <v>496</v>
      </c>
      <c r="AG27" s="376" t="s">
        <v>296</v>
      </c>
      <c r="AO27" s="585">
        <f t="shared" si="7"/>
        <v>39056.074886496644</v>
      </c>
      <c r="AP27" s="361">
        <v>3662559.5032303277</v>
      </c>
    </row>
    <row r="28" spans="1:42" x14ac:dyDescent="0.25">
      <c r="A28" s="321" t="s">
        <v>1061</v>
      </c>
      <c r="B28" s="376" t="s">
        <v>1133</v>
      </c>
      <c r="C28" s="377" t="s">
        <v>1133</v>
      </c>
      <c r="D28" s="616">
        <v>37905.800000000003</v>
      </c>
      <c r="E28" s="617"/>
      <c r="F28" s="617"/>
      <c r="G28" s="616">
        <v>0</v>
      </c>
      <c r="H28" s="616"/>
      <c r="I28" s="616">
        <v>0</v>
      </c>
      <c r="J28" s="378">
        <f t="shared" si="1"/>
        <v>37905.800000000003</v>
      </c>
      <c r="K28" s="588">
        <f t="shared" si="2"/>
        <v>2.1607998985019929E-5</v>
      </c>
      <c r="L28" s="379">
        <f t="shared" si="3"/>
        <v>37906.01</v>
      </c>
      <c r="M28" s="380">
        <v>0.79769999999999996</v>
      </c>
      <c r="N28" s="390"/>
      <c r="O28" s="390"/>
      <c r="P28" s="382">
        <v>0</v>
      </c>
      <c r="Q28" s="383"/>
      <c r="R28" s="588">
        <f t="shared" si="5"/>
        <v>0.79769999999999996</v>
      </c>
      <c r="S28" s="384">
        <f t="shared" si="6"/>
        <v>7668.3433400000022</v>
      </c>
      <c r="T28" s="384"/>
      <c r="U28" s="385">
        <f t="shared" si="8"/>
        <v>7605.5958027044417</v>
      </c>
      <c r="V28" s="589">
        <v>9</v>
      </c>
      <c r="W28" s="386">
        <v>8</v>
      </c>
      <c r="X28" s="387">
        <v>41</v>
      </c>
      <c r="AA28" s="376" t="s">
        <v>1133</v>
      </c>
      <c r="AB28" s="388"/>
      <c r="AD28" s="386">
        <v>7</v>
      </c>
      <c r="AE28" s="387">
        <v>29</v>
      </c>
      <c r="AG28" s="376" t="s">
        <v>1133</v>
      </c>
      <c r="AO28" s="585">
        <f t="shared" si="7"/>
        <v>80.247317139822371</v>
      </c>
      <c r="AP28" s="361">
        <v>7525.3484855646193</v>
      </c>
    </row>
    <row r="29" spans="1:42" x14ac:dyDescent="0.25">
      <c r="A29" s="321" t="s">
        <v>1061</v>
      </c>
      <c r="B29" s="376" t="s">
        <v>1134</v>
      </c>
      <c r="C29" s="377" t="s">
        <v>1134</v>
      </c>
      <c r="D29" s="616">
        <v>76387787.109999999</v>
      </c>
      <c r="E29" s="617"/>
      <c r="F29" s="617"/>
      <c r="G29" s="616">
        <v>86292.459999999992</v>
      </c>
      <c r="H29" s="617"/>
      <c r="I29" s="616">
        <v>-88495.219999999987</v>
      </c>
      <c r="J29" s="378">
        <f t="shared" si="1"/>
        <v>76385584.349999994</v>
      </c>
      <c r="K29" s="588">
        <f t="shared" si="2"/>
        <v>4.3543194685376742E-2</v>
      </c>
      <c r="L29" s="379">
        <f t="shared" si="3"/>
        <v>76386008.030000001</v>
      </c>
      <c r="M29" s="380">
        <v>0.74570000000000003</v>
      </c>
      <c r="N29" s="389"/>
      <c r="O29" s="389"/>
      <c r="P29" s="382">
        <v>0.73385630064099427</v>
      </c>
      <c r="Q29" s="383"/>
      <c r="R29" s="588">
        <f t="shared" si="5"/>
        <v>0.74570000000000003</v>
      </c>
      <c r="S29" s="384">
        <f t="shared" si="6"/>
        <v>19425876.122158185</v>
      </c>
      <c r="T29" s="384"/>
      <c r="U29" s="385">
        <f t="shared" si="8"/>
        <v>19266920.552170098</v>
      </c>
      <c r="V29" s="589">
        <v>9</v>
      </c>
      <c r="W29" s="386">
        <v>379</v>
      </c>
      <c r="X29" s="387">
        <v>3254</v>
      </c>
      <c r="AA29" s="376" t="s">
        <v>1134</v>
      </c>
      <c r="AB29" s="388"/>
      <c r="AD29" s="386">
        <v>431</v>
      </c>
      <c r="AE29" s="387">
        <v>4156</v>
      </c>
      <c r="AG29" s="376" t="s">
        <v>1134</v>
      </c>
      <c r="AO29" s="585">
        <f t="shared" si="7"/>
        <v>203286.99078486115</v>
      </c>
      <c r="AP29" s="361">
        <v>19063633.561385237</v>
      </c>
    </row>
    <row r="30" spans="1:42" x14ac:dyDescent="0.25">
      <c r="A30" s="321" t="s">
        <v>1070</v>
      </c>
      <c r="B30" s="376" t="s">
        <v>1135</v>
      </c>
      <c r="C30" s="377" t="s">
        <v>1135</v>
      </c>
      <c r="D30" s="616">
        <v>0</v>
      </c>
      <c r="E30" s="617"/>
      <c r="F30" s="617"/>
      <c r="G30" s="616">
        <v>0</v>
      </c>
      <c r="H30" s="617"/>
      <c r="I30" s="616">
        <v>0</v>
      </c>
      <c r="J30" s="378">
        <f t="shared" si="1"/>
        <v>0</v>
      </c>
      <c r="K30" s="588">
        <f t="shared" si="2"/>
        <v>0</v>
      </c>
      <c r="L30" s="379">
        <f t="shared" si="3"/>
        <v>0</v>
      </c>
      <c r="M30" s="380">
        <v>0</v>
      </c>
      <c r="N30" s="390"/>
      <c r="O30" s="390"/>
      <c r="P30" s="382">
        <v>0</v>
      </c>
      <c r="Q30" s="383"/>
      <c r="R30" s="588">
        <f t="shared" si="5"/>
        <v>0</v>
      </c>
      <c r="S30" s="384">
        <f t="shared" si="6"/>
        <v>0</v>
      </c>
      <c r="T30" s="384"/>
      <c r="U30" s="385">
        <f t="shared" si="8"/>
        <v>0</v>
      </c>
      <c r="V30" s="589">
        <v>9</v>
      </c>
      <c r="W30" s="386"/>
      <c r="X30" s="387"/>
      <c r="AA30" s="376" t="s">
        <v>1135</v>
      </c>
      <c r="AB30" s="388"/>
      <c r="AD30" s="386">
        <v>1</v>
      </c>
      <c r="AE30" s="387">
        <v>1</v>
      </c>
      <c r="AG30" s="376" t="s">
        <v>1135</v>
      </c>
      <c r="AO30" s="585">
        <f t="shared" si="7"/>
        <v>0</v>
      </c>
      <c r="AP30" s="361">
        <v>0</v>
      </c>
    </row>
    <row r="31" spans="1:42" x14ac:dyDescent="0.25">
      <c r="A31" s="321" t="s">
        <v>1070</v>
      </c>
      <c r="B31" s="376" t="s">
        <v>1136</v>
      </c>
      <c r="C31" s="377" t="s">
        <v>1136</v>
      </c>
      <c r="D31" s="616">
        <v>678052.35</v>
      </c>
      <c r="E31" s="617"/>
      <c r="F31" s="617"/>
      <c r="G31" s="616">
        <v>2546.9</v>
      </c>
      <c r="H31" s="616"/>
      <c r="I31" s="616">
        <v>-49324.299999999996</v>
      </c>
      <c r="J31" s="378">
        <f t="shared" si="1"/>
        <v>631274.94999999995</v>
      </c>
      <c r="K31" s="588">
        <f t="shared" si="2"/>
        <v>3.5985491610435617E-4</v>
      </c>
      <c r="L31" s="379">
        <f t="shared" si="3"/>
        <v>631278.44999999995</v>
      </c>
      <c r="M31" s="380">
        <v>0.60485335786650773</v>
      </c>
      <c r="N31" s="390"/>
      <c r="O31" s="390"/>
      <c r="P31" s="382">
        <v>0.60002718129926613</v>
      </c>
      <c r="Q31" s="383"/>
      <c r="R31" s="588">
        <f t="shared" si="5"/>
        <v>0.60485335786650773</v>
      </c>
      <c r="S31" s="384">
        <f t="shared" si="6"/>
        <v>249458.46854458729</v>
      </c>
      <c r="T31" s="384"/>
      <c r="U31" s="385">
        <f t="shared" si="8"/>
        <v>247417.23175266571</v>
      </c>
      <c r="V31" s="589">
        <v>9</v>
      </c>
      <c r="W31" s="386">
        <v>11</v>
      </c>
      <c r="X31" s="387">
        <v>183</v>
      </c>
      <c r="AA31" s="376" t="s">
        <v>1136</v>
      </c>
      <c r="AB31" s="388"/>
      <c r="AD31" s="386">
        <v>7</v>
      </c>
      <c r="AE31" s="387">
        <v>15</v>
      </c>
      <c r="AG31" s="376" t="s">
        <v>1136</v>
      </c>
      <c r="AO31" s="585">
        <f t="shared" si="7"/>
        <v>2610.5211974653066</v>
      </c>
      <c r="AP31" s="361">
        <v>244806.71055520041</v>
      </c>
    </row>
    <row r="32" spans="1:42" x14ac:dyDescent="0.25">
      <c r="A32" s="321" t="s">
        <v>1076</v>
      </c>
      <c r="B32" s="376" t="s">
        <v>1137</v>
      </c>
      <c r="C32" s="377" t="s">
        <v>1137</v>
      </c>
      <c r="D32" s="616">
        <v>0</v>
      </c>
      <c r="E32" s="617"/>
      <c r="F32" s="617"/>
      <c r="G32" s="616">
        <v>2636</v>
      </c>
      <c r="H32" s="616"/>
      <c r="I32" s="616">
        <v>0</v>
      </c>
      <c r="J32" s="378">
        <f t="shared" si="1"/>
        <v>2636</v>
      </c>
      <c r="K32" s="588">
        <f t="shared" si="2"/>
        <v>1.5026377315480091E-6</v>
      </c>
      <c r="L32" s="379">
        <f t="shared" si="3"/>
        <v>2636.01</v>
      </c>
      <c r="M32" s="380">
        <v>0</v>
      </c>
      <c r="N32" s="390"/>
      <c r="O32" s="390"/>
      <c r="P32" s="382">
        <v>0.41258219530543921</v>
      </c>
      <c r="Q32" s="383"/>
      <c r="R32" s="588">
        <f t="shared" si="5"/>
        <v>0</v>
      </c>
      <c r="S32" s="384">
        <f t="shared" si="6"/>
        <v>1548.4333331748624</v>
      </c>
      <c r="T32" s="384"/>
      <c r="U32" s="385">
        <f t="shared" si="8"/>
        <v>1535.7630113054352</v>
      </c>
      <c r="V32" s="589">
        <v>9</v>
      </c>
      <c r="W32" s="386">
        <v>26</v>
      </c>
      <c r="X32" s="387">
        <v>73</v>
      </c>
      <c r="AA32" s="376" t="s">
        <v>1137</v>
      </c>
      <c r="AB32" s="388"/>
      <c r="AD32" s="386">
        <v>26</v>
      </c>
      <c r="AE32" s="387">
        <v>49</v>
      </c>
      <c r="AG32" s="376" t="s">
        <v>1137</v>
      </c>
      <c r="AO32" s="585">
        <f t="shared" si="7"/>
        <v>16.203971998618727</v>
      </c>
      <c r="AP32" s="361">
        <v>1519.5590393068164</v>
      </c>
    </row>
    <row r="33" spans="1:42" x14ac:dyDescent="0.25">
      <c r="A33" s="321" t="s">
        <v>1076</v>
      </c>
      <c r="B33" s="376" t="s">
        <v>1138</v>
      </c>
      <c r="C33" s="377" t="s">
        <v>1138</v>
      </c>
      <c r="D33" s="616">
        <v>0</v>
      </c>
      <c r="E33" s="617"/>
      <c r="F33" s="617"/>
      <c r="G33" s="616">
        <v>0</v>
      </c>
      <c r="H33" s="616"/>
      <c r="I33" s="616">
        <v>0</v>
      </c>
      <c r="J33" s="378">
        <f t="shared" ref="J33:J40" si="9">SUM(D33:I33)</f>
        <v>0</v>
      </c>
      <c r="K33" s="588">
        <f t="shared" si="2"/>
        <v>0</v>
      </c>
      <c r="L33" s="379">
        <f t="shared" si="3"/>
        <v>0</v>
      </c>
      <c r="M33" s="380">
        <v>0</v>
      </c>
      <c r="N33" s="390"/>
      <c r="O33" s="390"/>
      <c r="P33" s="382">
        <v>0</v>
      </c>
      <c r="Q33" s="383"/>
      <c r="R33" s="588">
        <f t="shared" si="5"/>
        <v>0</v>
      </c>
      <c r="S33" s="384">
        <f t="shared" si="6"/>
        <v>0</v>
      </c>
      <c r="T33" s="384"/>
      <c r="U33" s="385">
        <f t="shared" si="8"/>
        <v>0</v>
      </c>
      <c r="V33" s="589">
        <v>9</v>
      </c>
      <c r="W33" s="386"/>
      <c r="X33" s="387"/>
      <c r="AA33" s="376"/>
      <c r="AB33" s="388"/>
      <c r="AD33" s="386"/>
      <c r="AE33" s="387"/>
      <c r="AG33" s="391" t="s">
        <v>1138</v>
      </c>
      <c r="AO33" s="585">
        <f t="shared" si="7"/>
        <v>0</v>
      </c>
      <c r="AP33" s="361">
        <v>0</v>
      </c>
    </row>
    <row r="34" spans="1:42" x14ac:dyDescent="0.25">
      <c r="A34" s="321" t="s">
        <v>1076</v>
      </c>
      <c r="B34" s="392" t="s">
        <v>1139</v>
      </c>
      <c r="C34" s="377" t="s">
        <v>1139</v>
      </c>
      <c r="D34" s="616">
        <v>714696.8</v>
      </c>
      <c r="E34" s="617"/>
      <c r="F34" s="617"/>
      <c r="G34" s="616">
        <v>0</v>
      </c>
      <c r="H34" s="617"/>
      <c r="I34" s="616">
        <v>0</v>
      </c>
      <c r="J34" s="378">
        <f t="shared" si="9"/>
        <v>714696.8</v>
      </c>
      <c r="K34" s="588">
        <f t="shared" si="2"/>
        <v>4.074090964706454E-4</v>
      </c>
      <c r="L34" s="379">
        <f t="shared" si="3"/>
        <v>714700.76</v>
      </c>
      <c r="M34" s="380">
        <v>0.63743203226203604</v>
      </c>
      <c r="N34" s="389"/>
      <c r="O34" s="389"/>
      <c r="P34" s="382">
        <v>0</v>
      </c>
      <c r="Q34" s="383"/>
      <c r="R34" s="588">
        <f t="shared" si="5"/>
        <v>0.63743203226203604</v>
      </c>
      <c r="S34" s="384">
        <f t="shared" si="6"/>
        <v>259126.1663248261</v>
      </c>
      <c r="T34" s="384"/>
      <c r="U34" s="385">
        <f t="shared" si="8"/>
        <v>257005.82193428365</v>
      </c>
      <c r="V34" s="589">
        <v>9</v>
      </c>
      <c r="W34" s="386"/>
      <c r="X34" s="387"/>
      <c r="AA34" s="392" t="s">
        <v>1139</v>
      </c>
      <c r="AB34" s="388"/>
      <c r="AD34" s="386"/>
      <c r="AE34" s="387"/>
      <c r="AG34" s="392" t="s">
        <v>1139</v>
      </c>
      <c r="AO34" s="585">
        <f t="shared" si="7"/>
        <v>2711.6912645038974</v>
      </c>
      <c r="AP34" s="361">
        <v>254294.13066977976</v>
      </c>
    </row>
    <row r="35" spans="1:42" x14ac:dyDescent="0.25">
      <c r="A35" s="321" t="s">
        <v>1076</v>
      </c>
      <c r="B35" s="392" t="s">
        <v>1140</v>
      </c>
      <c r="C35" s="377" t="s">
        <v>1140</v>
      </c>
      <c r="D35" s="616">
        <v>-176039.69</v>
      </c>
      <c r="E35" s="617"/>
      <c r="F35" s="617"/>
      <c r="G35" s="616">
        <v>0</v>
      </c>
      <c r="H35" s="617"/>
      <c r="I35" s="616">
        <v>0</v>
      </c>
      <c r="J35" s="378">
        <f t="shared" si="9"/>
        <v>-176039.69</v>
      </c>
      <c r="K35" s="588">
        <f t="shared" si="2"/>
        <v>-1.0035048575266113E-4</v>
      </c>
      <c r="L35" s="379">
        <f t="shared" si="3"/>
        <v>-176040.67</v>
      </c>
      <c r="M35" s="380">
        <v>0.50607881444939096</v>
      </c>
      <c r="N35" s="393"/>
      <c r="O35" s="393"/>
      <c r="P35" s="382">
        <v>0</v>
      </c>
      <c r="Q35" s="383"/>
      <c r="R35" s="588">
        <f t="shared" si="5"/>
        <v>0.50607881444939096</v>
      </c>
      <c r="S35" s="384">
        <f t="shared" si="6"/>
        <v>-86949.732388761695</v>
      </c>
      <c r="T35" s="384"/>
      <c r="U35" s="385">
        <f t="shared" si="8"/>
        <v>-86238.251259918179</v>
      </c>
      <c r="V35" s="589">
        <v>9</v>
      </c>
      <c r="W35" s="386"/>
      <c r="X35" s="387"/>
      <c r="AA35" s="392" t="s">
        <v>1140</v>
      </c>
      <c r="AB35" s="388"/>
      <c r="AD35" s="386"/>
      <c r="AE35" s="387"/>
      <c r="AG35" s="392" t="s">
        <v>1140</v>
      </c>
      <c r="AO35" s="585">
        <f t="shared" si="7"/>
        <v>-909.90745208646695</v>
      </c>
      <c r="AP35" s="361">
        <v>-85328.343807831712</v>
      </c>
    </row>
    <row r="36" spans="1:42" x14ac:dyDescent="0.25">
      <c r="A36" s="321" t="s">
        <v>1076</v>
      </c>
      <c r="B36" s="392" t="s">
        <v>1141</v>
      </c>
      <c r="C36" s="377" t="s">
        <v>1141</v>
      </c>
      <c r="D36" s="616">
        <v>0</v>
      </c>
      <c r="E36" s="617"/>
      <c r="F36" s="617"/>
      <c r="G36" s="616"/>
      <c r="H36" s="617"/>
      <c r="I36" s="616"/>
      <c r="J36" s="378">
        <f t="shared" si="9"/>
        <v>0</v>
      </c>
      <c r="K36" s="588">
        <f t="shared" si="2"/>
        <v>0</v>
      </c>
      <c r="L36" s="379">
        <f t="shared" si="3"/>
        <v>0</v>
      </c>
      <c r="M36" s="380">
        <v>0</v>
      </c>
      <c r="N36" s="393"/>
      <c r="O36" s="393"/>
      <c r="P36" s="382">
        <v>0</v>
      </c>
      <c r="Q36" s="383"/>
      <c r="R36" s="588">
        <f t="shared" si="5"/>
        <v>0</v>
      </c>
      <c r="S36" s="384">
        <f t="shared" si="6"/>
        <v>0</v>
      </c>
      <c r="T36" s="384"/>
      <c r="U36" s="385">
        <f t="shared" si="8"/>
        <v>0</v>
      </c>
      <c r="V36" s="589">
        <v>9</v>
      </c>
      <c r="W36" s="386"/>
      <c r="X36" s="387"/>
      <c r="AA36" s="392"/>
      <c r="AB36" s="388"/>
      <c r="AD36" s="386"/>
      <c r="AE36" s="387"/>
      <c r="AG36" s="392" t="s">
        <v>1141</v>
      </c>
      <c r="AO36" s="585">
        <f t="shared" si="7"/>
        <v>0</v>
      </c>
      <c r="AP36" s="361">
        <v>0</v>
      </c>
    </row>
    <row r="37" spans="1:42" x14ac:dyDescent="0.25">
      <c r="A37" s="321" t="s">
        <v>1076</v>
      </c>
      <c r="B37" s="392" t="s">
        <v>1142</v>
      </c>
      <c r="C37" s="394" t="s">
        <v>1142</v>
      </c>
      <c r="D37" s="616">
        <v>0</v>
      </c>
      <c r="E37" s="617"/>
      <c r="F37" s="617"/>
      <c r="G37" s="616"/>
      <c r="H37" s="617"/>
      <c r="I37" s="616">
        <v>0</v>
      </c>
      <c r="J37" s="378">
        <f t="shared" si="9"/>
        <v>0</v>
      </c>
      <c r="K37" s="588">
        <f t="shared" si="2"/>
        <v>0</v>
      </c>
      <c r="L37" s="379">
        <f t="shared" si="3"/>
        <v>0</v>
      </c>
      <c r="M37" s="380">
        <v>1</v>
      </c>
      <c r="N37" s="393"/>
      <c r="O37" s="393"/>
      <c r="P37" s="382">
        <v>0</v>
      </c>
      <c r="Q37" s="383"/>
      <c r="R37" s="588">
        <f t="shared" si="5"/>
        <v>1</v>
      </c>
      <c r="S37" s="384">
        <f t="shared" si="6"/>
        <v>0</v>
      </c>
      <c r="T37" s="384"/>
      <c r="U37" s="385">
        <f t="shared" si="8"/>
        <v>0</v>
      </c>
      <c r="V37" s="589">
        <v>9</v>
      </c>
      <c r="W37" s="386"/>
      <c r="X37" s="387"/>
      <c r="AA37" s="392"/>
      <c r="AB37" s="388"/>
      <c r="AD37" s="386"/>
      <c r="AE37" s="387"/>
      <c r="AG37" s="618" t="s">
        <v>1142</v>
      </c>
      <c r="AO37" s="585">
        <f t="shared" si="7"/>
        <v>0</v>
      </c>
      <c r="AP37" s="361">
        <v>0</v>
      </c>
    </row>
    <row r="38" spans="1:42" x14ac:dyDescent="0.25">
      <c r="A38" s="321" t="s">
        <v>1076</v>
      </c>
      <c r="B38" s="392" t="s">
        <v>1143</v>
      </c>
      <c r="C38" s="377" t="s">
        <v>1143</v>
      </c>
      <c r="D38" s="616">
        <v>0</v>
      </c>
      <c r="E38" s="617"/>
      <c r="F38" s="617"/>
      <c r="G38" s="616">
        <v>0</v>
      </c>
      <c r="H38" s="617"/>
      <c r="I38" s="616">
        <v>0</v>
      </c>
      <c r="J38" s="378">
        <f t="shared" si="9"/>
        <v>0</v>
      </c>
      <c r="K38" s="588">
        <f>J38/$J$42</f>
        <v>0</v>
      </c>
      <c r="L38" s="379">
        <f>ROUND(J38/$J$42*$J$43,2)</f>
        <v>0</v>
      </c>
      <c r="M38" s="380">
        <v>1</v>
      </c>
      <c r="N38" s="393"/>
      <c r="O38" s="393"/>
      <c r="P38" s="382">
        <v>0</v>
      </c>
      <c r="Q38" s="383"/>
      <c r="R38" s="588">
        <f t="shared" si="5"/>
        <v>1</v>
      </c>
      <c r="S38" s="384">
        <f t="shared" si="6"/>
        <v>0</v>
      </c>
      <c r="T38" s="384"/>
      <c r="U38" s="385">
        <f t="shared" si="8"/>
        <v>0</v>
      </c>
      <c r="V38" s="589">
        <v>9</v>
      </c>
      <c r="W38" s="386"/>
      <c r="X38" s="387"/>
      <c r="AA38" s="391" t="s">
        <v>1143</v>
      </c>
      <c r="AB38" s="388"/>
      <c r="AD38" s="386"/>
      <c r="AE38" s="387"/>
      <c r="AG38" s="391" t="s">
        <v>1143</v>
      </c>
      <c r="AO38" s="585">
        <f t="shared" si="7"/>
        <v>0</v>
      </c>
      <c r="AP38" s="361">
        <v>0</v>
      </c>
    </row>
    <row r="39" spans="1:42" x14ac:dyDescent="0.25">
      <c r="A39" s="321" t="s">
        <v>1076</v>
      </c>
      <c r="B39" s="376" t="s">
        <v>1144</v>
      </c>
      <c r="C39" s="377" t="s">
        <v>1144</v>
      </c>
      <c r="D39" s="616">
        <v>0</v>
      </c>
      <c r="E39" s="617"/>
      <c r="F39" s="617"/>
      <c r="G39" s="616">
        <v>0</v>
      </c>
      <c r="H39" s="617"/>
      <c r="I39" s="616">
        <v>-85853.449999999983</v>
      </c>
      <c r="J39" s="378">
        <f t="shared" si="9"/>
        <v>-85853.449999999983</v>
      </c>
      <c r="K39" s="588">
        <f>J39/$J$42</f>
        <v>-4.8940300968729284E-5</v>
      </c>
      <c r="L39" s="379">
        <f>ROUND(J39/$J$42*$J$43,2)</f>
        <v>-85853.93</v>
      </c>
      <c r="M39" s="380">
        <v>1</v>
      </c>
      <c r="N39" s="395"/>
      <c r="O39" s="395"/>
      <c r="P39" s="382">
        <v>0</v>
      </c>
      <c r="Q39" s="383"/>
      <c r="R39" s="588">
        <f t="shared" si="5"/>
        <v>1</v>
      </c>
      <c r="S39" s="384">
        <f t="shared" si="6"/>
        <v>0</v>
      </c>
      <c r="T39" s="384"/>
      <c r="U39" s="385">
        <f t="shared" si="8"/>
        <v>0</v>
      </c>
      <c r="V39" s="589">
        <v>9</v>
      </c>
      <c r="W39" s="386"/>
      <c r="X39" s="387"/>
      <c r="AA39" s="376" t="s">
        <v>1144</v>
      </c>
      <c r="AB39" s="388"/>
      <c r="AD39" s="386"/>
      <c r="AE39" s="387"/>
      <c r="AG39" s="591" t="s">
        <v>1144</v>
      </c>
      <c r="AO39" s="585">
        <f t="shared" si="7"/>
        <v>0</v>
      </c>
      <c r="AP39" s="361">
        <v>0</v>
      </c>
    </row>
    <row r="40" spans="1:42" x14ac:dyDescent="0.25">
      <c r="A40" s="321" t="s">
        <v>1076</v>
      </c>
      <c r="B40" s="376" t="s">
        <v>1145</v>
      </c>
      <c r="C40" s="583" t="s">
        <v>1145</v>
      </c>
      <c r="D40" s="616">
        <v>885148.01</v>
      </c>
      <c r="E40" s="617"/>
      <c r="F40" s="617"/>
      <c r="G40" s="616">
        <v>2111.7600000000002</v>
      </c>
      <c r="H40" s="617"/>
      <c r="I40" s="616">
        <v>0</v>
      </c>
      <c r="J40" s="378">
        <f t="shared" si="9"/>
        <v>887259.77</v>
      </c>
      <c r="K40" s="588">
        <f>J40/$J$42</f>
        <v>5.0577769654271945E-4</v>
      </c>
      <c r="L40" s="379">
        <f>ROUND(J40/$J$42*$J$43,2)</f>
        <v>887264.69</v>
      </c>
      <c r="M40" s="380">
        <v>1</v>
      </c>
      <c r="N40" s="396"/>
      <c r="O40" s="396"/>
      <c r="P40" s="382">
        <v>0.97665520781458248</v>
      </c>
      <c r="Q40" s="383"/>
      <c r="R40" s="588">
        <f t="shared" si="5"/>
        <v>1</v>
      </c>
      <c r="S40" s="384">
        <f t="shared" si="6"/>
        <v>49.298598345477302</v>
      </c>
      <c r="T40" s="384"/>
      <c r="U40" s="385">
        <f t="shared" si="8"/>
        <v>48.895204091836376</v>
      </c>
      <c r="V40" s="589">
        <v>9</v>
      </c>
      <c r="W40" s="386">
        <v>15</v>
      </c>
      <c r="X40" s="387">
        <v>79</v>
      </c>
      <c r="AA40" s="376" t="s">
        <v>1145</v>
      </c>
      <c r="AB40" s="388"/>
      <c r="AD40" s="386">
        <v>14</v>
      </c>
      <c r="AE40" s="387">
        <v>36</v>
      </c>
      <c r="AG40" s="376" t="s">
        <v>1145</v>
      </c>
      <c r="AO40" s="585">
        <f t="shared" si="7"/>
        <v>0.515897643150943</v>
      </c>
      <c r="AP40" s="361">
        <v>48.379306448685433</v>
      </c>
    </row>
    <row r="41" spans="1:42" x14ac:dyDescent="0.25">
      <c r="A41" s="321" t="s">
        <v>1085</v>
      </c>
      <c r="B41" s="397" t="s">
        <v>132</v>
      </c>
      <c r="C41" s="583" t="s">
        <v>132</v>
      </c>
      <c r="D41" s="616">
        <v>1977426.04</v>
      </c>
      <c r="E41" s="617"/>
      <c r="F41" s="617"/>
      <c r="G41" s="616">
        <v>8895.4</v>
      </c>
      <c r="H41" s="617"/>
      <c r="I41" s="616">
        <v>-8173.3000000000011</v>
      </c>
      <c r="J41" s="378">
        <f t="shared" si="1"/>
        <v>1978148.14</v>
      </c>
      <c r="K41" s="588">
        <f>J41/$J$42</f>
        <v>1.1276327897403314E-3</v>
      </c>
      <c r="L41" s="379">
        <f>ROUND(J41/$J$42*$J$43,2)</f>
        <v>1978159.11</v>
      </c>
      <c r="M41" s="380">
        <v>1</v>
      </c>
      <c r="N41" s="396"/>
      <c r="O41" s="396"/>
      <c r="P41" s="382">
        <v>1</v>
      </c>
      <c r="Q41" s="383"/>
      <c r="R41" s="588">
        <f t="shared" si="5"/>
        <v>1</v>
      </c>
      <c r="S41" s="384">
        <f t="shared" si="6"/>
        <v>0</v>
      </c>
      <c r="T41" s="384"/>
      <c r="U41" s="385">
        <f t="shared" si="8"/>
        <v>0</v>
      </c>
      <c r="V41" s="589">
        <v>9</v>
      </c>
      <c r="W41" s="386">
        <v>33</v>
      </c>
      <c r="X41" s="387">
        <v>502</v>
      </c>
      <c r="AA41" s="397" t="s">
        <v>132</v>
      </c>
      <c r="AB41" s="388"/>
      <c r="AD41" s="386">
        <v>17</v>
      </c>
      <c r="AE41" s="387">
        <v>307</v>
      </c>
      <c r="AG41" s="397" t="s">
        <v>132</v>
      </c>
      <c r="AO41" s="585">
        <f t="shared" si="7"/>
        <v>0</v>
      </c>
      <c r="AP41" s="361">
        <v>0</v>
      </c>
    </row>
    <row r="42" spans="1:42" ht="13.8" thickBot="1" x14ac:dyDescent="0.3">
      <c r="A42" s="368"/>
      <c r="B42" s="398" t="s">
        <v>1146</v>
      </c>
      <c r="C42" s="399"/>
      <c r="D42" s="400">
        <f t="shared" ref="D42:H42" si="10">SUM(D10:D41)</f>
        <v>1752131027.7199996</v>
      </c>
      <c r="E42" s="400">
        <f t="shared" si="10"/>
        <v>0</v>
      </c>
      <c r="F42" s="400">
        <f t="shared" si="10"/>
        <v>0</v>
      </c>
      <c r="G42" s="400">
        <f t="shared" si="10"/>
        <v>2576979.4499999997</v>
      </c>
      <c r="H42" s="400">
        <f t="shared" si="10"/>
        <v>0</v>
      </c>
      <c r="I42" s="400">
        <f>SUM(I10:I41)</f>
        <v>-459498.25999999972</v>
      </c>
      <c r="J42" s="400">
        <f>SUM(J10:J41)</f>
        <v>1754248508.9100001</v>
      </c>
      <c r="K42" s="401">
        <f>J42/$J$42</f>
        <v>1</v>
      </c>
      <c r="L42" s="592">
        <f>SUM(L10:L41)</f>
        <v>1754258239.0099998</v>
      </c>
      <c r="N42" s="402"/>
      <c r="O42" s="402"/>
      <c r="P42" s="402"/>
      <c r="S42" s="403">
        <f>SUM(S10:S41)</f>
        <v>899844226.01930821</v>
      </c>
      <c r="T42" s="403">
        <f>SUM(T10:T41)</f>
        <v>38436569.100223452</v>
      </c>
      <c r="U42" s="403">
        <f>SUM(U10:U41)</f>
        <v>930917665.08884871</v>
      </c>
      <c r="W42" s="404">
        <f>SUM(W10:W41)</f>
        <v>12145</v>
      </c>
      <c r="X42" s="404">
        <f>SUM(X10:X41)</f>
        <v>96156</v>
      </c>
      <c r="AA42" s="404">
        <f>SUM(AA10:AA41)</f>
        <v>0</v>
      </c>
      <c r="AB42" s="404">
        <f>SUM(AB10:AB41)</f>
        <v>0</v>
      </c>
      <c r="AD42" s="404">
        <f>SUM(AD10:AD41)</f>
        <v>12007</v>
      </c>
      <c r="AE42" s="404">
        <f>SUM(AE10:AE41)</f>
        <v>86730</v>
      </c>
      <c r="AO42" s="585">
        <f t="shared" si="7"/>
        <v>10133390.373896718</v>
      </c>
      <c r="AP42" s="361">
        <v>920784274.71495199</v>
      </c>
    </row>
    <row r="43" spans="1:42" ht="13.8" thickTop="1" x14ac:dyDescent="0.25">
      <c r="A43" s="368"/>
      <c r="B43" s="393"/>
      <c r="C43" s="368" t="s">
        <v>132</v>
      </c>
      <c r="I43" s="405" t="s">
        <v>1093</v>
      </c>
      <c r="J43" s="406">
        <v>1754258239.02</v>
      </c>
      <c r="L43" s="593">
        <f>L42-J43</f>
        <v>-1.0000228881835938E-2</v>
      </c>
      <c r="S43" s="384"/>
      <c r="T43" s="384"/>
      <c r="U43" s="407"/>
      <c r="AO43" s="585">
        <f t="shared" si="7"/>
        <v>0</v>
      </c>
      <c r="AP43" s="361"/>
    </row>
    <row r="44" spans="1:42" x14ac:dyDescent="0.25">
      <c r="B44" s="408" t="s">
        <v>1147</v>
      </c>
      <c r="C44" s="583"/>
      <c r="D44" s="374" t="s">
        <v>1091</v>
      </c>
      <c r="E44" s="409" t="s">
        <v>1105</v>
      </c>
      <c r="F44" s="409" t="s">
        <v>1106</v>
      </c>
      <c r="G44" s="409" t="str">
        <f>G9</f>
        <v>PB SA2 - PRO Fees</v>
      </c>
      <c r="H44" s="410" t="str">
        <f>H9</f>
        <v xml:space="preserve">HCS accrual </v>
      </c>
      <c r="I44" s="411" t="str">
        <f>I9</f>
        <v xml:space="preserve">HB Accrual </v>
      </c>
      <c r="J44" s="411" t="s">
        <v>661</v>
      </c>
      <c r="K44" s="373" t="s">
        <v>1029</v>
      </c>
      <c r="M44" s="374" t="str">
        <f>+D44</f>
        <v>HB</v>
      </c>
      <c r="N44" s="374" t="str">
        <f t="shared" ref="N44:R44" si="11">+E44</f>
        <v>ED Visit accrual</v>
      </c>
      <c r="O44" s="374" t="str">
        <f t="shared" si="11"/>
        <v>PB SA2 - HCS</v>
      </c>
      <c r="P44" s="374" t="str">
        <f t="shared" si="11"/>
        <v>PB SA2 - PRO Fees</v>
      </c>
      <c r="Q44" s="374" t="str">
        <f t="shared" si="11"/>
        <v xml:space="preserve">HCS accrual </v>
      </c>
      <c r="R44" s="374" t="str">
        <f t="shared" si="11"/>
        <v xml:space="preserve">HB Accrual </v>
      </c>
      <c r="S44" s="384"/>
      <c r="T44" s="384"/>
      <c r="U44" s="407"/>
      <c r="AO44" s="585">
        <f t="shared" si="7"/>
        <v>0</v>
      </c>
      <c r="AP44" s="361"/>
    </row>
    <row r="45" spans="1:42" x14ac:dyDescent="0.25">
      <c r="A45" s="321" t="s">
        <v>1082</v>
      </c>
      <c r="B45" s="412" t="s">
        <v>1114</v>
      </c>
      <c r="C45" s="413" t="s">
        <v>1114</v>
      </c>
      <c r="D45" s="414">
        <v>56804301.770000003</v>
      </c>
      <c r="E45" s="415">
        <v>66400</v>
      </c>
      <c r="F45" s="415">
        <v>2251302.4500000002</v>
      </c>
      <c r="G45" s="415">
        <v>3627706.6499999994</v>
      </c>
      <c r="H45" s="416">
        <v>1209000</v>
      </c>
      <c r="I45" s="417">
        <v>71925.72000000003</v>
      </c>
      <c r="J45" s="585">
        <f t="shared" ref="J45:J91" si="12">SUM(D45:I45)</f>
        <v>64030636.590000004</v>
      </c>
      <c r="K45" s="594">
        <f t="shared" ref="K45:K88" si="13">J45/$J$92</f>
        <v>6.3215772969575507E-2</v>
      </c>
      <c r="L45" s="595">
        <f>ROUND(J45/$J$92*$J$93,2)</f>
        <v>64505519.789999999</v>
      </c>
      <c r="M45" s="380">
        <v>0.19597301881887649</v>
      </c>
      <c r="N45" s="380">
        <f>M45</f>
        <v>0.19597301881887649</v>
      </c>
      <c r="O45" s="380">
        <v>0.22555287228434134</v>
      </c>
      <c r="P45" s="380">
        <v>0.52268189683220578</v>
      </c>
      <c r="Q45" s="383">
        <f>O45</f>
        <v>0.22555287228434134</v>
      </c>
      <c r="R45" s="418">
        <f>+M45</f>
        <v>0.19597301881887649</v>
      </c>
      <c r="S45" s="384">
        <f>D45*(1-M45)+E45*(1-N45)+H45*(1-Q45)+I45*(1-R45)+F45*(1-O45)+G45*(1-P45)</f>
        <v>50194800.23176311</v>
      </c>
      <c r="T45" s="384"/>
      <c r="U45" s="385">
        <f t="shared" ref="U45:U57" si="14">S45/$S$93*$S$95+S45</f>
        <v>49784072.652162358</v>
      </c>
      <c r="V45" s="419">
        <v>3</v>
      </c>
      <c r="W45" s="420"/>
      <c r="X45" s="421"/>
      <c r="AA45" s="376" t="s">
        <v>1114</v>
      </c>
      <c r="AJ45" s="583" t="s">
        <v>1114</v>
      </c>
      <c r="AO45" s="585">
        <f t="shared" si="7"/>
        <v>525276.17431490123</v>
      </c>
      <c r="AP45" s="361">
        <v>49258796.477847457</v>
      </c>
    </row>
    <row r="46" spans="1:42" x14ac:dyDescent="0.25">
      <c r="A46" s="321" t="s">
        <v>1040</v>
      </c>
      <c r="B46" s="412" t="s">
        <v>1115</v>
      </c>
      <c r="C46" s="413" t="s">
        <v>1115</v>
      </c>
      <c r="D46" s="414">
        <v>0</v>
      </c>
      <c r="E46" s="415">
        <v>0</v>
      </c>
      <c r="F46" s="415">
        <v>0</v>
      </c>
      <c r="G46" s="415">
        <v>0</v>
      </c>
      <c r="H46" s="422">
        <v>0</v>
      </c>
      <c r="I46" s="423">
        <v>0</v>
      </c>
      <c r="J46" s="585">
        <f t="shared" si="12"/>
        <v>0</v>
      </c>
      <c r="K46" s="594">
        <f t="shared" si="13"/>
        <v>0</v>
      </c>
      <c r="L46" s="595">
        <f t="shared" ref="L46:L91" si="15">ROUND(J46/$J$92*$J$93,2)</f>
        <v>0</v>
      </c>
      <c r="M46" s="380">
        <v>0</v>
      </c>
      <c r="N46" s="380">
        <f t="shared" ref="N46:N88" si="16">M46</f>
        <v>0</v>
      </c>
      <c r="O46" s="380">
        <v>0</v>
      </c>
      <c r="P46" s="380">
        <v>0</v>
      </c>
      <c r="Q46" s="383">
        <f t="shared" ref="Q46:Q88" si="17">O46</f>
        <v>0</v>
      </c>
      <c r="R46" s="418">
        <f t="shared" ref="R46:R88" si="18">+M46</f>
        <v>0</v>
      </c>
      <c r="S46" s="384">
        <f t="shared" ref="S46:S91" si="19">D46*(1-M46)+E46*(1-N46)+H46*(1-Q46)+I46*(1-R46)+F46*(1-O46)+G46*(1-P46)</f>
        <v>0</v>
      </c>
      <c r="T46" s="384"/>
      <c r="U46" s="385">
        <f t="shared" si="14"/>
        <v>0</v>
      </c>
      <c r="V46" s="419">
        <v>8</v>
      </c>
      <c r="W46" s="420"/>
      <c r="X46" s="421"/>
      <c r="AA46" s="376" t="s">
        <v>1115</v>
      </c>
      <c r="AJ46" s="583" t="s">
        <v>1115</v>
      </c>
      <c r="AO46" s="585">
        <f t="shared" si="7"/>
        <v>0</v>
      </c>
      <c r="AP46" s="361">
        <v>0</v>
      </c>
    </row>
    <row r="47" spans="1:42" x14ac:dyDescent="0.25">
      <c r="A47" s="321" t="s">
        <v>1082</v>
      </c>
      <c r="B47" s="412" t="s">
        <v>1116</v>
      </c>
      <c r="C47" s="413" t="s">
        <v>1116</v>
      </c>
      <c r="D47" s="414">
        <v>149336760.51000002</v>
      </c>
      <c r="E47" s="415">
        <v>206800</v>
      </c>
      <c r="F47" s="415">
        <v>6432375.5</v>
      </c>
      <c r="G47" s="415">
        <v>7838505.5899999999</v>
      </c>
      <c r="H47" s="422">
        <v>3453000</v>
      </c>
      <c r="I47" s="423">
        <v>429326.23999999993</v>
      </c>
      <c r="J47" s="585">
        <f t="shared" si="12"/>
        <v>167696767.84000003</v>
      </c>
      <c r="K47" s="594">
        <f t="shared" si="13"/>
        <v>0.16556263326547466</v>
      </c>
      <c r="L47" s="595">
        <f t="shared" si="15"/>
        <v>168940490.88999999</v>
      </c>
      <c r="M47" s="380">
        <v>0.2499232829657787</v>
      </c>
      <c r="N47" s="380">
        <f t="shared" si="16"/>
        <v>0.2499232829657787</v>
      </c>
      <c r="O47" s="380">
        <v>0.50462913831472267</v>
      </c>
      <c r="P47" s="380">
        <v>0.59042853132574447</v>
      </c>
      <c r="Q47" s="383">
        <f t="shared" si="17"/>
        <v>0.50462913831472267</v>
      </c>
      <c r="R47" s="418">
        <f t="shared" si="18"/>
        <v>0.2499232829657787</v>
      </c>
      <c r="S47" s="384">
        <f t="shared" si="19"/>
        <v>120598525.76381026</v>
      </c>
      <c r="T47" s="384"/>
      <c r="U47" s="385">
        <f t="shared" si="14"/>
        <v>119611707.6001423</v>
      </c>
      <c r="V47" s="419">
        <v>1</v>
      </c>
      <c r="W47" s="420"/>
      <c r="X47" s="421"/>
      <c r="AA47" s="376" t="s">
        <v>1116</v>
      </c>
      <c r="AJ47" s="583" t="s">
        <v>1116</v>
      </c>
      <c r="AO47" s="585">
        <f t="shared" si="7"/>
        <v>1262033.7554634809</v>
      </c>
      <c r="AP47" s="361">
        <v>118349673.84467882</v>
      </c>
    </row>
    <row r="48" spans="1:42" x14ac:dyDescent="0.25">
      <c r="A48" s="321" t="s">
        <v>1082</v>
      </c>
      <c r="B48" s="412" t="s">
        <v>1117</v>
      </c>
      <c r="C48" s="413" t="s">
        <v>1117</v>
      </c>
      <c r="D48" s="414">
        <v>125696184.05</v>
      </c>
      <c r="E48" s="415">
        <v>161500</v>
      </c>
      <c r="F48" s="415">
        <v>6619764.2000000002</v>
      </c>
      <c r="G48" s="415">
        <v>6955936.7800000012</v>
      </c>
      <c r="H48" s="422">
        <v>3554000</v>
      </c>
      <c r="I48" s="423">
        <v>85422.250000000116</v>
      </c>
      <c r="J48" s="585">
        <f t="shared" si="12"/>
        <v>143072807.28</v>
      </c>
      <c r="K48" s="594">
        <f t="shared" si="13"/>
        <v>0.14125204097291189</v>
      </c>
      <c r="L48" s="595">
        <f t="shared" si="15"/>
        <v>144133906.72999999</v>
      </c>
      <c r="M48" s="380">
        <v>0.23143736170206539</v>
      </c>
      <c r="N48" s="380">
        <f t="shared" si="16"/>
        <v>0.23143736170206539</v>
      </c>
      <c r="O48" s="380">
        <v>0.56559413437964612</v>
      </c>
      <c r="P48" s="380">
        <v>0.53222957217595435</v>
      </c>
      <c r="Q48" s="383">
        <f t="shared" si="17"/>
        <v>0.56559413437964612</v>
      </c>
      <c r="R48" s="418">
        <f t="shared" si="18"/>
        <v>0.23143736170206539</v>
      </c>
      <c r="S48" s="384">
        <f t="shared" si="19"/>
        <v>104468490.4207812</v>
      </c>
      <c r="T48" s="384"/>
      <c r="U48" s="385">
        <f t="shared" si="14"/>
        <v>103613659.04348806</v>
      </c>
      <c r="V48" s="419">
        <v>2</v>
      </c>
      <c r="W48" s="420"/>
      <c r="X48" s="421"/>
      <c r="AA48" s="376" t="s">
        <v>1117</v>
      </c>
      <c r="AJ48" s="583" t="s">
        <v>1117</v>
      </c>
      <c r="AO48" s="585">
        <f t="shared" si="7"/>
        <v>1093236.9235719293</v>
      </c>
      <c r="AP48" s="361">
        <v>102520422.11991613</v>
      </c>
    </row>
    <row r="49" spans="1:42" x14ac:dyDescent="0.25">
      <c r="A49" s="321" t="s">
        <v>1082</v>
      </c>
      <c r="B49" s="412" t="s">
        <v>1118</v>
      </c>
      <c r="C49" s="413" t="s">
        <v>1118</v>
      </c>
      <c r="D49" s="414">
        <v>87089882.970000014</v>
      </c>
      <c r="E49" s="415">
        <v>99600</v>
      </c>
      <c r="F49" s="415">
        <v>3890228.1</v>
      </c>
      <c r="G49" s="415">
        <v>6814047.6000000006</v>
      </c>
      <c r="H49" s="422">
        <v>-67000</v>
      </c>
      <c r="I49" s="423">
        <v>269709.92000000004</v>
      </c>
      <c r="J49" s="585">
        <f t="shared" si="12"/>
        <v>98096468.590000004</v>
      </c>
      <c r="K49" s="594">
        <f t="shared" si="13"/>
        <v>9.6848078010066452E-2</v>
      </c>
      <c r="L49" s="595">
        <f t="shared" si="15"/>
        <v>98824001.030000001</v>
      </c>
      <c r="M49" s="380">
        <v>0.25666976030176542</v>
      </c>
      <c r="N49" s="380">
        <f t="shared" si="16"/>
        <v>0.25666976030176542</v>
      </c>
      <c r="O49" s="380">
        <v>0.23201827662598923</v>
      </c>
      <c r="P49" s="380">
        <v>0.51311377097894162</v>
      </c>
      <c r="Q49" s="383">
        <f t="shared" si="17"/>
        <v>0.23201827662598923</v>
      </c>
      <c r="R49" s="418">
        <f t="shared" si="18"/>
        <v>0.25666976030176542</v>
      </c>
      <c r="S49" s="384">
        <f t="shared" si="19"/>
        <v>71264898.060161784</v>
      </c>
      <c r="T49" s="384"/>
      <c r="U49" s="385">
        <f t="shared" si="14"/>
        <v>70681760.783878282</v>
      </c>
      <c r="V49" s="419">
        <v>3</v>
      </c>
      <c r="W49" s="420"/>
      <c r="X49" s="421"/>
      <c r="AA49" s="376" t="s">
        <v>1118</v>
      </c>
      <c r="AJ49" s="583" t="s">
        <v>1118</v>
      </c>
      <c r="AO49" s="585">
        <f t="shared" si="7"/>
        <v>745769.53873988986</v>
      </c>
      <c r="AP49" s="361">
        <v>69935991.245138392</v>
      </c>
    </row>
    <row r="50" spans="1:42" x14ac:dyDescent="0.25">
      <c r="A50" s="321" t="s">
        <v>1082</v>
      </c>
      <c r="B50" s="412" t="s">
        <v>1119</v>
      </c>
      <c r="C50" s="413" t="s">
        <v>1119</v>
      </c>
      <c r="D50" s="414">
        <v>456225.78999999992</v>
      </c>
      <c r="E50" s="415">
        <v>100</v>
      </c>
      <c r="F50" s="415">
        <v>3940.1600000000003</v>
      </c>
      <c r="G50" s="415">
        <v>22151.600000000002</v>
      </c>
      <c r="H50" s="422">
        <v>2000</v>
      </c>
      <c r="I50" s="423">
        <v>-6714.26</v>
      </c>
      <c r="J50" s="585">
        <f t="shared" si="12"/>
        <v>477703.28999999986</v>
      </c>
      <c r="K50" s="594">
        <f t="shared" si="13"/>
        <v>4.7162396527189178E-4</v>
      </c>
      <c r="L50" s="595">
        <f t="shared" si="15"/>
        <v>481246.18</v>
      </c>
      <c r="M50" s="380">
        <v>0.11071410879698104</v>
      </c>
      <c r="N50" s="380">
        <f t="shared" si="16"/>
        <v>0.11071410879698104</v>
      </c>
      <c r="O50" s="380">
        <v>0.9440088430361091</v>
      </c>
      <c r="P50" s="380">
        <v>0.15036173213747148</v>
      </c>
      <c r="Q50" s="383">
        <f t="shared" si="17"/>
        <v>0.9440088430361091</v>
      </c>
      <c r="R50" s="418">
        <f t="shared" si="18"/>
        <v>0.11071410879698104</v>
      </c>
      <c r="S50" s="384">
        <f t="shared" si="19"/>
        <v>418986.63363653701</v>
      </c>
      <c r="T50" s="384"/>
      <c r="U50" s="385">
        <f t="shared" si="14"/>
        <v>415558.20349787688</v>
      </c>
      <c r="V50" s="419">
        <v>3</v>
      </c>
      <c r="W50" s="420"/>
      <c r="AA50" s="376" t="s">
        <v>1119</v>
      </c>
      <c r="AJ50" s="583" t="s">
        <v>1119</v>
      </c>
      <c r="AO50" s="585">
        <f t="shared" si="7"/>
        <v>4384.5915311843273</v>
      </c>
      <c r="AP50" s="361">
        <v>411173.61196669255</v>
      </c>
    </row>
    <row r="51" spans="1:42" x14ac:dyDescent="0.25">
      <c r="A51" s="321" t="s">
        <v>1085</v>
      </c>
      <c r="B51" s="412" t="s">
        <v>1120</v>
      </c>
      <c r="C51" s="413" t="s">
        <v>1120</v>
      </c>
      <c r="D51" s="414">
        <v>1703376.62</v>
      </c>
      <c r="E51" s="415">
        <v>1100</v>
      </c>
      <c r="F51" s="415">
        <v>19836.86</v>
      </c>
      <c r="G51" s="415">
        <v>292872.62</v>
      </c>
      <c r="H51" s="422">
        <v>11000</v>
      </c>
      <c r="I51" s="423">
        <v>-718.79999999999927</v>
      </c>
      <c r="J51" s="585">
        <f t="shared" si="12"/>
        <v>2027467.3</v>
      </c>
      <c r="K51" s="594">
        <f t="shared" si="13"/>
        <v>2.0016654427586138E-3</v>
      </c>
      <c r="L51" s="595">
        <f t="shared" si="15"/>
        <v>2042504.01</v>
      </c>
      <c r="M51" s="380">
        <v>0.19354958065012332</v>
      </c>
      <c r="N51" s="380">
        <f t="shared" si="16"/>
        <v>0.19354958065012332</v>
      </c>
      <c r="O51" s="380">
        <v>0</v>
      </c>
      <c r="P51" s="380">
        <v>0.36058074807841445</v>
      </c>
      <c r="Q51" s="383">
        <f t="shared" si="17"/>
        <v>0</v>
      </c>
      <c r="R51" s="418">
        <f t="shared" si="18"/>
        <v>0.19354958065012332</v>
      </c>
      <c r="S51" s="384">
        <f t="shared" si="19"/>
        <v>1592101.4599983469</v>
      </c>
      <c r="T51" s="384"/>
      <c r="U51" s="385">
        <f t="shared" si="14"/>
        <v>1579073.8161761856</v>
      </c>
      <c r="V51" s="419">
        <v>3</v>
      </c>
      <c r="W51" s="420"/>
      <c r="X51" s="421"/>
      <c r="AA51" s="376" t="s">
        <v>1120</v>
      </c>
      <c r="AJ51" s="583" t="s">
        <v>1120</v>
      </c>
      <c r="AO51" s="585">
        <f t="shared" si="7"/>
        <v>16660.948149363976</v>
      </c>
      <c r="AP51" s="361">
        <v>1562412.8680268216</v>
      </c>
    </row>
    <row r="52" spans="1:42" x14ac:dyDescent="0.25">
      <c r="A52" s="321" t="s">
        <v>1082</v>
      </c>
      <c r="B52" s="412" t="s">
        <v>1121</v>
      </c>
      <c r="C52" s="413" t="s">
        <v>1121</v>
      </c>
      <c r="D52" s="414">
        <v>13456995.389999999</v>
      </c>
      <c r="E52" s="415">
        <v>14900</v>
      </c>
      <c r="F52" s="415">
        <v>600263.51</v>
      </c>
      <c r="G52" s="415">
        <v>733686.21</v>
      </c>
      <c r="H52" s="422">
        <v>241000</v>
      </c>
      <c r="I52" s="423">
        <v>-21786.850000000013</v>
      </c>
      <c r="J52" s="585">
        <f t="shared" si="12"/>
        <v>15025058.26</v>
      </c>
      <c r="K52" s="594">
        <f t="shared" si="13"/>
        <v>1.4833847083243644E-2</v>
      </c>
      <c r="L52" s="595">
        <f t="shared" si="15"/>
        <v>15136491.6</v>
      </c>
      <c r="M52" s="380">
        <v>0.18847364265099978</v>
      </c>
      <c r="N52" s="380">
        <f t="shared" si="16"/>
        <v>0.18847364265099978</v>
      </c>
      <c r="O52" s="380">
        <v>0.1432278184997591</v>
      </c>
      <c r="P52" s="380">
        <v>0.42632158537529963</v>
      </c>
      <c r="Q52" s="383">
        <f t="shared" si="17"/>
        <v>0.1432278184997591</v>
      </c>
      <c r="R52" s="418">
        <f t="shared" si="18"/>
        <v>0.18847364265099978</v>
      </c>
      <c r="S52" s="384">
        <f t="shared" si="19"/>
        <v>12056788.703878934</v>
      </c>
      <c r="T52" s="384"/>
      <c r="U52" s="385">
        <f t="shared" si="14"/>
        <v>11958131.958175456</v>
      </c>
      <c r="V52" s="419">
        <v>3</v>
      </c>
      <c r="W52" s="420"/>
      <c r="X52" s="421"/>
      <c r="AA52" s="376" t="s">
        <v>1121</v>
      </c>
      <c r="AJ52" s="583" t="s">
        <v>1121</v>
      </c>
      <c r="AO52" s="585">
        <f t="shared" si="7"/>
        <v>126171.31287812069</v>
      </c>
      <c r="AP52" s="361">
        <v>11831960.645297335</v>
      </c>
    </row>
    <row r="53" spans="1:42" x14ac:dyDescent="0.25">
      <c r="A53" s="321" t="s">
        <v>1082</v>
      </c>
      <c r="B53" s="413" t="s">
        <v>1122</v>
      </c>
      <c r="C53" s="413" t="s">
        <v>1122</v>
      </c>
      <c r="D53" s="414">
        <v>38452941.189999998</v>
      </c>
      <c r="E53" s="415">
        <v>56100</v>
      </c>
      <c r="F53" s="415">
        <v>741743.48</v>
      </c>
      <c r="G53" s="415">
        <v>2054507.2100000002</v>
      </c>
      <c r="H53" s="422">
        <v>312000</v>
      </c>
      <c r="I53" s="423">
        <v>30921.93000000008</v>
      </c>
      <c r="J53" s="585">
        <f t="shared" si="12"/>
        <v>41648213.809999995</v>
      </c>
      <c r="K53" s="594">
        <f t="shared" si="13"/>
        <v>4.1118192306282352E-2</v>
      </c>
      <c r="L53" s="595">
        <f t="shared" si="15"/>
        <v>41957097.780000001</v>
      </c>
      <c r="M53" s="380">
        <v>0.35394902425040381</v>
      </c>
      <c r="N53" s="380">
        <f t="shared" si="16"/>
        <v>0.35394902425040381</v>
      </c>
      <c r="O53" s="380">
        <v>0.63581309601866565</v>
      </c>
      <c r="P53" s="380">
        <v>0.30782114394358873</v>
      </c>
      <c r="Q53" s="383">
        <f t="shared" si="17"/>
        <v>0.63581309601866565</v>
      </c>
      <c r="R53" s="418">
        <f t="shared" si="18"/>
        <v>0.35394902425040381</v>
      </c>
      <c r="S53" s="384">
        <f t="shared" si="19"/>
        <v>26704626.80497862</v>
      </c>
      <c r="T53" s="384"/>
      <c r="U53" s="385">
        <f t="shared" si="14"/>
        <v>26486111.606569491</v>
      </c>
      <c r="V53" s="419">
        <v>3</v>
      </c>
      <c r="W53" s="420"/>
      <c r="X53" s="421"/>
      <c r="AA53" s="376" t="s">
        <v>1123</v>
      </c>
      <c r="AJ53" s="583" t="s">
        <v>1123</v>
      </c>
      <c r="AO53" s="585">
        <f t="shared" si="7"/>
        <v>279457.31708978489</v>
      </c>
      <c r="AP53" s="361">
        <v>26206654.289479706</v>
      </c>
    </row>
    <row r="54" spans="1:42" x14ac:dyDescent="0.25">
      <c r="A54" s="321" t="s">
        <v>1082</v>
      </c>
      <c r="B54" s="376" t="s">
        <v>1124</v>
      </c>
      <c r="C54" s="376" t="s">
        <v>1124</v>
      </c>
      <c r="D54" s="414">
        <v>0</v>
      </c>
      <c r="E54" s="415"/>
      <c r="F54" s="415"/>
      <c r="G54" s="415"/>
      <c r="H54" s="422"/>
      <c r="I54" s="423"/>
      <c r="J54" s="585">
        <f t="shared" si="12"/>
        <v>0</v>
      </c>
      <c r="K54" s="594">
        <f t="shared" si="13"/>
        <v>0</v>
      </c>
      <c r="L54" s="595">
        <f t="shared" si="15"/>
        <v>0</v>
      </c>
      <c r="M54" s="380">
        <v>0</v>
      </c>
      <c r="N54" s="380">
        <f t="shared" si="16"/>
        <v>0</v>
      </c>
      <c r="O54" s="380">
        <v>0</v>
      </c>
      <c r="P54" s="380">
        <v>0</v>
      </c>
      <c r="Q54" s="383">
        <f t="shared" si="17"/>
        <v>0</v>
      </c>
      <c r="R54" s="418">
        <f t="shared" si="18"/>
        <v>0</v>
      </c>
      <c r="S54" s="384">
        <f t="shared" si="19"/>
        <v>0</v>
      </c>
      <c r="T54" s="384"/>
      <c r="U54" s="385">
        <f t="shared" si="14"/>
        <v>0</v>
      </c>
      <c r="V54" s="419">
        <v>3</v>
      </c>
      <c r="W54" s="420"/>
      <c r="X54" s="421"/>
      <c r="AA54" s="376" t="s">
        <v>1124</v>
      </c>
      <c r="AJ54" s="583" t="s">
        <v>1124</v>
      </c>
      <c r="AO54" s="585">
        <f t="shared" si="7"/>
        <v>0</v>
      </c>
      <c r="AP54" s="361">
        <v>0</v>
      </c>
    </row>
    <row r="55" spans="1:42" x14ac:dyDescent="0.25">
      <c r="A55" s="321" t="s">
        <v>1052</v>
      </c>
      <c r="B55" s="412" t="s">
        <v>1125</v>
      </c>
      <c r="C55" s="413" t="s">
        <v>1125</v>
      </c>
      <c r="D55" s="414">
        <v>6228407.9299999997</v>
      </c>
      <c r="E55" s="415">
        <v>6100</v>
      </c>
      <c r="F55" s="415">
        <v>142706.65</v>
      </c>
      <c r="G55" s="415">
        <v>1705592.01</v>
      </c>
      <c r="H55" s="422">
        <v>77000</v>
      </c>
      <c r="I55" s="423">
        <v>5828.6500000000005</v>
      </c>
      <c r="J55" s="585">
        <f t="shared" si="12"/>
        <v>8165635.2400000002</v>
      </c>
      <c r="K55" s="594">
        <f t="shared" si="13"/>
        <v>8.0617181239272962E-3</v>
      </c>
      <c r="L55" s="595">
        <f t="shared" si="15"/>
        <v>8226195.6699999999</v>
      </c>
      <c r="M55" s="380">
        <v>0.8620831387578044</v>
      </c>
      <c r="N55" s="380">
        <f t="shared" si="16"/>
        <v>0.8620831387578044</v>
      </c>
      <c r="O55" s="380">
        <v>0.8825316470598622</v>
      </c>
      <c r="P55" s="380">
        <v>0.77351028685024814</v>
      </c>
      <c r="Q55" s="383">
        <f t="shared" si="17"/>
        <v>0.8825316470598622</v>
      </c>
      <c r="R55" s="418">
        <f t="shared" si="18"/>
        <v>0.8620831387578044</v>
      </c>
      <c r="S55" s="384">
        <f t="shared" si="19"/>
        <v>1272755.2576093613</v>
      </c>
      <c r="T55" s="384"/>
      <c r="U55" s="385">
        <f t="shared" si="14"/>
        <v>1262340.7189725239</v>
      </c>
      <c r="V55" s="419">
        <v>8</v>
      </c>
      <c r="W55" s="420"/>
      <c r="X55" s="421"/>
      <c r="AA55" s="376" t="s">
        <v>1125</v>
      </c>
      <c r="AJ55" s="583" t="s">
        <v>1125</v>
      </c>
      <c r="AO55" s="585">
        <f t="shared" si="7"/>
        <v>13319.069096188061</v>
      </c>
      <c r="AP55" s="361">
        <v>1249021.6498763359</v>
      </c>
    </row>
    <row r="56" spans="1:42" x14ac:dyDescent="0.25">
      <c r="A56" s="321" t="s">
        <v>1052</v>
      </c>
      <c r="B56" s="412" t="s">
        <v>1126</v>
      </c>
      <c r="C56" s="413" t="s">
        <v>1126</v>
      </c>
      <c r="D56" s="414">
        <v>3286820.67</v>
      </c>
      <c r="E56" s="415">
        <v>6400</v>
      </c>
      <c r="F56" s="415">
        <v>100047.47</v>
      </c>
      <c r="G56" s="415">
        <v>52458.28</v>
      </c>
      <c r="H56" s="422">
        <v>54000</v>
      </c>
      <c r="I56" s="423">
        <v>8499.8000000000029</v>
      </c>
      <c r="J56" s="585">
        <f t="shared" si="12"/>
        <v>3508226.2199999997</v>
      </c>
      <c r="K56" s="594">
        <f t="shared" si="13"/>
        <v>3.4635799995164792E-3</v>
      </c>
      <c r="L56" s="595">
        <f t="shared" si="15"/>
        <v>3534244.98</v>
      </c>
      <c r="M56" s="380">
        <v>0.76</v>
      </c>
      <c r="N56" s="380">
        <f t="shared" si="16"/>
        <v>0.76</v>
      </c>
      <c r="O56" s="380">
        <v>0.84625071117155726</v>
      </c>
      <c r="P56" s="380">
        <v>0.82069706683466437</v>
      </c>
      <c r="Q56" s="383">
        <f t="shared" si="17"/>
        <v>0.84625071117155726</v>
      </c>
      <c r="R56" s="418">
        <f t="shared" si="18"/>
        <v>0.76</v>
      </c>
      <c r="S56" s="384">
        <f t="shared" si="19"/>
        <v>825503.52523112937</v>
      </c>
      <c r="T56" s="384"/>
      <c r="U56" s="385">
        <f t="shared" si="14"/>
        <v>818748.70076117327</v>
      </c>
      <c r="V56" s="419">
        <v>8</v>
      </c>
      <c r="W56" s="420"/>
      <c r="X56" s="421"/>
      <c r="AA56" s="376" t="s">
        <v>1126</v>
      </c>
      <c r="AJ56" s="583" t="s">
        <v>1126</v>
      </c>
      <c r="AO56" s="585">
        <f t="shared" si="7"/>
        <v>8638.6902949057985</v>
      </c>
      <c r="AP56" s="361">
        <v>810110.01046626747</v>
      </c>
    </row>
    <row r="57" spans="1:42" x14ac:dyDescent="0.25">
      <c r="A57" s="321" t="s">
        <v>1052</v>
      </c>
      <c r="B57" s="412" t="s">
        <v>1127</v>
      </c>
      <c r="C57" s="413" t="s">
        <v>1127</v>
      </c>
      <c r="D57" s="414">
        <v>3428392.55</v>
      </c>
      <c r="E57" s="415">
        <v>3800</v>
      </c>
      <c r="F57" s="415">
        <v>135682.57</v>
      </c>
      <c r="G57" s="415">
        <v>307532.90000000002</v>
      </c>
      <c r="H57" s="422">
        <v>73000</v>
      </c>
      <c r="I57" s="423">
        <v>-7565.0999999999967</v>
      </c>
      <c r="J57" s="585">
        <f t="shared" si="12"/>
        <v>3940842.9199999995</v>
      </c>
      <c r="K57" s="594">
        <f t="shared" si="13"/>
        <v>3.8906911535904658E-3</v>
      </c>
      <c r="L57" s="595">
        <f t="shared" si="15"/>
        <v>3970070.18</v>
      </c>
      <c r="M57" s="380">
        <v>0.89532140250245829</v>
      </c>
      <c r="N57" s="380">
        <f t="shared" si="16"/>
        <v>0.89532140250245829</v>
      </c>
      <c r="O57" s="380">
        <v>0.94036840218797235</v>
      </c>
      <c r="P57" s="380">
        <v>0.46021005345239591</v>
      </c>
      <c r="Q57" s="383">
        <f t="shared" si="17"/>
        <v>0.94036840218797235</v>
      </c>
      <c r="R57" s="418">
        <f t="shared" si="18"/>
        <v>0.89532140250245829</v>
      </c>
      <c r="S57" s="384">
        <f t="shared" si="19"/>
        <v>536932.4411548326</v>
      </c>
      <c r="T57" s="384"/>
      <c r="U57" s="385">
        <f t="shared" si="14"/>
        <v>532538.89917545649</v>
      </c>
      <c r="V57" s="419">
        <v>8</v>
      </c>
      <c r="W57" s="420"/>
      <c r="X57" s="421"/>
      <c r="AA57" s="376" t="s">
        <v>1127</v>
      </c>
      <c r="AJ57" s="583" t="s">
        <v>1127</v>
      </c>
      <c r="AO57" s="585">
        <f t="shared" si="7"/>
        <v>5618.8652460637968</v>
      </c>
      <c r="AP57" s="361">
        <v>526920.0339293927</v>
      </c>
    </row>
    <row r="58" spans="1:42" x14ac:dyDescent="0.25">
      <c r="A58" s="321" t="s">
        <v>1040</v>
      </c>
      <c r="B58" s="412" t="s">
        <v>1128</v>
      </c>
      <c r="C58" s="413" t="s">
        <v>1128</v>
      </c>
      <c r="D58" s="414">
        <v>28747593.710000005</v>
      </c>
      <c r="E58" s="415">
        <v>32700</v>
      </c>
      <c r="F58" s="415">
        <v>3853974.5199999996</v>
      </c>
      <c r="G58" s="415">
        <v>7326580.3900000006</v>
      </c>
      <c r="H58" s="422">
        <v>1516000</v>
      </c>
      <c r="I58" s="423">
        <v>-43510.569999999978</v>
      </c>
      <c r="J58" s="585">
        <f t="shared" si="12"/>
        <v>41433338.050000004</v>
      </c>
      <c r="K58" s="594">
        <f t="shared" si="13"/>
        <v>4.0906051087887127E-2</v>
      </c>
      <c r="L58" s="595">
        <f t="shared" si="15"/>
        <v>41740628.390000001</v>
      </c>
      <c r="M58" s="380">
        <v>0.79214200210568386</v>
      </c>
      <c r="N58" s="380">
        <f t="shared" si="16"/>
        <v>0.79214200210568386</v>
      </c>
      <c r="O58" s="380">
        <v>0.82051599734695257</v>
      </c>
      <c r="P58" s="380">
        <v>0.80243938414071059</v>
      </c>
      <c r="Q58" s="383">
        <f t="shared" si="17"/>
        <v>0.82051599734695257</v>
      </c>
      <c r="R58" s="418">
        <f t="shared" si="18"/>
        <v>0.79214200210568386</v>
      </c>
      <c r="S58" s="384">
        <f>D58*(1-M58)+E58*(1-N58)+H58*(1-Q58)+I58*(1-R58)+F58*(1-O58)+G58*(1-P58)</f>
        <v>8384438.4643890094</v>
      </c>
      <c r="T58" s="384">
        <f>G164+L163</f>
        <v>14992122.639776554</v>
      </c>
      <c r="U58" s="385">
        <f>S58/$S$93*$S$95+S58+T58</f>
        <v>23307953.995443359</v>
      </c>
      <c r="V58" s="419">
        <v>8</v>
      </c>
      <c r="W58" s="420"/>
      <c r="X58" s="421"/>
      <c r="AA58" s="376" t="s">
        <v>1128</v>
      </c>
      <c r="AJ58" s="583" t="s">
        <v>1128</v>
      </c>
      <c r="AO58" s="585">
        <f t="shared" si="7"/>
        <v>-15256664.325558007</v>
      </c>
      <c r="AP58" s="361">
        <v>38564618.321001366</v>
      </c>
    </row>
    <row r="59" spans="1:42" x14ac:dyDescent="0.25">
      <c r="A59" s="321" t="s">
        <v>1044</v>
      </c>
      <c r="B59" s="412" t="s">
        <v>1129</v>
      </c>
      <c r="C59" s="413" t="s">
        <v>1129</v>
      </c>
      <c r="D59" s="414">
        <v>2068748.0299999998</v>
      </c>
      <c r="E59" s="415">
        <v>900</v>
      </c>
      <c r="F59" s="415">
        <v>476895.37</v>
      </c>
      <c r="G59" s="415">
        <v>21964.799999999999</v>
      </c>
      <c r="H59" s="422">
        <v>256000</v>
      </c>
      <c r="I59" s="423">
        <v>-781.14999999999964</v>
      </c>
      <c r="J59" s="585">
        <f t="shared" si="12"/>
        <v>2823727.05</v>
      </c>
      <c r="K59" s="594">
        <f t="shared" si="13"/>
        <v>2.7877918700675093E-3</v>
      </c>
      <c r="L59" s="595">
        <f t="shared" si="15"/>
        <v>2844669.22</v>
      </c>
      <c r="M59" s="380">
        <v>0.49026827199267892</v>
      </c>
      <c r="N59" s="380">
        <f t="shared" si="16"/>
        <v>0.49026827199267892</v>
      </c>
      <c r="O59" s="380">
        <v>0.30577531741655595</v>
      </c>
      <c r="P59" s="380">
        <v>0.50170382287512327</v>
      </c>
      <c r="Q59" s="383">
        <f t="shared" si="17"/>
        <v>0.30577531741655595</v>
      </c>
      <c r="R59" s="418">
        <f t="shared" si="18"/>
        <v>0.49026827199267892</v>
      </c>
      <c r="S59" s="384">
        <f t="shared" si="19"/>
        <v>1574306.1212359529</v>
      </c>
      <c r="T59" s="384"/>
      <c r="U59" s="385">
        <f>S59/$S$93*$S$95+S59</f>
        <v>1561424.090831602</v>
      </c>
      <c r="V59" s="419">
        <v>8</v>
      </c>
      <c r="W59" s="420"/>
      <c r="X59" s="421"/>
      <c r="AA59" s="376" t="s">
        <v>1129</v>
      </c>
      <c r="AJ59" s="583" t="s">
        <v>1129</v>
      </c>
      <c r="AO59" s="585">
        <f t="shared" si="7"/>
        <v>16474.724328916753</v>
      </c>
      <c r="AP59" s="361">
        <v>1544949.3665026852</v>
      </c>
    </row>
    <row r="60" spans="1:42" x14ac:dyDescent="0.25">
      <c r="A60" s="321" t="s">
        <v>1044</v>
      </c>
      <c r="B60" s="412" t="s">
        <v>1130</v>
      </c>
      <c r="C60" s="413" t="s">
        <v>1130</v>
      </c>
      <c r="D60" s="414">
        <v>1148133.46</v>
      </c>
      <c r="E60" s="415">
        <v>1200</v>
      </c>
      <c r="F60" s="415">
        <v>2940</v>
      </c>
      <c r="G60" s="415">
        <v>18072.27</v>
      </c>
      <c r="H60" s="422">
        <v>-154000</v>
      </c>
      <c r="I60" s="423">
        <v>-802.7000000000005</v>
      </c>
      <c r="J60" s="585">
        <f t="shared" si="12"/>
        <v>1015543.03</v>
      </c>
      <c r="K60" s="594">
        <f t="shared" si="13"/>
        <v>1.0026190749342168E-3</v>
      </c>
      <c r="L60" s="595">
        <f t="shared" si="15"/>
        <v>1023074.8</v>
      </c>
      <c r="M60" s="380">
        <v>0.5274752529551554</v>
      </c>
      <c r="N60" s="380">
        <f t="shared" si="16"/>
        <v>0.5274752529551554</v>
      </c>
      <c r="O60" s="380">
        <v>0</v>
      </c>
      <c r="P60" s="380">
        <v>0.53536465201160988</v>
      </c>
      <c r="Q60" s="383">
        <f t="shared" si="17"/>
        <v>0</v>
      </c>
      <c r="R60" s="418">
        <f t="shared" si="18"/>
        <v>0.5274752529551554</v>
      </c>
      <c r="S60" s="384">
        <f t="shared" si="19"/>
        <v>400046.2223026132</v>
      </c>
      <c r="T60" s="384"/>
      <c r="U60" s="385">
        <f>S60/$S$93*$S$95+S60</f>
        <v>396772.77533487725</v>
      </c>
      <c r="V60" s="419">
        <v>8</v>
      </c>
      <c r="W60" s="420"/>
      <c r="X60" s="421"/>
      <c r="AA60" s="376" t="s">
        <v>1130</v>
      </c>
      <c r="AJ60" s="583" t="s">
        <v>1130</v>
      </c>
      <c r="AO60" s="585">
        <f t="shared" si="7"/>
        <v>4186.3848093825509</v>
      </c>
      <c r="AP60" s="361">
        <v>392586.3905254947</v>
      </c>
    </row>
    <row r="61" spans="1:42" x14ac:dyDescent="0.25">
      <c r="A61" s="321" t="s">
        <v>1044</v>
      </c>
      <c r="B61" s="413" t="s">
        <v>1131</v>
      </c>
      <c r="C61" s="413" t="s">
        <v>1131</v>
      </c>
      <c r="D61" s="414">
        <v>307596974.93000001</v>
      </c>
      <c r="E61" s="415">
        <v>405100</v>
      </c>
      <c r="F61" s="415">
        <v>19754126.859999999</v>
      </c>
      <c r="G61" s="415">
        <v>19459950.919999998</v>
      </c>
      <c r="H61" s="422">
        <v>7893000</v>
      </c>
      <c r="I61" s="423">
        <v>50713.889999999898</v>
      </c>
      <c r="J61" s="585">
        <f t="shared" si="12"/>
        <v>355159866.60000002</v>
      </c>
      <c r="K61" s="594">
        <f t="shared" si="13"/>
        <v>0.35064004811716531</v>
      </c>
      <c r="L61" s="595">
        <f t="shared" si="15"/>
        <v>357793909.68000001</v>
      </c>
      <c r="M61" s="380">
        <v>0.8283900055483242</v>
      </c>
      <c r="N61" s="380">
        <f t="shared" si="16"/>
        <v>0.8283900055483242</v>
      </c>
      <c r="O61" s="380">
        <v>0.78760867722786831</v>
      </c>
      <c r="P61" s="380">
        <v>0.71455783485132462</v>
      </c>
      <c r="Q61" s="383">
        <f t="shared" si="17"/>
        <v>0.78760867722786831</v>
      </c>
      <c r="R61" s="418">
        <f t="shared" si="18"/>
        <v>0.8283900055483242</v>
      </c>
      <c r="S61" s="384">
        <f>D61*(1-M61)+E61*(1-N61)+H61*(1-Q61)+I61*(1-R61)+F61*(1-O61)+G61*(1-P61)</f>
        <v>64291637.749159545</v>
      </c>
      <c r="T61" s="384">
        <f>F164</f>
        <v>9651993.9199999999</v>
      </c>
      <c r="U61" s="385">
        <f>S61/$S$93*$S$95+S61+T61</f>
        <v>73417554.293826729</v>
      </c>
      <c r="V61" s="419">
        <v>4</v>
      </c>
      <c r="W61" s="420"/>
      <c r="X61" s="421"/>
      <c r="AA61" s="376" t="s">
        <v>1132</v>
      </c>
      <c r="AJ61" s="583" t="s">
        <v>1132</v>
      </c>
      <c r="AO61" s="585">
        <f t="shared" si="7"/>
        <v>852780.92275623977</v>
      </c>
      <c r="AP61" s="361">
        <v>72564773.371070489</v>
      </c>
    </row>
    <row r="62" spans="1:42" x14ac:dyDescent="0.25">
      <c r="A62" s="321" t="s">
        <v>344</v>
      </c>
      <c r="B62" s="412" t="s">
        <v>296</v>
      </c>
      <c r="C62" s="413" t="s">
        <v>296</v>
      </c>
      <c r="D62" s="414">
        <v>21886868.350000001</v>
      </c>
      <c r="E62" s="415">
        <v>23300</v>
      </c>
      <c r="F62" s="415">
        <v>245672.21</v>
      </c>
      <c r="G62" s="415">
        <v>91539.06</v>
      </c>
      <c r="H62" s="422">
        <v>55000</v>
      </c>
      <c r="I62" s="423">
        <v>-151965.05000000002</v>
      </c>
      <c r="J62" s="585">
        <f t="shared" si="12"/>
        <v>22150414.57</v>
      </c>
      <c r="K62" s="594">
        <f t="shared" si="13"/>
        <v>2.18685250250625E-2</v>
      </c>
      <c r="L62" s="595">
        <f t="shared" si="15"/>
        <v>22314693.120000001</v>
      </c>
      <c r="M62" s="380">
        <v>0.93742078833912712</v>
      </c>
      <c r="N62" s="380">
        <f t="shared" si="16"/>
        <v>0.93742078833912712</v>
      </c>
      <c r="O62" s="380">
        <v>1</v>
      </c>
      <c r="P62" s="380">
        <v>0.75034109184369491</v>
      </c>
      <c r="Q62" s="383">
        <f t="shared" si="17"/>
        <v>1</v>
      </c>
      <c r="R62" s="418">
        <f t="shared" si="18"/>
        <v>0.93742078833912712</v>
      </c>
      <c r="S62" s="384">
        <f t="shared" si="19"/>
        <v>1384464.7514442573</v>
      </c>
      <c r="T62" s="384"/>
      <c r="U62" s="385">
        <f t="shared" ref="U62:U91" si="20">S62/$S$93*$S$95+S62</f>
        <v>1373136.1306752195</v>
      </c>
      <c r="V62" s="419">
        <v>9</v>
      </c>
      <c r="W62" s="420"/>
      <c r="X62" s="421"/>
      <c r="AA62" s="376" t="s">
        <v>296</v>
      </c>
      <c r="AJ62" s="583" t="s">
        <v>296</v>
      </c>
      <c r="AO62" s="585">
        <f t="shared" si="7"/>
        <v>14488.081330230692</v>
      </c>
      <c r="AP62" s="361">
        <v>1358648.0493449888</v>
      </c>
    </row>
    <row r="63" spans="1:42" x14ac:dyDescent="0.25">
      <c r="A63" s="321" t="s">
        <v>1061</v>
      </c>
      <c r="B63" s="412" t="s">
        <v>1133</v>
      </c>
      <c r="C63" s="413" t="s">
        <v>1133</v>
      </c>
      <c r="D63" s="414">
        <v>207512.42</v>
      </c>
      <c r="E63" s="415">
        <v>100</v>
      </c>
      <c r="F63" s="415">
        <v>149831.44</v>
      </c>
      <c r="G63" s="415">
        <v>13922</v>
      </c>
      <c r="H63" s="422">
        <v>80000</v>
      </c>
      <c r="I63" s="423">
        <v>2191</v>
      </c>
      <c r="J63" s="585">
        <f t="shared" si="12"/>
        <v>453556.86</v>
      </c>
      <c r="K63" s="594">
        <f t="shared" si="13"/>
        <v>4.4778482641278928E-4</v>
      </c>
      <c r="L63" s="595">
        <f t="shared" si="15"/>
        <v>456920.66</v>
      </c>
      <c r="M63" s="380">
        <v>0.63560928445817266</v>
      </c>
      <c r="N63" s="380">
        <f t="shared" si="16"/>
        <v>0.63560928445817266</v>
      </c>
      <c r="O63" s="380">
        <v>0.68504767353790763</v>
      </c>
      <c r="P63" s="380">
        <v>0.57037428394789036</v>
      </c>
      <c r="Q63" s="383">
        <f t="shared" si="17"/>
        <v>0.68504767353790763</v>
      </c>
      <c r="R63" s="418">
        <f t="shared" si="18"/>
        <v>0.63560928445817266</v>
      </c>
      <c r="S63" s="384">
        <f t="shared" si="19"/>
        <v>154817.61427793279</v>
      </c>
      <c r="T63" s="384"/>
      <c r="U63" s="385">
        <f t="shared" si="20"/>
        <v>153550.7925414514</v>
      </c>
      <c r="V63" s="419">
        <v>9</v>
      </c>
      <c r="W63" s="420"/>
      <c r="X63" s="421"/>
      <c r="AA63" s="376" t="s">
        <v>1133</v>
      </c>
      <c r="AJ63" s="583" t="s">
        <v>1133</v>
      </c>
      <c r="AO63" s="585">
        <f t="shared" si="7"/>
        <v>1620.1280564717017</v>
      </c>
      <c r="AP63" s="361">
        <v>151930.6644849797</v>
      </c>
    </row>
    <row r="64" spans="1:42" x14ac:dyDescent="0.25">
      <c r="A64" s="321" t="s">
        <v>1061</v>
      </c>
      <c r="B64" s="412" t="s">
        <v>1134</v>
      </c>
      <c r="C64" s="413" t="s">
        <v>1134</v>
      </c>
      <c r="D64" s="414">
        <v>26580861.539999999</v>
      </c>
      <c r="E64" s="415">
        <v>21400</v>
      </c>
      <c r="F64" s="415">
        <v>1423367.42</v>
      </c>
      <c r="G64" s="415">
        <v>1446161.01</v>
      </c>
      <c r="H64" s="422">
        <v>607000</v>
      </c>
      <c r="I64" s="423">
        <v>-92135.679999999964</v>
      </c>
      <c r="J64" s="585">
        <f t="shared" si="12"/>
        <v>29986654.290000003</v>
      </c>
      <c r="K64" s="594">
        <f t="shared" si="13"/>
        <v>2.9605039566478995E-2</v>
      </c>
      <c r="L64" s="595">
        <f t="shared" si="15"/>
        <v>30209050.309999999</v>
      </c>
      <c r="M64" s="380">
        <v>0.69103253284831989</v>
      </c>
      <c r="N64" s="380">
        <f t="shared" si="16"/>
        <v>0.69103253284831989</v>
      </c>
      <c r="O64" s="380">
        <v>0.70310996378079804</v>
      </c>
      <c r="P64" s="380">
        <v>0.69513738324016217</v>
      </c>
      <c r="Q64" s="383">
        <f t="shared" si="17"/>
        <v>0.70310996378079804</v>
      </c>
      <c r="R64" s="418">
        <f t="shared" si="18"/>
        <v>0.69103253284831989</v>
      </c>
      <c r="S64" s="384">
        <f t="shared" si="19"/>
        <v>9234442.7274631951</v>
      </c>
      <c r="T64" s="384"/>
      <c r="U64" s="385">
        <f t="shared" si="20"/>
        <v>9158880.3127728254</v>
      </c>
      <c r="V64" s="419">
        <v>9</v>
      </c>
      <c r="W64" s="420"/>
      <c r="X64" s="421"/>
      <c r="AA64" s="376" t="s">
        <v>1134</v>
      </c>
      <c r="AJ64" s="583" t="s">
        <v>1134</v>
      </c>
      <c r="AO64" s="585">
        <f t="shared" si="7"/>
        <v>96636.160028832033</v>
      </c>
      <c r="AP64" s="361">
        <v>9062244.1527439933</v>
      </c>
    </row>
    <row r="65" spans="1:42" x14ac:dyDescent="0.25">
      <c r="A65" s="321" t="s">
        <v>1070</v>
      </c>
      <c r="B65" s="412" t="s">
        <v>1135</v>
      </c>
      <c r="C65" s="413" t="s">
        <v>1135</v>
      </c>
      <c r="D65" s="414">
        <v>558878.73</v>
      </c>
      <c r="E65" s="415">
        <v>900</v>
      </c>
      <c r="F65" s="415">
        <v>0</v>
      </c>
      <c r="G65" s="415">
        <v>3147.5</v>
      </c>
      <c r="H65" s="422">
        <v>0</v>
      </c>
      <c r="I65" s="423">
        <v>1696.3</v>
      </c>
      <c r="J65" s="585">
        <f t="shared" si="12"/>
        <v>564622.53</v>
      </c>
      <c r="K65" s="594">
        <f t="shared" si="13"/>
        <v>5.5743705780307215E-4</v>
      </c>
      <c r="L65" s="595">
        <f t="shared" si="15"/>
        <v>568810.05000000005</v>
      </c>
      <c r="M65" s="380">
        <v>0.50191185915659142</v>
      </c>
      <c r="N65" s="380">
        <f t="shared" si="16"/>
        <v>0.50191185915659142</v>
      </c>
      <c r="O65" s="380">
        <v>0</v>
      </c>
      <c r="P65" s="380">
        <v>0.65588343397217119</v>
      </c>
      <c r="Q65" s="383">
        <f t="shared" si="17"/>
        <v>0</v>
      </c>
      <c r="R65" s="418">
        <f t="shared" si="18"/>
        <v>0.50191185915659142</v>
      </c>
      <c r="S65" s="384">
        <f t="shared" si="19"/>
        <v>280747.16071426962</v>
      </c>
      <c r="T65" s="384"/>
      <c r="U65" s="385">
        <f t="shared" si="20"/>
        <v>278449.89882125409</v>
      </c>
      <c r="V65" s="419">
        <v>9</v>
      </c>
      <c r="W65" s="420"/>
      <c r="AA65" s="376" t="s">
        <v>1135</v>
      </c>
      <c r="AJ65" s="583" t="s">
        <v>1135</v>
      </c>
      <c r="AO65" s="585">
        <f t="shared" si="7"/>
        <v>2937.9496252370882</v>
      </c>
      <c r="AP65" s="361">
        <v>275511.949196017</v>
      </c>
    </row>
    <row r="66" spans="1:42" x14ac:dyDescent="0.25">
      <c r="A66" s="321" t="s">
        <v>1070</v>
      </c>
      <c r="B66" s="412" t="s">
        <v>1136</v>
      </c>
      <c r="C66" s="413" t="s">
        <v>1136</v>
      </c>
      <c r="D66" s="414">
        <v>703343.57</v>
      </c>
      <c r="E66" s="415">
        <v>500</v>
      </c>
      <c r="F66" s="415">
        <v>12437.09</v>
      </c>
      <c r="G66" s="415">
        <v>125249.15</v>
      </c>
      <c r="H66" s="422">
        <v>5000</v>
      </c>
      <c r="I66" s="423">
        <v>-14954.5</v>
      </c>
      <c r="J66" s="585">
        <f t="shared" si="12"/>
        <v>831575.30999999994</v>
      </c>
      <c r="K66" s="594">
        <f t="shared" si="13"/>
        <v>8.2099255612077258E-4</v>
      </c>
      <c r="L66" s="595">
        <f t="shared" si="15"/>
        <v>837742.69</v>
      </c>
      <c r="M66" s="380">
        <v>0.59640353099912624</v>
      </c>
      <c r="N66" s="380">
        <f t="shared" si="16"/>
        <v>0.59640353099912624</v>
      </c>
      <c r="O66" s="380">
        <v>0.55555685362804774</v>
      </c>
      <c r="P66" s="380">
        <v>1</v>
      </c>
      <c r="Q66" s="383">
        <f t="shared" si="17"/>
        <v>0.55555685362804774</v>
      </c>
      <c r="R66" s="418">
        <f t="shared" si="18"/>
        <v>0.59640353099912624</v>
      </c>
      <c r="S66" s="384">
        <f t="shared" si="19"/>
        <v>285782.99132846668</v>
      </c>
      <c r="T66" s="384"/>
      <c r="U66" s="385">
        <f t="shared" si="20"/>
        <v>283444.52288596996</v>
      </c>
      <c r="V66" s="419">
        <v>9</v>
      </c>
      <c r="W66" s="420"/>
      <c r="X66" s="421"/>
      <c r="AA66" s="376" t="s">
        <v>1136</v>
      </c>
      <c r="AJ66" s="583" t="s">
        <v>1136</v>
      </c>
      <c r="AO66" s="585">
        <f t="shared" si="7"/>
        <v>2990.6483475611312</v>
      </c>
      <c r="AP66" s="361">
        <v>280453.87453840883</v>
      </c>
    </row>
    <row r="67" spans="1:42" x14ac:dyDescent="0.25">
      <c r="A67" s="321" t="s">
        <v>1076</v>
      </c>
      <c r="B67" s="412" t="s">
        <v>1137</v>
      </c>
      <c r="C67" s="424" t="s">
        <v>1137</v>
      </c>
      <c r="D67" s="414">
        <v>0</v>
      </c>
      <c r="E67" s="415">
        <v>0</v>
      </c>
      <c r="F67" s="415">
        <v>-15173.600000000002</v>
      </c>
      <c r="G67" s="415">
        <v>465418.37999999995</v>
      </c>
      <c r="H67" s="422">
        <v>-22000</v>
      </c>
      <c r="I67" s="423">
        <v>0</v>
      </c>
      <c r="J67" s="585">
        <f t="shared" si="12"/>
        <v>428244.77999999997</v>
      </c>
      <c r="K67" s="594">
        <f t="shared" si="13"/>
        <v>4.2279487179288418E-4</v>
      </c>
      <c r="L67" s="595">
        <f t="shared" si="15"/>
        <v>431420.86</v>
      </c>
      <c r="M67" s="380">
        <v>0</v>
      </c>
      <c r="N67" s="380">
        <f t="shared" si="16"/>
        <v>0</v>
      </c>
      <c r="O67" s="380">
        <v>0.33635188063459509</v>
      </c>
      <c r="P67" s="380">
        <v>0.1994039843694447</v>
      </c>
      <c r="Q67" s="383">
        <f t="shared" si="17"/>
        <v>0.33635188063459509</v>
      </c>
      <c r="R67" s="418">
        <f t="shared" si="18"/>
        <v>0</v>
      </c>
      <c r="S67" s="384">
        <f t="shared" si="19"/>
        <v>347941.91089918581</v>
      </c>
      <c r="T67" s="384"/>
      <c r="U67" s="385">
        <f t="shared" si="20"/>
        <v>345094.81641438993</v>
      </c>
      <c r="V67" s="419">
        <v>9</v>
      </c>
      <c r="W67" s="420"/>
      <c r="X67" s="421"/>
      <c r="AA67" s="376" t="s">
        <v>1137</v>
      </c>
      <c r="AJ67" s="583" t="s">
        <v>1137</v>
      </c>
      <c r="AO67" s="585">
        <f t="shared" si="7"/>
        <v>3641.1260727617191</v>
      </c>
      <c r="AP67" s="361">
        <v>341453.69034162821</v>
      </c>
    </row>
    <row r="68" spans="1:42" x14ac:dyDescent="0.25">
      <c r="A68" s="321" t="s">
        <v>1076</v>
      </c>
      <c r="B68" s="425" t="s">
        <v>1148</v>
      </c>
      <c r="C68" s="426" t="s">
        <v>1148</v>
      </c>
      <c r="D68" s="414">
        <v>0</v>
      </c>
      <c r="E68" s="415">
        <v>0</v>
      </c>
      <c r="F68" s="415">
        <v>0</v>
      </c>
      <c r="G68" s="415">
        <v>0</v>
      </c>
      <c r="H68" s="422">
        <v>0</v>
      </c>
      <c r="I68" s="423">
        <v>0</v>
      </c>
      <c r="J68" s="585">
        <f t="shared" si="12"/>
        <v>0</v>
      </c>
      <c r="K68" s="594">
        <f t="shared" si="13"/>
        <v>0</v>
      </c>
      <c r="L68" s="595">
        <f t="shared" si="15"/>
        <v>0</v>
      </c>
      <c r="M68" s="380">
        <v>0</v>
      </c>
      <c r="N68" s="380">
        <f t="shared" si="16"/>
        <v>0</v>
      </c>
      <c r="O68" s="380">
        <v>0</v>
      </c>
      <c r="P68" s="380">
        <v>0</v>
      </c>
      <c r="Q68" s="383">
        <f t="shared" si="17"/>
        <v>0</v>
      </c>
      <c r="R68" s="418">
        <f t="shared" si="18"/>
        <v>0</v>
      </c>
      <c r="S68" s="384">
        <f t="shared" si="19"/>
        <v>0</v>
      </c>
      <c r="T68" s="384"/>
      <c r="U68" s="385">
        <f t="shared" si="20"/>
        <v>0</v>
      </c>
      <c r="V68" s="419">
        <v>9</v>
      </c>
      <c r="W68" s="420"/>
      <c r="AA68" s="427" t="s">
        <v>1148</v>
      </c>
      <c r="AJ68" s="583" t="s">
        <v>1148</v>
      </c>
      <c r="AO68" s="585">
        <f t="shared" si="7"/>
        <v>0</v>
      </c>
      <c r="AP68" s="361">
        <v>0</v>
      </c>
    </row>
    <row r="69" spans="1:42" x14ac:dyDescent="0.25">
      <c r="A69" s="321" t="s">
        <v>1076</v>
      </c>
      <c r="B69" s="425" t="s">
        <v>1149</v>
      </c>
      <c r="C69" s="426" t="s">
        <v>1149</v>
      </c>
      <c r="D69" s="414">
        <v>-3357.1</v>
      </c>
      <c r="E69" s="415">
        <v>0</v>
      </c>
      <c r="F69" s="415">
        <v>0</v>
      </c>
      <c r="G69" s="415">
        <v>0</v>
      </c>
      <c r="H69" s="422">
        <v>0</v>
      </c>
      <c r="I69" s="423">
        <v>0</v>
      </c>
      <c r="J69" s="585">
        <f t="shared" si="12"/>
        <v>-3357.1</v>
      </c>
      <c r="K69" s="594">
        <f t="shared" si="13"/>
        <v>-3.314377034778781E-6</v>
      </c>
      <c r="L69" s="595">
        <f t="shared" si="15"/>
        <v>-3382</v>
      </c>
      <c r="M69" s="380">
        <v>1</v>
      </c>
      <c r="N69" s="380">
        <f t="shared" si="16"/>
        <v>1</v>
      </c>
      <c r="O69" s="380">
        <v>0</v>
      </c>
      <c r="P69" s="380">
        <v>0</v>
      </c>
      <c r="Q69" s="383">
        <f t="shared" si="17"/>
        <v>0</v>
      </c>
      <c r="R69" s="418">
        <f t="shared" si="18"/>
        <v>1</v>
      </c>
      <c r="S69" s="384">
        <f t="shared" si="19"/>
        <v>0</v>
      </c>
      <c r="T69" s="384"/>
      <c r="U69" s="385">
        <f t="shared" si="20"/>
        <v>0</v>
      </c>
      <c r="V69" s="419">
        <v>9</v>
      </c>
      <c r="W69" s="420"/>
      <c r="AA69" s="427" t="s">
        <v>1149</v>
      </c>
      <c r="AJ69" s="583" t="s">
        <v>1149</v>
      </c>
      <c r="AO69" s="585">
        <f t="shared" si="7"/>
        <v>0</v>
      </c>
      <c r="AP69" s="361">
        <v>0</v>
      </c>
    </row>
    <row r="70" spans="1:42" x14ac:dyDescent="0.25">
      <c r="A70" s="321" t="s">
        <v>1076</v>
      </c>
      <c r="B70" s="425" t="s">
        <v>1150</v>
      </c>
      <c r="C70" s="426" t="s">
        <v>1150</v>
      </c>
      <c r="D70" s="414">
        <v>19923.099999999999</v>
      </c>
      <c r="E70" s="415">
        <v>-100</v>
      </c>
      <c r="F70" s="415">
        <v>0</v>
      </c>
      <c r="G70" s="415">
        <v>0</v>
      </c>
      <c r="H70" s="422">
        <v>0</v>
      </c>
      <c r="I70" s="423">
        <v>0</v>
      </c>
      <c r="J70" s="585">
        <f t="shared" si="12"/>
        <v>19823.099999999999</v>
      </c>
      <c r="K70" s="594">
        <f t="shared" si="13"/>
        <v>1.9570828214269238E-5</v>
      </c>
      <c r="L70" s="595">
        <f t="shared" si="15"/>
        <v>19970.12</v>
      </c>
      <c r="M70" s="380">
        <v>1</v>
      </c>
      <c r="N70" s="380">
        <f t="shared" si="16"/>
        <v>1</v>
      </c>
      <c r="O70" s="380">
        <v>0</v>
      </c>
      <c r="P70" s="380">
        <v>0</v>
      </c>
      <c r="Q70" s="383">
        <f t="shared" si="17"/>
        <v>0</v>
      </c>
      <c r="R70" s="418">
        <f t="shared" si="18"/>
        <v>1</v>
      </c>
      <c r="S70" s="384">
        <f t="shared" si="19"/>
        <v>0</v>
      </c>
      <c r="T70" s="384"/>
      <c r="U70" s="385">
        <f t="shared" si="20"/>
        <v>0</v>
      </c>
      <c r="V70" s="419">
        <v>9</v>
      </c>
      <c r="W70" s="420"/>
      <c r="AA70" s="427" t="s">
        <v>1150</v>
      </c>
      <c r="AJ70" s="583" t="s">
        <v>1150</v>
      </c>
      <c r="AO70" s="585">
        <f t="shared" si="7"/>
        <v>0</v>
      </c>
      <c r="AP70" s="361">
        <v>0</v>
      </c>
    </row>
    <row r="71" spans="1:42" x14ac:dyDescent="0.25">
      <c r="A71" s="321" t="s">
        <v>1076</v>
      </c>
      <c r="B71" s="428" t="s">
        <v>1151</v>
      </c>
      <c r="C71" s="428" t="s">
        <v>1151</v>
      </c>
      <c r="D71" s="414">
        <v>0</v>
      </c>
      <c r="E71" s="415">
        <v>0</v>
      </c>
      <c r="F71" s="415">
        <v>0</v>
      </c>
      <c r="G71" s="415">
        <v>0</v>
      </c>
      <c r="H71" s="422">
        <v>0</v>
      </c>
      <c r="I71" s="423">
        <v>0</v>
      </c>
      <c r="J71" s="585">
        <f t="shared" si="12"/>
        <v>0</v>
      </c>
      <c r="K71" s="594">
        <f t="shared" si="13"/>
        <v>0</v>
      </c>
      <c r="L71" s="595">
        <f t="shared" si="15"/>
        <v>0</v>
      </c>
      <c r="M71" s="380">
        <v>0</v>
      </c>
      <c r="N71" s="380">
        <f t="shared" si="16"/>
        <v>0</v>
      </c>
      <c r="O71" s="380">
        <v>0</v>
      </c>
      <c r="P71" s="380">
        <v>0</v>
      </c>
      <c r="Q71" s="383">
        <f t="shared" si="17"/>
        <v>0</v>
      </c>
      <c r="R71" s="418">
        <f t="shared" si="18"/>
        <v>0</v>
      </c>
      <c r="S71" s="384">
        <f t="shared" si="19"/>
        <v>0</v>
      </c>
      <c r="T71" s="384"/>
      <c r="U71" s="385">
        <f t="shared" si="20"/>
        <v>0</v>
      </c>
      <c r="V71" s="419">
        <v>9</v>
      </c>
      <c r="W71" s="420"/>
      <c r="AA71" s="428" t="s">
        <v>1151</v>
      </c>
      <c r="AJ71" s="583" t="s">
        <v>1151</v>
      </c>
      <c r="AO71" s="585">
        <f t="shared" si="7"/>
        <v>0</v>
      </c>
      <c r="AP71" s="361">
        <v>0</v>
      </c>
    </row>
    <row r="72" spans="1:42" x14ac:dyDescent="0.25">
      <c r="A72" s="321" t="s">
        <v>1076</v>
      </c>
      <c r="B72" s="429" t="s">
        <v>1138</v>
      </c>
      <c r="C72" s="430" t="s">
        <v>1138</v>
      </c>
      <c r="D72" s="414">
        <v>8133.5</v>
      </c>
      <c r="E72" s="415">
        <v>0</v>
      </c>
      <c r="F72" s="415">
        <v>0</v>
      </c>
      <c r="G72" s="415">
        <v>0</v>
      </c>
      <c r="H72" s="422">
        <v>0</v>
      </c>
      <c r="I72" s="423">
        <v>0</v>
      </c>
      <c r="J72" s="585">
        <f t="shared" si="12"/>
        <v>8133.5</v>
      </c>
      <c r="K72" s="594">
        <f t="shared" si="13"/>
        <v>8.0299918418793648E-6</v>
      </c>
      <c r="L72" s="595">
        <f t="shared" si="15"/>
        <v>8193.82</v>
      </c>
      <c r="M72" s="380">
        <v>1</v>
      </c>
      <c r="N72" s="380">
        <f t="shared" si="16"/>
        <v>1</v>
      </c>
      <c r="O72" s="380">
        <v>0</v>
      </c>
      <c r="P72" s="380">
        <v>0</v>
      </c>
      <c r="Q72" s="383">
        <f t="shared" si="17"/>
        <v>0</v>
      </c>
      <c r="R72" s="418">
        <f t="shared" si="18"/>
        <v>1</v>
      </c>
      <c r="S72" s="384">
        <f t="shared" si="19"/>
        <v>0</v>
      </c>
      <c r="T72" s="384"/>
      <c r="U72" s="385">
        <f t="shared" si="20"/>
        <v>0</v>
      </c>
      <c r="V72" s="419">
        <v>9</v>
      </c>
      <c r="W72" s="420"/>
      <c r="AA72" s="391" t="s">
        <v>1138</v>
      </c>
      <c r="AJ72" s="583" t="s">
        <v>1138</v>
      </c>
      <c r="AO72" s="585">
        <f t="shared" si="7"/>
        <v>0</v>
      </c>
      <c r="AP72" s="361">
        <v>0</v>
      </c>
    </row>
    <row r="73" spans="1:42" ht="13.8" x14ac:dyDescent="0.25">
      <c r="A73" s="321" t="s">
        <v>1076</v>
      </c>
      <c r="B73" s="590" t="s">
        <v>1152</v>
      </c>
      <c r="C73" s="426" t="s">
        <v>1152</v>
      </c>
      <c r="D73" s="414">
        <v>-34357.340000000004</v>
      </c>
      <c r="E73" s="415"/>
      <c r="F73" s="415"/>
      <c r="G73" s="415"/>
      <c r="H73" s="422">
        <v>0</v>
      </c>
      <c r="I73" s="423">
        <v>0</v>
      </c>
      <c r="J73" s="585">
        <f t="shared" si="12"/>
        <v>-34357.340000000004</v>
      </c>
      <c r="K73" s="594">
        <f t="shared" si="13"/>
        <v>-3.3920103265344023E-5</v>
      </c>
      <c r="L73" s="595">
        <f t="shared" si="15"/>
        <v>-34612.15</v>
      </c>
      <c r="M73" s="380">
        <v>1</v>
      </c>
      <c r="N73" s="380">
        <f t="shared" si="16"/>
        <v>1</v>
      </c>
      <c r="O73" s="380">
        <v>0</v>
      </c>
      <c r="P73" s="380">
        <v>0</v>
      </c>
      <c r="Q73" s="383">
        <f t="shared" si="17"/>
        <v>0</v>
      </c>
      <c r="R73" s="418">
        <f t="shared" si="18"/>
        <v>1</v>
      </c>
      <c r="S73" s="384">
        <f t="shared" si="19"/>
        <v>0</v>
      </c>
      <c r="T73" s="384"/>
      <c r="U73" s="385">
        <f t="shared" si="20"/>
        <v>0</v>
      </c>
      <c r="V73" s="419">
        <v>9</v>
      </c>
      <c r="W73" s="420"/>
      <c r="AA73" s="618" t="s">
        <v>1152</v>
      </c>
      <c r="AJ73" s="583" t="s">
        <v>1152</v>
      </c>
      <c r="AO73" s="585">
        <f t="shared" si="7"/>
        <v>0</v>
      </c>
      <c r="AP73" s="361">
        <v>0</v>
      </c>
    </row>
    <row r="74" spans="1:42" x14ac:dyDescent="0.25">
      <c r="A74" s="321" t="s">
        <v>1076</v>
      </c>
      <c r="B74" s="431" t="s">
        <v>1153</v>
      </c>
      <c r="C74" s="426" t="s">
        <v>1153</v>
      </c>
      <c r="D74" s="414">
        <v>0</v>
      </c>
      <c r="E74" s="415">
        <v>0</v>
      </c>
      <c r="F74" s="415">
        <v>0</v>
      </c>
      <c r="G74" s="415">
        <v>0</v>
      </c>
      <c r="H74" s="422">
        <v>0</v>
      </c>
      <c r="I74" s="423">
        <v>0</v>
      </c>
      <c r="J74" s="585">
        <f t="shared" si="12"/>
        <v>0</v>
      </c>
      <c r="K74" s="594">
        <f t="shared" si="13"/>
        <v>0</v>
      </c>
      <c r="L74" s="595">
        <f t="shared" si="15"/>
        <v>0</v>
      </c>
      <c r="M74" s="380">
        <v>0</v>
      </c>
      <c r="N74" s="380">
        <f t="shared" si="16"/>
        <v>0</v>
      </c>
      <c r="O74" s="380">
        <v>0</v>
      </c>
      <c r="P74" s="380">
        <v>0</v>
      </c>
      <c r="Q74" s="383">
        <f t="shared" si="17"/>
        <v>0</v>
      </c>
      <c r="R74" s="418">
        <f t="shared" si="18"/>
        <v>0</v>
      </c>
      <c r="S74" s="384">
        <f t="shared" si="19"/>
        <v>0</v>
      </c>
      <c r="T74" s="384"/>
      <c r="U74" s="385">
        <f t="shared" si="20"/>
        <v>0</v>
      </c>
      <c r="V74" s="419">
        <v>9</v>
      </c>
      <c r="W74" s="420"/>
      <c r="AA74" s="432" t="s">
        <v>1153</v>
      </c>
      <c r="AJ74" s="583" t="s">
        <v>1153</v>
      </c>
      <c r="AO74" s="585">
        <f t="shared" si="7"/>
        <v>0</v>
      </c>
      <c r="AP74" s="361">
        <v>0</v>
      </c>
    </row>
    <row r="75" spans="1:42" x14ac:dyDescent="0.25">
      <c r="A75" s="321" t="s">
        <v>1076</v>
      </c>
      <c r="B75" s="425" t="s">
        <v>1154</v>
      </c>
      <c r="C75" s="426" t="s">
        <v>1154</v>
      </c>
      <c r="D75" s="414">
        <v>2125.79</v>
      </c>
      <c r="E75" s="415">
        <v>0</v>
      </c>
      <c r="F75" s="415">
        <v>0</v>
      </c>
      <c r="G75" s="415">
        <v>0</v>
      </c>
      <c r="H75" s="416">
        <v>0</v>
      </c>
      <c r="I75" s="423">
        <v>0</v>
      </c>
      <c r="J75" s="585">
        <f t="shared" si="12"/>
        <v>2125.79</v>
      </c>
      <c r="K75" s="594">
        <f t="shared" si="13"/>
        <v>2.0987368731233464E-6</v>
      </c>
      <c r="L75" s="595">
        <f t="shared" si="15"/>
        <v>2141.56</v>
      </c>
      <c r="M75" s="380">
        <v>1</v>
      </c>
      <c r="N75" s="380">
        <f t="shared" si="16"/>
        <v>1</v>
      </c>
      <c r="O75" s="380">
        <v>0</v>
      </c>
      <c r="P75" s="380">
        <v>0</v>
      </c>
      <c r="Q75" s="383">
        <f t="shared" si="17"/>
        <v>0</v>
      </c>
      <c r="R75" s="418">
        <f t="shared" si="18"/>
        <v>1</v>
      </c>
      <c r="S75" s="384">
        <f t="shared" si="19"/>
        <v>0</v>
      </c>
      <c r="T75" s="384"/>
      <c r="U75" s="385">
        <f t="shared" si="20"/>
        <v>0</v>
      </c>
      <c r="V75" s="419">
        <v>9</v>
      </c>
      <c r="W75" s="420"/>
      <c r="X75" s="421"/>
      <c r="AA75" s="427" t="s">
        <v>1154</v>
      </c>
      <c r="AJ75" s="583" t="s">
        <v>1154</v>
      </c>
      <c r="AO75" s="585">
        <f t="shared" ref="AO75:AO138" si="21">U75-AP75</f>
        <v>0</v>
      </c>
      <c r="AP75" s="361">
        <v>0</v>
      </c>
    </row>
    <row r="76" spans="1:42" x14ac:dyDescent="0.25">
      <c r="A76" s="321" t="s">
        <v>1076</v>
      </c>
      <c r="B76" s="425" t="s">
        <v>1139</v>
      </c>
      <c r="C76" s="426" t="s">
        <v>1139</v>
      </c>
      <c r="D76" s="414">
        <v>2978275.6999999997</v>
      </c>
      <c r="E76" s="415">
        <v>10300</v>
      </c>
      <c r="F76" s="415">
        <v>0</v>
      </c>
      <c r="G76" s="415">
        <v>0</v>
      </c>
      <c r="H76" s="416">
        <v>0</v>
      </c>
      <c r="I76" s="423">
        <v>0</v>
      </c>
      <c r="J76" s="585">
        <f t="shared" si="12"/>
        <v>2988575.6999999997</v>
      </c>
      <c r="K76" s="594">
        <f t="shared" si="13"/>
        <v>2.9505426310738195E-3</v>
      </c>
      <c r="L76" s="595">
        <f t="shared" si="15"/>
        <v>3010740.47</v>
      </c>
      <c r="M76" s="380">
        <v>0.39164377724135319</v>
      </c>
      <c r="N76" s="380">
        <f t="shared" si="16"/>
        <v>0.39164377724135319</v>
      </c>
      <c r="O76" s="380">
        <v>0</v>
      </c>
      <c r="P76" s="380">
        <v>0</v>
      </c>
      <c r="Q76" s="383">
        <f t="shared" si="17"/>
        <v>0</v>
      </c>
      <c r="R76" s="418">
        <f t="shared" si="18"/>
        <v>0.39164377724135319</v>
      </c>
      <c r="S76" s="384">
        <f t="shared" si="19"/>
        <v>1818118.6242802786</v>
      </c>
      <c r="T76" s="384"/>
      <c r="U76" s="385">
        <f t="shared" si="20"/>
        <v>1803241.5561670531</v>
      </c>
      <c r="V76" s="419">
        <v>9</v>
      </c>
      <c r="W76" s="420"/>
      <c r="X76" s="421"/>
      <c r="AA76" s="427" t="s">
        <v>1139</v>
      </c>
      <c r="AJ76" s="583" t="s">
        <v>1139</v>
      </c>
      <c r="AO76" s="585">
        <f t="shared" si="21"/>
        <v>19026.161893324461</v>
      </c>
      <c r="AP76" s="361">
        <v>1784215.3942737286</v>
      </c>
    </row>
    <row r="77" spans="1:42" x14ac:dyDescent="0.25">
      <c r="A77" s="321" t="s">
        <v>1076</v>
      </c>
      <c r="B77" s="425" t="s">
        <v>1155</v>
      </c>
      <c r="C77" s="433" t="s">
        <v>1155</v>
      </c>
      <c r="D77" s="414">
        <v>55347.199999999997</v>
      </c>
      <c r="E77" s="415">
        <v>100</v>
      </c>
      <c r="F77" s="415">
        <v>0</v>
      </c>
      <c r="G77" s="415">
        <v>0</v>
      </c>
      <c r="H77" s="416">
        <v>0</v>
      </c>
      <c r="I77" s="423">
        <v>0</v>
      </c>
      <c r="J77" s="585">
        <f t="shared" si="12"/>
        <v>55447.199999999997</v>
      </c>
      <c r="K77" s="594">
        <f t="shared" si="13"/>
        <v>5.4741570499176678E-5</v>
      </c>
      <c r="L77" s="595">
        <f t="shared" si="15"/>
        <v>55858.42</v>
      </c>
      <c r="M77" s="380">
        <v>0.29003471752853638</v>
      </c>
      <c r="N77" s="380">
        <f t="shared" si="16"/>
        <v>0.29003471752853638</v>
      </c>
      <c r="O77" s="380">
        <v>0</v>
      </c>
      <c r="P77" s="380">
        <v>0</v>
      </c>
      <c r="Q77" s="383">
        <f t="shared" si="17"/>
        <v>0</v>
      </c>
      <c r="R77" s="418">
        <f t="shared" si="18"/>
        <v>0.29003471752853638</v>
      </c>
      <c r="S77" s="384">
        <f t="shared" si="19"/>
        <v>39365.587010251737</v>
      </c>
      <c r="T77" s="384"/>
      <c r="U77" s="385">
        <f t="shared" si="20"/>
        <v>39043.471328993342</v>
      </c>
      <c r="V77" s="419">
        <v>9</v>
      </c>
      <c r="W77" s="420"/>
      <c r="X77" s="421"/>
      <c r="AA77" s="392" t="s">
        <v>1155</v>
      </c>
      <c r="AJ77" s="583" t="s">
        <v>1155</v>
      </c>
      <c r="AO77" s="585">
        <f t="shared" si="21"/>
        <v>411.95113535525888</v>
      </c>
      <c r="AP77" s="361">
        <v>38631.520193638084</v>
      </c>
    </row>
    <row r="78" spans="1:42" x14ac:dyDescent="0.25">
      <c r="A78" s="321" t="s">
        <v>1076</v>
      </c>
      <c r="B78" s="428" t="s">
        <v>1156</v>
      </c>
      <c r="C78" s="426" t="s">
        <v>1156</v>
      </c>
      <c r="D78" s="414">
        <v>0</v>
      </c>
      <c r="E78" s="415">
        <v>0</v>
      </c>
      <c r="F78" s="415">
        <v>0</v>
      </c>
      <c r="G78" s="415">
        <v>0</v>
      </c>
      <c r="H78" s="416">
        <v>0</v>
      </c>
      <c r="I78" s="423">
        <v>0</v>
      </c>
      <c r="J78" s="585">
        <f t="shared" si="12"/>
        <v>0</v>
      </c>
      <c r="K78" s="594">
        <f t="shared" si="13"/>
        <v>0</v>
      </c>
      <c r="L78" s="595">
        <f t="shared" si="15"/>
        <v>0</v>
      </c>
      <c r="M78" s="380">
        <v>0</v>
      </c>
      <c r="N78" s="380">
        <f t="shared" si="16"/>
        <v>0</v>
      </c>
      <c r="O78" s="380">
        <v>0</v>
      </c>
      <c r="P78" s="380">
        <v>0</v>
      </c>
      <c r="Q78" s="383">
        <f t="shared" si="17"/>
        <v>0</v>
      </c>
      <c r="R78" s="418">
        <f t="shared" si="18"/>
        <v>0</v>
      </c>
      <c r="S78" s="384">
        <f t="shared" si="19"/>
        <v>0</v>
      </c>
      <c r="T78" s="384"/>
      <c r="U78" s="385">
        <f t="shared" si="20"/>
        <v>0</v>
      </c>
      <c r="V78" s="419">
        <v>9</v>
      </c>
      <c r="W78" s="420"/>
      <c r="X78" s="421"/>
      <c r="AA78" s="428" t="s">
        <v>1156</v>
      </c>
      <c r="AJ78" s="583" t="s">
        <v>1156</v>
      </c>
      <c r="AO78" s="585">
        <f t="shared" si="21"/>
        <v>0</v>
      </c>
      <c r="AP78" s="361">
        <v>0</v>
      </c>
    </row>
    <row r="79" spans="1:42" x14ac:dyDescent="0.25">
      <c r="A79" s="321" t="s">
        <v>1076</v>
      </c>
      <c r="B79" s="425" t="s">
        <v>1140</v>
      </c>
      <c r="C79" s="426" t="s">
        <v>1140</v>
      </c>
      <c r="D79" s="414">
        <v>8888.5400000000009</v>
      </c>
      <c r="E79" s="415">
        <v>0</v>
      </c>
      <c r="F79" s="415">
        <v>0</v>
      </c>
      <c r="G79" s="415">
        <v>0</v>
      </c>
      <c r="H79" s="416">
        <v>0</v>
      </c>
      <c r="I79" s="423">
        <v>0</v>
      </c>
      <c r="J79" s="585">
        <f t="shared" si="12"/>
        <v>8888.5400000000009</v>
      </c>
      <c r="K79" s="594">
        <f t="shared" si="13"/>
        <v>8.7754230879963643E-6</v>
      </c>
      <c r="L79" s="595">
        <f t="shared" si="15"/>
        <v>8954.4599999999991</v>
      </c>
      <c r="M79" s="380">
        <v>0.34692086351678275</v>
      </c>
      <c r="N79" s="380">
        <f t="shared" si="16"/>
        <v>0.34692086351678275</v>
      </c>
      <c r="O79" s="380">
        <v>0</v>
      </c>
      <c r="P79" s="380">
        <v>0</v>
      </c>
      <c r="Q79" s="383">
        <f t="shared" si="17"/>
        <v>0</v>
      </c>
      <c r="R79" s="418">
        <f t="shared" si="18"/>
        <v>0.34692086351678275</v>
      </c>
      <c r="S79" s="384">
        <f t="shared" si="19"/>
        <v>5804.9200277965365</v>
      </c>
      <c r="T79" s="384"/>
      <c r="U79" s="385">
        <f t="shared" si="20"/>
        <v>5757.4202720094008</v>
      </c>
      <c r="V79" s="419">
        <v>9</v>
      </c>
      <c r="W79" s="420"/>
      <c r="X79" s="421"/>
      <c r="AA79" s="427" t="s">
        <v>1140</v>
      </c>
      <c r="AJ79" s="583" t="s">
        <v>1140</v>
      </c>
      <c r="AO79" s="585">
        <f t="shared" si="21"/>
        <v>60.747052888465987</v>
      </c>
      <c r="AP79" s="361">
        <v>5696.6732191209348</v>
      </c>
    </row>
    <row r="80" spans="1:42" x14ac:dyDescent="0.25">
      <c r="A80" s="321" t="s">
        <v>1076</v>
      </c>
      <c r="B80" s="425" t="s">
        <v>1143</v>
      </c>
      <c r="C80" s="426" t="s">
        <v>1143</v>
      </c>
      <c r="D80" s="414">
        <v>1250159.2899999998</v>
      </c>
      <c r="E80" s="415">
        <v>1200</v>
      </c>
      <c r="F80" s="415">
        <v>0</v>
      </c>
      <c r="G80" s="415">
        <v>0</v>
      </c>
      <c r="H80" s="416">
        <v>0</v>
      </c>
      <c r="I80" s="423">
        <v>0</v>
      </c>
      <c r="J80" s="585">
        <f t="shared" si="12"/>
        <v>1251359.2899999998</v>
      </c>
      <c r="K80" s="594">
        <f t="shared" si="13"/>
        <v>1.2354343013413602E-3</v>
      </c>
      <c r="L80" s="595">
        <f t="shared" si="15"/>
        <v>1260640</v>
      </c>
      <c r="M80" s="380">
        <v>0.36773816373803098</v>
      </c>
      <c r="N80" s="380">
        <f t="shared" si="16"/>
        <v>0.36773816373803098</v>
      </c>
      <c r="O80" s="380">
        <v>0</v>
      </c>
      <c r="P80" s="380">
        <v>0</v>
      </c>
      <c r="Q80" s="383">
        <f t="shared" si="17"/>
        <v>0</v>
      </c>
      <c r="R80" s="418">
        <f t="shared" si="18"/>
        <v>0.36773816373803098</v>
      </c>
      <c r="S80" s="384">
        <f t="shared" si="19"/>
        <v>791186.72251887363</v>
      </c>
      <c r="T80" s="384"/>
      <c r="U80" s="385">
        <f t="shared" si="20"/>
        <v>784712.70118495077</v>
      </c>
      <c r="V80" s="419">
        <v>9</v>
      </c>
      <c r="W80" s="420"/>
      <c r="X80" s="421"/>
      <c r="AA80" s="427" t="s">
        <v>1143</v>
      </c>
      <c r="AJ80" s="583" t="s">
        <v>1143</v>
      </c>
      <c r="AO80" s="585">
        <f t="shared" si="21"/>
        <v>8279.5734389728168</v>
      </c>
      <c r="AP80" s="361">
        <v>776433.12774597795</v>
      </c>
    </row>
    <row r="81" spans="1:42" x14ac:dyDescent="0.25">
      <c r="A81" s="321" t="s">
        <v>1076</v>
      </c>
      <c r="B81" s="425" t="s">
        <v>1157</v>
      </c>
      <c r="C81" s="426" t="s">
        <v>1157</v>
      </c>
      <c r="D81" s="414">
        <v>1872813.3</v>
      </c>
      <c r="E81" s="415">
        <v>2000</v>
      </c>
      <c r="F81" s="415">
        <v>0</v>
      </c>
      <c r="G81" s="415">
        <v>0</v>
      </c>
      <c r="H81" s="416">
        <v>0</v>
      </c>
      <c r="I81" s="423">
        <v>0</v>
      </c>
      <c r="J81" s="585">
        <f t="shared" si="12"/>
        <v>1874813.3</v>
      </c>
      <c r="K81" s="594">
        <f t="shared" si="13"/>
        <v>1.850954140781574E-3</v>
      </c>
      <c r="L81" s="595">
        <f t="shared" si="15"/>
        <v>1888717.85</v>
      </c>
      <c r="M81" s="380">
        <v>5.73979376395908E-2</v>
      </c>
      <c r="N81" s="380">
        <f t="shared" si="16"/>
        <v>5.73979376395908E-2</v>
      </c>
      <c r="O81" s="380">
        <v>0</v>
      </c>
      <c r="P81" s="380">
        <v>0</v>
      </c>
      <c r="Q81" s="383">
        <f t="shared" si="17"/>
        <v>0</v>
      </c>
      <c r="R81" s="418">
        <f t="shared" si="18"/>
        <v>5.73979376395908E-2</v>
      </c>
      <c r="S81" s="384">
        <f t="shared" si="19"/>
        <v>1767202.8831207247</v>
      </c>
      <c r="T81" s="384"/>
      <c r="U81" s="385">
        <f t="shared" si="20"/>
        <v>1752742.4418101457</v>
      </c>
      <c r="V81" s="419">
        <v>9</v>
      </c>
      <c r="W81" s="420"/>
      <c r="X81" s="421"/>
      <c r="AA81" s="427" t="s">
        <v>1157</v>
      </c>
      <c r="AJ81" s="583" t="s">
        <v>1157</v>
      </c>
      <c r="AO81" s="585">
        <f t="shared" si="21"/>
        <v>18493.341250444995</v>
      </c>
      <c r="AP81" s="361">
        <v>1734249.1005597007</v>
      </c>
    </row>
    <row r="82" spans="1:42" x14ac:dyDescent="0.25">
      <c r="A82" s="321" t="s">
        <v>1076</v>
      </c>
      <c r="B82" s="425" t="s">
        <v>1158</v>
      </c>
      <c r="C82" s="424" t="s">
        <v>1158</v>
      </c>
      <c r="D82" s="414">
        <v>1555562.9200000002</v>
      </c>
      <c r="E82" s="415">
        <v>2000</v>
      </c>
      <c r="F82" s="415">
        <v>0</v>
      </c>
      <c r="G82" s="415">
        <v>0</v>
      </c>
      <c r="H82" s="416">
        <v>0</v>
      </c>
      <c r="I82" s="423">
        <v>0</v>
      </c>
      <c r="J82" s="585">
        <f t="shared" si="12"/>
        <v>1557562.9200000002</v>
      </c>
      <c r="K82" s="594">
        <f t="shared" si="13"/>
        <v>1.5377411373718331E-3</v>
      </c>
      <c r="L82" s="595">
        <f t="shared" si="15"/>
        <v>1569114.59</v>
      </c>
      <c r="M82" s="380">
        <v>1</v>
      </c>
      <c r="N82" s="380">
        <f t="shared" si="16"/>
        <v>1</v>
      </c>
      <c r="O82" s="380">
        <v>0</v>
      </c>
      <c r="P82" s="380">
        <v>0</v>
      </c>
      <c r="Q82" s="383">
        <f t="shared" si="17"/>
        <v>0</v>
      </c>
      <c r="R82" s="418">
        <f t="shared" si="18"/>
        <v>1</v>
      </c>
      <c r="S82" s="384">
        <f t="shared" si="19"/>
        <v>0</v>
      </c>
      <c r="T82" s="384"/>
      <c r="U82" s="385">
        <f t="shared" si="20"/>
        <v>0</v>
      </c>
      <c r="V82" s="419">
        <v>9</v>
      </c>
      <c r="W82" s="420"/>
      <c r="AA82" s="427" t="s">
        <v>1158</v>
      </c>
      <c r="AJ82" s="583" t="s">
        <v>1158</v>
      </c>
      <c r="AO82" s="585">
        <f t="shared" si="21"/>
        <v>0</v>
      </c>
      <c r="AP82" s="361">
        <v>0</v>
      </c>
    </row>
    <row r="83" spans="1:42" x14ac:dyDescent="0.25">
      <c r="A83" s="321" t="s">
        <v>1076</v>
      </c>
      <c r="B83" s="425" t="s">
        <v>1142</v>
      </c>
      <c r="C83" s="434" t="s">
        <v>1142</v>
      </c>
      <c r="D83" s="414">
        <v>-2225.5500000000002</v>
      </c>
      <c r="E83" s="415"/>
      <c r="F83" s="415"/>
      <c r="G83" s="415"/>
      <c r="H83" s="416">
        <v>0</v>
      </c>
      <c r="I83" s="423">
        <v>0</v>
      </c>
      <c r="J83" s="585">
        <f t="shared" si="12"/>
        <v>-2225.5500000000002</v>
      </c>
      <c r="K83" s="594">
        <f t="shared" si="13"/>
        <v>-2.1972273121896628E-6</v>
      </c>
      <c r="L83" s="595">
        <f t="shared" si="15"/>
        <v>-2242.06</v>
      </c>
      <c r="M83" s="380">
        <v>0.93359790234568774</v>
      </c>
      <c r="N83" s="380">
        <f t="shared" si="16"/>
        <v>0.93359790234568774</v>
      </c>
      <c r="O83" s="380">
        <v>0</v>
      </c>
      <c r="P83" s="380">
        <v>0</v>
      </c>
      <c r="Q83" s="383">
        <f t="shared" si="17"/>
        <v>0</v>
      </c>
      <c r="R83" s="418">
        <f t="shared" si="18"/>
        <v>0.93359790234568774</v>
      </c>
      <c r="S83" s="384">
        <f t="shared" si="19"/>
        <v>-147.78118843455468</v>
      </c>
      <c r="T83" s="384"/>
      <c r="U83" s="385">
        <f t="shared" si="20"/>
        <v>-146.57194346184855</v>
      </c>
      <c r="V83" s="419">
        <v>9</v>
      </c>
      <c r="W83" s="420"/>
      <c r="AA83" s="618" t="s">
        <v>1142</v>
      </c>
      <c r="AJ83" s="583" t="s">
        <v>1142</v>
      </c>
      <c r="AO83" s="585">
        <f t="shared" si="21"/>
        <v>-1.5464935996994029</v>
      </c>
      <c r="AP83" s="361">
        <v>-145.02544986214915</v>
      </c>
    </row>
    <row r="84" spans="1:42" x14ac:dyDescent="0.25">
      <c r="A84" s="321" t="s">
        <v>1076</v>
      </c>
      <c r="B84" s="412" t="s">
        <v>1144</v>
      </c>
      <c r="C84" s="413" t="s">
        <v>1144</v>
      </c>
      <c r="D84" s="414">
        <v>0</v>
      </c>
      <c r="E84" s="415">
        <v>0</v>
      </c>
      <c r="F84" s="415">
        <v>0</v>
      </c>
      <c r="G84" s="415">
        <v>0</v>
      </c>
      <c r="H84" s="416">
        <v>0</v>
      </c>
      <c r="I84" s="423">
        <v>-3376.1100000000151</v>
      </c>
      <c r="J84" s="585">
        <f t="shared" si="12"/>
        <v>-3376.1100000000151</v>
      </c>
      <c r="K84" s="594">
        <f t="shared" si="13"/>
        <v>-3.3331451106273396E-6</v>
      </c>
      <c r="L84" s="595">
        <f t="shared" si="15"/>
        <v>-3401.15</v>
      </c>
      <c r="M84" s="380">
        <v>1</v>
      </c>
      <c r="N84" s="380">
        <f t="shared" si="16"/>
        <v>1</v>
      </c>
      <c r="O84" s="380">
        <v>0</v>
      </c>
      <c r="P84" s="380">
        <v>0</v>
      </c>
      <c r="Q84" s="383">
        <f t="shared" si="17"/>
        <v>0</v>
      </c>
      <c r="R84" s="418">
        <f t="shared" si="18"/>
        <v>1</v>
      </c>
      <c r="S84" s="384">
        <f t="shared" si="19"/>
        <v>0</v>
      </c>
      <c r="T84" s="384"/>
      <c r="U84" s="385">
        <f t="shared" si="20"/>
        <v>0</v>
      </c>
      <c r="V84" s="419">
        <v>9</v>
      </c>
      <c r="W84" s="420"/>
      <c r="AA84" s="376" t="s">
        <v>1144</v>
      </c>
      <c r="AJ84" s="583" t="s">
        <v>1144</v>
      </c>
      <c r="AO84" s="585">
        <f t="shared" si="21"/>
        <v>0</v>
      </c>
      <c r="AP84" s="361">
        <v>0</v>
      </c>
    </row>
    <row r="85" spans="1:42" x14ac:dyDescent="0.25">
      <c r="A85" s="321" t="s">
        <v>1076</v>
      </c>
      <c r="B85" s="434" t="s">
        <v>1159</v>
      </c>
      <c r="C85" s="435" t="s">
        <v>1159</v>
      </c>
      <c r="D85" s="414">
        <v>-3937.5099999999998</v>
      </c>
      <c r="E85" s="415">
        <v>0</v>
      </c>
      <c r="F85" s="415">
        <v>0</v>
      </c>
      <c r="G85" s="415">
        <v>0</v>
      </c>
      <c r="H85" s="416">
        <v>0</v>
      </c>
      <c r="I85" s="423">
        <v>0</v>
      </c>
      <c r="J85" s="585">
        <f t="shared" si="12"/>
        <v>-3937.5099999999998</v>
      </c>
      <c r="K85" s="594">
        <f t="shared" si="13"/>
        <v>-3.8874006488373294E-6</v>
      </c>
      <c r="L85" s="595">
        <f t="shared" si="15"/>
        <v>-3966.71</v>
      </c>
      <c r="M85" s="380">
        <v>0</v>
      </c>
      <c r="N85" s="380">
        <f t="shared" si="16"/>
        <v>0</v>
      </c>
      <c r="O85" s="380">
        <v>0</v>
      </c>
      <c r="P85" s="380">
        <v>0</v>
      </c>
      <c r="Q85" s="383">
        <f t="shared" si="17"/>
        <v>0</v>
      </c>
      <c r="R85" s="418">
        <f t="shared" si="18"/>
        <v>0</v>
      </c>
      <c r="S85" s="384">
        <f t="shared" si="19"/>
        <v>-3937.5099999999998</v>
      </c>
      <c r="T85" s="384"/>
      <c r="U85" s="385">
        <f t="shared" si="20"/>
        <v>-3905.2906477068041</v>
      </c>
      <c r="V85" s="419">
        <v>9</v>
      </c>
      <c r="W85" s="420"/>
      <c r="AA85" s="434" t="s">
        <v>1159</v>
      </c>
      <c r="AJ85" s="583" t="s">
        <v>1159</v>
      </c>
      <c r="AO85" s="585">
        <f t="shared" si="21"/>
        <v>-41.205068644099356</v>
      </c>
      <c r="AP85" s="361">
        <v>-3864.0855790627047</v>
      </c>
    </row>
    <row r="86" spans="1:42" x14ac:dyDescent="0.25">
      <c r="A86" s="321" t="s">
        <v>1076</v>
      </c>
      <c r="B86" s="412" t="s">
        <v>1145</v>
      </c>
      <c r="C86" s="397" t="s">
        <v>1145</v>
      </c>
      <c r="D86" s="414">
        <v>1808574.68</v>
      </c>
      <c r="E86" s="415">
        <v>400</v>
      </c>
      <c r="F86" s="415">
        <v>28145.07</v>
      </c>
      <c r="G86" s="415">
        <v>216783.75</v>
      </c>
      <c r="H86" s="416">
        <v>15000</v>
      </c>
      <c r="I86" s="423">
        <v>196.75</v>
      </c>
      <c r="J86" s="585">
        <f t="shared" si="12"/>
        <v>2069100.25</v>
      </c>
      <c r="K86" s="594">
        <f t="shared" si="13"/>
        <v>2.0427685655044639E-3</v>
      </c>
      <c r="L86" s="595">
        <f t="shared" si="15"/>
        <v>2084445.73</v>
      </c>
      <c r="M86" s="380">
        <v>1</v>
      </c>
      <c r="N86" s="380">
        <f t="shared" si="16"/>
        <v>1</v>
      </c>
      <c r="O86" s="380">
        <v>0.99986719308080751</v>
      </c>
      <c r="P86" s="380">
        <v>0.99602736729764441</v>
      </c>
      <c r="Q86" s="383">
        <f t="shared" si="17"/>
        <v>0.99986719308080751</v>
      </c>
      <c r="R86" s="418">
        <f t="shared" si="18"/>
        <v>1</v>
      </c>
      <c r="S86" s="384">
        <f t="shared" si="19"/>
        <v>866.93217841432363</v>
      </c>
      <c r="T86" s="384"/>
      <c r="U86" s="385">
        <f t="shared" si="20"/>
        <v>859.83835686958116</v>
      </c>
      <c r="V86" s="419">
        <v>9</v>
      </c>
      <c r="W86" s="420"/>
      <c r="X86" s="421"/>
      <c r="AA86" s="376" t="s">
        <v>1145</v>
      </c>
      <c r="AJ86" s="583" t="s">
        <v>1145</v>
      </c>
      <c r="AO86" s="585">
        <f t="shared" si="21"/>
        <v>9.0722309076904821</v>
      </c>
      <c r="AP86" s="361">
        <v>850.76612596189068</v>
      </c>
    </row>
    <row r="87" spans="1:42" x14ac:dyDescent="0.25">
      <c r="A87" s="321" t="s">
        <v>1076</v>
      </c>
      <c r="B87" s="412" t="s">
        <v>1160</v>
      </c>
      <c r="C87" s="360" t="s">
        <v>1160</v>
      </c>
      <c r="D87" s="414">
        <v>0</v>
      </c>
      <c r="E87" s="415">
        <v>0</v>
      </c>
      <c r="F87" s="415">
        <v>0</v>
      </c>
      <c r="G87" s="415">
        <v>0</v>
      </c>
      <c r="H87" s="416">
        <v>0</v>
      </c>
      <c r="I87" s="423">
        <v>0</v>
      </c>
      <c r="J87" s="585">
        <f t="shared" si="12"/>
        <v>0</v>
      </c>
      <c r="K87" s="594">
        <f t="shared" si="13"/>
        <v>0</v>
      </c>
      <c r="L87" s="595">
        <f t="shared" si="15"/>
        <v>0</v>
      </c>
      <c r="M87" s="380">
        <v>1</v>
      </c>
      <c r="N87" s="380">
        <f t="shared" si="16"/>
        <v>1</v>
      </c>
      <c r="O87" s="380">
        <v>0</v>
      </c>
      <c r="P87" s="380">
        <v>0</v>
      </c>
      <c r="Q87" s="383">
        <f t="shared" si="17"/>
        <v>0</v>
      </c>
      <c r="R87" s="418">
        <f t="shared" si="18"/>
        <v>1</v>
      </c>
      <c r="S87" s="384">
        <f t="shared" si="19"/>
        <v>0</v>
      </c>
      <c r="T87" s="384"/>
      <c r="U87" s="385">
        <f t="shared" si="20"/>
        <v>0</v>
      </c>
      <c r="V87" s="419">
        <v>9</v>
      </c>
      <c r="W87" s="420"/>
      <c r="X87" s="421"/>
      <c r="AA87" s="618" t="s">
        <v>1160</v>
      </c>
      <c r="AJ87" s="583" t="s">
        <v>1160</v>
      </c>
      <c r="AO87" s="585">
        <f t="shared" si="21"/>
        <v>0</v>
      </c>
      <c r="AP87" s="361">
        <v>0</v>
      </c>
    </row>
    <row r="88" spans="1:42" x14ac:dyDescent="0.25">
      <c r="A88" s="321" t="s">
        <v>1085</v>
      </c>
      <c r="B88" s="436" t="s">
        <v>132</v>
      </c>
      <c r="C88" s="583" t="s">
        <v>132</v>
      </c>
      <c r="D88" s="414">
        <v>433053.45999999996</v>
      </c>
      <c r="E88" s="415">
        <v>0</v>
      </c>
      <c r="F88" s="415">
        <v>32805.189999999995</v>
      </c>
      <c r="G88" s="415">
        <v>17579.400000000005</v>
      </c>
      <c r="H88" s="416">
        <v>18000</v>
      </c>
      <c r="I88" s="423">
        <v>-2107.5999999999995</v>
      </c>
      <c r="J88" s="585">
        <f t="shared" si="12"/>
        <v>499330.45</v>
      </c>
      <c r="K88" s="594">
        <f t="shared" si="13"/>
        <v>4.9297589474420027E-4</v>
      </c>
      <c r="L88" s="595">
        <f t="shared" si="15"/>
        <v>503033.73</v>
      </c>
      <c r="M88" s="380">
        <v>1</v>
      </c>
      <c r="N88" s="380">
        <f t="shared" si="16"/>
        <v>1</v>
      </c>
      <c r="O88" s="380">
        <v>1</v>
      </c>
      <c r="P88" s="380">
        <v>0.81955528677415523</v>
      </c>
      <c r="Q88" s="383">
        <f t="shared" si="17"/>
        <v>1</v>
      </c>
      <c r="R88" s="418">
        <f t="shared" si="18"/>
        <v>1</v>
      </c>
      <c r="S88" s="384">
        <f t="shared" si="19"/>
        <v>3172.1097916824165</v>
      </c>
      <c r="T88" s="384"/>
      <c r="U88" s="385">
        <f t="shared" si="20"/>
        <v>3146.1534581389051</v>
      </c>
      <c r="V88" s="419">
        <v>9</v>
      </c>
      <c r="W88" s="420"/>
      <c r="X88" s="421"/>
      <c r="AA88" s="397" t="s">
        <v>132</v>
      </c>
      <c r="AJ88" s="583" t="s">
        <v>132</v>
      </c>
      <c r="AO88" s="585">
        <f t="shared" si="21"/>
        <v>33.195344700811802</v>
      </c>
      <c r="AP88" s="361">
        <v>3112.9581134380933</v>
      </c>
    </row>
    <row r="89" spans="1:42" x14ac:dyDescent="0.25">
      <c r="A89" s="321" t="s">
        <v>1085</v>
      </c>
      <c r="B89" s="583" t="s">
        <v>1161</v>
      </c>
      <c r="C89" s="583" t="s">
        <v>1161</v>
      </c>
      <c r="D89" s="414">
        <v>65421.539999999994</v>
      </c>
      <c r="E89" s="415">
        <v>200</v>
      </c>
      <c r="F89" s="415">
        <v>0</v>
      </c>
      <c r="G89" s="415">
        <v>0</v>
      </c>
      <c r="H89" s="416">
        <v>0</v>
      </c>
      <c r="I89" s="423">
        <v>0</v>
      </c>
      <c r="J89" s="585">
        <f t="shared" si="12"/>
        <v>65621.539999999994</v>
      </c>
      <c r="K89" s="594"/>
      <c r="L89" s="595">
        <f t="shared" si="15"/>
        <v>66108.22</v>
      </c>
      <c r="M89" s="380"/>
      <c r="N89" s="380"/>
      <c r="O89" s="380"/>
      <c r="P89" s="380"/>
      <c r="Q89" s="383"/>
      <c r="R89" s="418"/>
      <c r="S89" s="384">
        <f t="shared" si="19"/>
        <v>65621.539999999994</v>
      </c>
      <c r="T89" s="384"/>
      <c r="U89" s="385">
        <f t="shared" si="20"/>
        <v>65084.580470936693</v>
      </c>
      <c r="V89" s="419">
        <v>9</v>
      </c>
      <c r="W89" s="420"/>
      <c r="X89" s="421"/>
      <c r="AA89" s="397"/>
      <c r="AO89" s="585">
        <f t="shared" si="21"/>
        <v>686.71319189830683</v>
      </c>
      <c r="AP89" s="361">
        <v>64397.867279038386</v>
      </c>
    </row>
    <row r="90" spans="1:42" x14ac:dyDescent="0.25">
      <c r="A90" s="321" t="s">
        <v>1085</v>
      </c>
      <c r="B90" s="583" t="s">
        <v>1162</v>
      </c>
      <c r="C90" s="583" t="s">
        <v>1162</v>
      </c>
      <c r="D90" s="414">
        <v>-703.7</v>
      </c>
      <c r="E90" s="415">
        <v>0</v>
      </c>
      <c r="F90" s="415">
        <v>0</v>
      </c>
      <c r="G90" s="415">
        <v>0</v>
      </c>
      <c r="H90" s="416">
        <v>0</v>
      </c>
      <c r="I90" s="423">
        <v>0</v>
      </c>
      <c r="J90" s="585">
        <f t="shared" si="12"/>
        <v>-703.7</v>
      </c>
      <c r="K90" s="594"/>
      <c r="L90" s="595">
        <f t="shared" si="15"/>
        <v>-708.92</v>
      </c>
      <c r="M90" s="380"/>
      <c r="N90" s="380"/>
      <c r="O90" s="380"/>
      <c r="P90" s="380"/>
      <c r="Q90" s="383"/>
      <c r="R90" s="418"/>
      <c r="S90" s="384">
        <f t="shared" si="19"/>
        <v>-703.7</v>
      </c>
      <c r="T90" s="384"/>
      <c r="U90" s="385">
        <f t="shared" si="20"/>
        <v>-697.94185380894987</v>
      </c>
      <c r="V90" s="419">
        <v>9</v>
      </c>
      <c r="W90" s="420"/>
      <c r="X90" s="421"/>
      <c r="AA90" s="397"/>
      <c r="AO90" s="585">
        <f t="shared" si="21"/>
        <v>-7.3640465179396415</v>
      </c>
      <c r="AP90" s="361">
        <v>-690.57780729101023</v>
      </c>
    </row>
    <row r="91" spans="1:42" x14ac:dyDescent="0.25">
      <c r="A91" s="321"/>
      <c r="B91" s="436"/>
      <c r="C91" s="583"/>
      <c r="D91" s="414"/>
      <c r="E91" s="415"/>
      <c r="F91" s="415"/>
      <c r="G91" s="415"/>
      <c r="H91" s="416"/>
      <c r="I91" s="423"/>
      <c r="J91" s="585">
        <f t="shared" si="12"/>
        <v>0</v>
      </c>
      <c r="K91" s="594"/>
      <c r="L91" s="595">
        <f t="shared" si="15"/>
        <v>0</v>
      </c>
      <c r="M91" s="380"/>
      <c r="N91" s="380"/>
      <c r="O91" s="380"/>
      <c r="P91" s="380"/>
      <c r="Q91" s="383"/>
      <c r="R91" s="418"/>
      <c r="S91" s="384">
        <f t="shared" si="19"/>
        <v>0</v>
      </c>
      <c r="T91" s="384"/>
      <c r="U91" s="385">
        <f t="shared" si="20"/>
        <v>0</v>
      </c>
      <c r="V91" s="437"/>
      <c r="W91" s="420"/>
      <c r="X91" s="421"/>
      <c r="AA91" s="397"/>
      <c r="AO91" s="585">
        <f t="shared" si="21"/>
        <v>0</v>
      </c>
      <c r="AP91" s="361">
        <v>0</v>
      </c>
    </row>
    <row r="92" spans="1:42" ht="13.8" thickBot="1" x14ac:dyDescent="0.3">
      <c r="A92" s="368"/>
      <c r="B92" s="398" t="s">
        <v>1163</v>
      </c>
      <c r="C92" s="583"/>
      <c r="D92" s="438">
        <f>SUM(D45:D91)</f>
        <v>885452901.99999988</v>
      </c>
      <c r="E92" s="438">
        <f t="shared" ref="E92:J92" si="22">SUM(E45:E91)</f>
        <v>1125000</v>
      </c>
      <c r="F92" s="438">
        <f t="shared" si="22"/>
        <v>46902912.520000003</v>
      </c>
      <c r="G92" s="438">
        <f t="shared" si="22"/>
        <v>59611366.079999998</v>
      </c>
      <c r="H92" s="438">
        <f t="shared" si="22"/>
        <v>19188000</v>
      </c>
      <c r="I92" s="438">
        <f t="shared" si="22"/>
        <v>610014.08000000031</v>
      </c>
      <c r="J92" s="438">
        <f t="shared" si="22"/>
        <v>1012890194.6799997</v>
      </c>
      <c r="K92" s="594">
        <f>J92/$J$92</f>
        <v>1</v>
      </c>
      <c r="L92" s="592">
        <f>SUM(L45:L91)</f>
        <v>1020402294.6</v>
      </c>
      <c r="R92" s="596"/>
      <c r="S92" s="439">
        <f>SUM(S45:S91)</f>
        <v>480759585.3439582</v>
      </c>
      <c r="T92" s="439">
        <f>SUM(T45:T91)</f>
        <v>24644116.559776552</v>
      </c>
      <c r="U92" s="439">
        <f>SUM(U45:U91)</f>
        <v>501469803.97115082</v>
      </c>
      <c r="W92" s="440"/>
      <c r="X92" s="421"/>
      <c r="AO92" s="585">
        <f t="shared" si="21"/>
        <v>-10133390.373897254</v>
      </c>
      <c r="AP92" s="361">
        <v>511603194.34504807</v>
      </c>
    </row>
    <row r="93" spans="1:42" ht="13.8" thickTop="1" x14ac:dyDescent="0.25">
      <c r="C93" s="583"/>
      <c r="H93" s="585"/>
      <c r="I93" s="405" t="s">
        <v>1093</v>
      </c>
      <c r="J93" s="406">
        <v>1020402294.62</v>
      </c>
      <c r="K93" s="585"/>
      <c r="L93" s="593">
        <f>L92-J93</f>
        <v>-1.9999980926513672E-2</v>
      </c>
      <c r="Q93" s="441" t="s">
        <v>203</v>
      </c>
      <c r="R93" s="441"/>
      <c r="S93" s="442">
        <f>S42+S92</f>
        <v>1380603811.3632665</v>
      </c>
      <c r="T93" s="442"/>
      <c r="U93" s="443">
        <f>U42+U92</f>
        <v>1432387469.0599995</v>
      </c>
      <c r="AO93" s="585">
        <f t="shared" si="21"/>
        <v>0</v>
      </c>
      <c r="AP93" s="361">
        <v>1432387469.0599999</v>
      </c>
    </row>
    <row r="94" spans="1:42" x14ac:dyDescent="0.25">
      <c r="H94" s="585"/>
      <c r="I94" s="583"/>
      <c r="J94" s="585">
        <f>+J93-J92</f>
        <v>7512099.9400002956</v>
      </c>
      <c r="Q94" s="444" t="s">
        <v>1164</v>
      </c>
      <c r="R94" s="445"/>
      <c r="S94" s="446">
        <f>J160</f>
        <v>1369306783.3999999</v>
      </c>
      <c r="T94" s="446"/>
      <c r="U94" s="447">
        <f>U93-J161</f>
        <v>0</v>
      </c>
      <c r="AO94" s="585">
        <f t="shared" si="21"/>
        <v>0</v>
      </c>
      <c r="AP94" s="361">
        <v>0</v>
      </c>
    </row>
    <row r="95" spans="1:42" x14ac:dyDescent="0.25">
      <c r="B95" s="448" t="s">
        <v>1165</v>
      </c>
      <c r="D95" s="374" t="s">
        <v>1091</v>
      </c>
      <c r="E95" s="374" t="s">
        <v>1166</v>
      </c>
      <c r="F95" s="374" t="s">
        <v>1106</v>
      </c>
      <c r="G95" s="374" t="s">
        <v>1107</v>
      </c>
      <c r="H95" s="373" t="s">
        <v>1108</v>
      </c>
      <c r="I95" s="507" t="s">
        <v>1109</v>
      </c>
      <c r="J95" s="507" t="s">
        <v>661</v>
      </c>
      <c r="K95" s="373" t="s">
        <v>1029</v>
      </c>
      <c r="Q95" s="449"/>
      <c r="R95" s="450"/>
      <c r="S95" s="451">
        <f>S94-S93</f>
        <v>-11297027.963266611</v>
      </c>
      <c r="T95" s="452"/>
      <c r="U95" s="453"/>
      <c r="AO95" s="585">
        <f t="shared" si="21"/>
        <v>0</v>
      </c>
      <c r="AP95" s="361"/>
    </row>
    <row r="96" spans="1:42" x14ac:dyDescent="0.25">
      <c r="A96" s="284" t="s">
        <v>1082</v>
      </c>
      <c r="B96" s="413" t="s">
        <v>1114</v>
      </c>
      <c r="C96" s="454" t="s">
        <v>1167</v>
      </c>
      <c r="D96" s="455">
        <v>140887938.50999999</v>
      </c>
      <c r="E96" s="361">
        <v>66400</v>
      </c>
      <c r="F96" s="361">
        <v>2251302.4500000002</v>
      </c>
      <c r="G96" s="361">
        <v>3770098.9499999993</v>
      </c>
      <c r="H96" s="361">
        <v>1209000</v>
      </c>
      <c r="I96" s="361">
        <v>80766.130000000063</v>
      </c>
      <c r="J96" s="585">
        <f t="shared" ref="J96:J142" si="23">SUM(D96:I96)</f>
        <v>148265506.03999996</v>
      </c>
      <c r="K96" s="588">
        <f t="shared" ref="K96:K104" si="24">J96/$J$143</f>
        <v>5.358080021346414E-2</v>
      </c>
      <c r="L96" s="456">
        <f t="shared" ref="L96:L104" si="25">+L10+L45</f>
        <v>148740856.46000001</v>
      </c>
      <c r="M96" s="457" t="s">
        <v>1168</v>
      </c>
      <c r="N96" s="477"/>
      <c r="O96" s="458"/>
      <c r="P96" s="595"/>
      <c r="S96" s="456">
        <f t="shared" ref="S96:U104" si="26">+S10+S45</f>
        <v>116815095.27069023</v>
      </c>
      <c r="T96" s="456"/>
      <c r="U96" s="456">
        <f t="shared" si="26"/>
        <v>115859235.67726962</v>
      </c>
      <c r="AA96" s="376" t="s">
        <v>1114</v>
      </c>
      <c r="AG96" s="376"/>
      <c r="AO96" s="585">
        <f t="shared" si="21"/>
        <v>1222441.0907644182</v>
      </c>
      <c r="AP96" s="361">
        <v>114636794.5865052</v>
      </c>
    </row>
    <row r="97" spans="1:42" x14ac:dyDescent="0.25">
      <c r="A97" s="284" t="s">
        <v>1040</v>
      </c>
      <c r="B97" s="413" t="s">
        <v>1115</v>
      </c>
      <c r="C97" s="454" t="s">
        <v>1169</v>
      </c>
      <c r="D97" s="455">
        <v>0</v>
      </c>
      <c r="E97" s="361">
        <v>0</v>
      </c>
      <c r="F97" s="361">
        <v>0</v>
      </c>
      <c r="G97" s="361">
        <v>0</v>
      </c>
      <c r="H97" s="361">
        <v>0</v>
      </c>
      <c r="I97" s="361">
        <v>0</v>
      </c>
      <c r="J97" s="585">
        <f t="shared" si="23"/>
        <v>0</v>
      </c>
      <c r="K97" s="588">
        <f t="shared" si="24"/>
        <v>0</v>
      </c>
      <c r="L97" s="456">
        <f t="shared" si="25"/>
        <v>0</v>
      </c>
      <c r="M97" s="457" t="s">
        <v>345</v>
      </c>
      <c r="N97" s="477"/>
      <c r="O97" s="458"/>
      <c r="P97" s="595"/>
      <c r="S97" s="456">
        <f t="shared" si="26"/>
        <v>0</v>
      </c>
      <c r="T97" s="456"/>
      <c r="U97" s="456">
        <f t="shared" si="26"/>
        <v>0</v>
      </c>
      <c r="AA97" s="376" t="s">
        <v>1115</v>
      </c>
      <c r="AG97" s="376"/>
      <c r="AO97" s="585">
        <f t="shared" si="21"/>
        <v>0</v>
      </c>
      <c r="AP97" s="361">
        <v>0</v>
      </c>
    </row>
    <row r="98" spans="1:42" x14ac:dyDescent="0.25">
      <c r="A98" s="284" t="s">
        <v>1082</v>
      </c>
      <c r="B98" s="413" t="s">
        <v>1116</v>
      </c>
      <c r="C98" s="454" t="s">
        <v>1167</v>
      </c>
      <c r="D98" s="455">
        <v>344566784.74000001</v>
      </c>
      <c r="E98" s="361">
        <v>206800</v>
      </c>
      <c r="F98" s="361">
        <v>6432375.5</v>
      </c>
      <c r="G98" s="361">
        <v>8138455.1899999995</v>
      </c>
      <c r="H98" s="361">
        <v>3453000</v>
      </c>
      <c r="I98" s="361">
        <v>38643.970000000088</v>
      </c>
      <c r="J98" s="585">
        <f t="shared" si="23"/>
        <v>362836059.40000004</v>
      </c>
      <c r="K98" s="588">
        <f t="shared" si="24"/>
        <v>0.13112319195610533</v>
      </c>
      <c r="L98" s="456">
        <f t="shared" si="25"/>
        <v>364080864.80999994</v>
      </c>
      <c r="M98" s="457" t="s">
        <v>1168</v>
      </c>
      <c r="N98" s="477"/>
      <c r="O98" s="458"/>
      <c r="P98" s="595"/>
      <c r="S98" s="456">
        <f t="shared" si="26"/>
        <v>277215775.45979536</v>
      </c>
      <c r="T98" s="456"/>
      <c r="U98" s="456">
        <f t="shared" si="26"/>
        <v>274947409.73354435</v>
      </c>
      <c r="AA98" s="376" t="s">
        <v>1116</v>
      </c>
      <c r="AG98" s="376"/>
      <c r="AO98" s="585">
        <f t="shared" si="21"/>
        <v>2900994.5516451597</v>
      </c>
      <c r="AP98" s="361">
        <v>272046415.18189919</v>
      </c>
    </row>
    <row r="99" spans="1:42" x14ac:dyDescent="0.25">
      <c r="A99" s="284" t="s">
        <v>1082</v>
      </c>
      <c r="B99" s="413" t="s">
        <v>1117</v>
      </c>
      <c r="C99" s="454" t="s">
        <v>1167</v>
      </c>
      <c r="D99" s="455">
        <v>288336097.52999997</v>
      </c>
      <c r="E99" s="361">
        <v>161500</v>
      </c>
      <c r="F99" s="361">
        <v>6619764.2000000002</v>
      </c>
      <c r="G99" s="361">
        <v>7321189.2300000014</v>
      </c>
      <c r="H99" s="361">
        <v>3554000</v>
      </c>
      <c r="I99" s="361">
        <v>190311.08000000002</v>
      </c>
      <c r="J99" s="585">
        <f t="shared" si="23"/>
        <v>306182862.03999996</v>
      </c>
      <c r="K99" s="588">
        <f t="shared" si="24"/>
        <v>0.11064962578231723</v>
      </c>
      <c r="L99" s="456">
        <f t="shared" si="25"/>
        <v>307244866.19999999</v>
      </c>
      <c r="M99" s="457" t="s">
        <v>1168</v>
      </c>
      <c r="N99" s="477"/>
      <c r="O99" s="458"/>
      <c r="P99" s="595"/>
      <c r="S99" s="456">
        <f t="shared" si="26"/>
        <v>237299880.36733153</v>
      </c>
      <c r="T99" s="456"/>
      <c r="U99" s="456">
        <f t="shared" si="26"/>
        <v>235358133.31280005</v>
      </c>
      <c r="AA99" s="376" t="s">
        <v>1117</v>
      </c>
      <c r="AG99" s="376"/>
      <c r="AO99" s="585">
        <f t="shared" si="21"/>
        <v>2483284.5782670975</v>
      </c>
      <c r="AP99" s="361">
        <v>232874848.73453295</v>
      </c>
    </row>
    <row r="100" spans="1:42" x14ac:dyDescent="0.25">
      <c r="A100" s="284" t="s">
        <v>1082</v>
      </c>
      <c r="B100" s="413" t="s">
        <v>1118</v>
      </c>
      <c r="C100" s="454" t="s">
        <v>1167</v>
      </c>
      <c r="D100" s="455">
        <v>273901786.23000002</v>
      </c>
      <c r="E100" s="361">
        <v>99600</v>
      </c>
      <c r="F100" s="361">
        <v>3890228.1</v>
      </c>
      <c r="G100" s="361">
        <v>7100086.8600000003</v>
      </c>
      <c r="H100" s="361">
        <v>-67000</v>
      </c>
      <c r="I100" s="361">
        <v>198117.62000000005</v>
      </c>
      <c r="J100" s="585">
        <f t="shared" si="23"/>
        <v>285122818.81000006</v>
      </c>
      <c r="K100" s="588">
        <f t="shared" si="24"/>
        <v>0.10303886048071625</v>
      </c>
      <c r="L100" s="456">
        <f t="shared" si="25"/>
        <v>285851388.61000001</v>
      </c>
      <c r="M100" s="457" t="s">
        <v>1168</v>
      </c>
      <c r="N100" s="477"/>
      <c r="O100" s="458"/>
      <c r="P100" s="595"/>
      <c r="S100" s="456">
        <f t="shared" si="26"/>
        <v>222909216.56519544</v>
      </c>
      <c r="T100" s="456"/>
      <c r="U100" s="456">
        <f t="shared" si="26"/>
        <v>221085223.59046924</v>
      </c>
      <c r="AA100" s="376" t="s">
        <v>1118</v>
      </c>
      <c r="AG100" s="376"/>
      <c r="AO100" s="585">
        <f t="shared" si="21"/>
        <v>2332689.8395106196</v>
      </c>
      <c r="AP100" s="361">
        <v>218752533.75095862</v>
      </c>
    </row>
    <row r="101" spans="1:42" x14ac:dyDescent="0.25">
      <c r="A101" s="284" t="s">
        <v>1082</v>
      </c>
      <c r="B101" s="413" t="s">
        <v>1119</v>
      </c>
      <c r="C101" s="454" t="s">
        <v>1167</v>
      </c>
      <c r="D101" s="455">
        <v>6464872.3900000006</v>
      </c>
      <c r="E101" s="361">
        <v>100</v>
      </c>
      <c r="F101" s="361">
        <v>3940.1600000000003</v>
      </c>
      <c r="G101" s="361">
        <v>22745.600000000002</v>
      </c>
      <c r="H101" s="361">
        <v>2000</v>
      </c>
      <c r="I101" s="361">
        <v>-3286.5600000000004</v>
      </c>
      <c r="J101" s="585">
        <f t="shared" si="23"/>
        <v>6490371.5900000008</v>
      </c>
      <c r="K101" s="588">
        <f t="shared" si="24"/>
        <v>2.3455172599695104E-3</v>
      </c>
      <c r="L101" s="456">
        <f t="shared" si="25"/>
        <v>6493947.8300000001</v>
      </c>
      <c r="M101" s="457" t="s">
        <v>1168</v>
      </c>
      <c r="N101" s="477"/>
      <c r="O101" s="458"/>
      <c r="P101" s="595"/>
      <c r="S101" s="456">
        <f t="shared" si="26"/>
        <v>4027179.4913509702</v>
      </c>
      <c r="T101" s="456"/>
      <c r="U101" s="456">
        <f t="shared" si="26"/>
        <v>3994226.4030337925</v>
      </c>
      <c r="AA101" s="376" t="s">
        <v>1119</v>
      </c>
      <c r="AG101" s="376"/>
      <c r="AO101" s="585">
        <f t="shared" si="21"/>
        <v>42143.437701294664</v>
      </c>
      <c r="AP101" s="361">
        <v>3952082.9653324978</v>
      </c>
    </row>
    <row r="102" spans="1:42" x14ac:dyDescent="0.25">
      <c r="A102" s="284" t="s">
        <v>1085</v>
      </c>
      <c r="B102" s="413" t="s">
        <v>1120</v>
      </c>
      <c r="C102" s="454" t="s">
        <v>1167</v>
      </c>
      <c r="D102" s="455">
        <v>3464333.57</v>
      </c>
      <c r="E102" s="361">
        <v>1100</v>
      </c>
      <c r="F102" s="361">
        <v>19836.86</v>
      </c>
      <c r="G102" s="361">
        <v>302539.52000000002</v>
      </c>
      <c r="H102" s="361">
        <v>11000</v>
      </c>
      <c r="I102" s="361">
        <v>3660.5500000000011</v>
      </c>
      <c r="J102" s="585">
        <f t="shared" si="23"/>
        <v>3802470.4999999995</v>
      </c>
      <c r="K102" s="588">
        <f t="shared" si="24"/>
        <v>1.3741524756481459E-3</v>
      </c>
      <c r="L102" s="456">
        <f t="shared" si="25"/>
        <v>3817517.06</v>
      </c>
      <c r="M102" s="619" t="s">
        <v>1124</v>
      </c>
      <c r="N102" s="477"/>
      <c r="O102" s="458"/>
      <c r="P102" s="595"/>
      <c r="S102" s="456">
        <f t="shared" si="26"/>
        <v>3264705.9213113301</v>
      </c>
      <c r="T102" s="456"/>
      <c r="U102" s="456">
        <f t="shared" si="26"/>
        <v>3237991.9040231425</v>
      </c>
      <c r="AA102" s="376" t="s">
        <v>1120</v>
      </c>
      <c r="AG102" s="376"/>
      <c r="AO102" s="585">
        <f t="shared" si="21"/>
        <v>34164.340304006822</v>
      </c>
      <c r="AP102" s="361">
        <v>3203827.5637191357</v>
      </c>
    </row>
    <row r="103" spans="1:42" x14ac:dyDescent="0.25">
      <c r="A103" s="284" t="s">
        <v>1082</v>
      </c>
      <c r="B103" s="413" t="s">
        <v>1121</v>
      </c>
      <c r="C103" s="454" t="s">
        <v>1167</v>
      </c>
      <c r="D103" s="455">
        <v>35453763.079999998</v>
      </c>
      <c r="E103" s="361">
        <v>14900</v>
      </c>
      <c r="F103" s="361">
        <v>600263.51</v>
      </c>
      <c r="G103" s="361">
        <v>755439.30999999994</v>
      </c>
      <c r="H103" s="361">
        <v>241000</v>
      </c>
      <c r="I103" s="361">
        <v>-21508.780000000013</v>
      </c>
      <c r="J103" s="585">
        <f t="shared" si="23"/>
        <v>37043857.119999997</v>
      </c>
      <c r="K103" s="588">
        <f t="shared" si="24"/>
        <v>1.3387061903308441E-2</v>
      </c>
      <c r="L103" s="456">
        <f t="shared" si="25"/>
        <v>37155412.589999996</v>
      </c>
      <c r="M103" s="457" t="s">
        <v>1168</v>
      </c>
      <c r="N103" s="477"/>
      <c r="O103" s="458"/>
      <c r="P103" s="595"/>
      <c r="S103" s="456">
        <f t="shared" si="26"/>
        <v>31074403.447764687</v>
      </c>
      <c r="T103" s="456"/>
      <c r="U103" s="456">
        <f t="shared" si="26"/>
        <v>30820131.800966479</v>
      </c>
      <c r="AA103" s="376" t="s">
        <v>1121</v>
      </c>
      <c r="AG103" s="376"/>
      <c r="AO103" s="585">
        <f t="shared" si="21"/>
        <v>325185.94927748293</v>
      </c>
      <c r="AP103" s="361">
        <v>30494945.851688996</v>
      </c>
    </row>
    <row r="104" spans="1:42" x14ac:dyDescent="0.25">
      <c r="A104" s="284" t="s">
        <v>1082</v>
      </c>
      <c r="B104" s="413" t="s">
        <v>1123</v>
      </c>
      <c r="C104" s="454" t="s">
        <v>1167</v>
      </c>
      <c r="D104" s="455">
        <v>128028865.24999999</v>
      </c>
      <c r="E104" s="361">
        <v>56100</v>
      </c>
      <c r="F104" s="361">
        <v>741743.48</v>
      </c>
      <c r="G104" s="361">
        <v>2192054.6700000004</v>
      </c>
      <c r="H104" s="361">
        <v>312000</v>
      </c>
      <c r="I104" s="361">
        <v>-546381.25999999989</v>
      </c>
      <c r="J104" s="585">
        <f t="shared" si="23"/>
        <v>130784382.13999999</v>
      </c>
      <c r="K104" s="588">
        <f t="shared" si="24"/>
        <v>4.7263399543479467E-2</v>
      </c>
      <c r="L104" s="456">
        <f t="shared" si="25"/>
        <v>131093760.51000001</v>
      </c>
      <c r="M104" s="457" t="s">
        <v>1168</v>
      </c>
      <c r="N104" s="477"/>
      <c r="O104" s="458"/>
      <c r="P104" s="595"/>
      <c r="S104" s="456">
        <f t="shared" si="26"/>
        <v>87121692.471414402</v>
      </c>
      <c r="T104" s="456"/>
      <c r="U104" s="456">
        <f t="shared" si="26"/>
        <v>86408804.249640748</v>
      </c>
      <c r="AA104" s="376" t="s">
        <v>1123</v>
      </c>
      <c r="AG104" s="618"/>
      <c r="AO104" s="585">
        <f t="shared" si="21"/>
        <v>911706.9718361944</v>
      </c>
      <c r="AP104" s="361">
        <v>85497097.277804554</v>
      </c>
    </row>
    <row r="105" spans="1:42" x14ac:dyDescent="0.25">
      <c r="A105" s="284" t="s">
        <v>1082</v>
      </c>
      <c r="B105" s="376" t="s">
        <v>1124</v>
      </c>
      <c r="C105" s="454" t="s">
        <v>1167</v>
      </c>
      <c r="D105" s="455">
        <v>0</v>
      </c>
      <c r="E105" s="361"/>
      <c r="F105" s="361"/>
      <c r="G105" s="361"/>
      <c r="H105" s="361"/>
      <c r="I105" s="361"/>
      <c r="J105" s="585">
        <f t="shared" si="23"/>
        <v>0</v>
      </c>
      <c r="K105" s="588"/>
      <c r="L105" s="456">
        <f>L19+L54</f>
        <v>0</v>
      </c>
      <c r="M105" s="457"/>
      <c r="N105" s="477"/>
      <c r="O105" s="458"/>
      <c r="P105" s="595"/>
      <c r="S105" s="456">
        <f>S19+S54</f>
        <v>0</v>
      </c>
      <c r="T105" s="456"/>
      <c r="U105" s="456">
        <f>U19+U54</f>
        <v>0</v>
      </c>
      <c r="AA105" s="376"/>
      <c r="AG105" s="376"/>
      <c r="AO105" s="585">
        <f t="shared" si="21"/>
        <v>0</v>
      </c>
      <c r="AP105" s="361">
        <v>0</v>
      </c>
    </row>
    <row r="106" spans="1:42" x14ac:dyDescent="0.25">
      <c r="A106" s="284" t="s">
        <v>1052</v>
      </c>
      <c r="B106" s="413" t="s">
        <v>1125</v>
      </c>
      <c r="C106" s="454" t="s">
        <v>297</v>
      </c>
      <c r="D106" s="455">
        <v>45700437.649999999</v>
      </c>
      <c r="E106" s="361">
        <v>6100</v>
      </c>
      <c r="F106" s="361">
        <v>142706.65</v>
      </c>
      <c r="G106" s="361">
        <v>1743847.23</v>
      </c>
      <c r="H106" s="361">
        <v>77000</v>
      </c>
      <c r="I106" s="361">
        <v>162753.95000000001</v>
      </c>
      <c r="J106" s="585">
        <f t="shared" si="23"/>
        <v>47832845.479999997</v>
      </c>
      <c r="K106" s="588">
        <f t="shared" ref="K106:K120" si="27">J106/$J$143</f>
        <v>1.7286031024734375E-2</v>
      </c>
      <c r="L106" s="456">
        <f t="shared" ref="L106:L118" si="28">+L20+L55</f>
        <v>47893625.93</v>
      </c>
      <c r="M106" s="457" t="s">
        <v>345</v>
      </c>
      <c r="N106" s="477"/>
      <c r="O106" s="458"/>
      <c r="P106" s="595"/>
      <c r="S106" s="456">
        <f t="shared" ref="S106:U118" si="29">+S20+S55</f>
        <v>16023524.761849666</v>
      </c>
      <c r="T106" s="456"/>
      <c r="U106" s="456">
        <f t="shared" si="29"/>
        <v>15892409.516610725</v>
      </c>
      <c r="AA106" s="376" t="s">
        <v>1125</v>
      </c>
      <c r="AG106" s="376"/>
      <c r="AO106" s="585">
        <f t="shared" si="21"/>
        <v>167682.224993065</v>
      </c>
      <c r="AP106" s="361">
        <v>15724727.29161766</v>
      </c>
    </row>
    <row r="107" spans="1:42" x14ac:dyDescent="0.25">
      <c r="A107" s="284" t="s">
        <v>1052</v>
      </c>
      <c r="B107" s="413" t="s">
        <v>1126</v>
      </c>
      <c r="C107" s="454" t="s">
        <v>297</v>
      </c>
      <c r="D107" s="455">
        <v>10732084.960000001</v>
      </c>
      <c r="E107" s="361">
        <v>6400</v>
      </c>
      <c r="F107" s="361">
        <v>100047.47</v>
      </c>
      <c r="G107" s="361">
        <v>61133.440000000002</v>
      </c>
      <c r="H107" s="361">
        <v>54000</v>
      </c>
      <c r="I107" s="361">
        <v>36850.130000000005</v>
      </c>
      <c r="J107" s="585">
        <f t="shared" si="23"/>
        <v>10990516.000000002</v>
      </c>
      <c r="K107" s="588">
        <f t="shared" si="27"/>
        <v>3.9717980113325169E-3</v>
      </c>
      <c r="L107" s="456">
        <f t="shared" si="28"/>
        <v>11016576.26</v>
      </c>
      <c r="M107" s="457" t="s">
        <v>345</v>
      </c>
      <c r="N107" s="477"/>
      <c r="O107" s="458"/>
      <c r="P107" s="595"/>
      <c r="S107" s="456">
        <f t="shared" si="29"/>
        <v>3138685.1123944256</v>
      </c>
      <c r="T107" s="456"/>
      <c r="U107" s="456">
        <f t="shared" si="29"/>
        <v>3113002.2820337038</v>
      </c>
      <c r="AA107" s="376" t="s">
        <v>1126</v>
      </c>
      <c r="AG107" s="376"/>
      <c r="AO107" s="585">
        <f t="shared" si="21"/>
        <v>32845.563695946243</v>
      </c>
      <c r="AP107" s="361">
        <v>3080156.7183377575</v>
      </c>
    </row>
    <row r="108" spans="1:42" x14ac:dyDescent="0.25">
      <c r="A108" s="284" t="s">
        <v>1052</v>
      </c>
      <c r="B108" s="413" t="s">
        <v>1127</v>
      </c>
      <c r="C108" s="454" t="s">
        <v>297</v>
      </c>
      <c r="D108" s="455">
        <v>34344798.450000003</v>
      </c>
      <c r="E108" s="361">
        <v>3800</v>
      </c>
      <c r="F108" s="361">
        <v>135682.57</v>
      </c>
      <c r="G108" s="361">
        <v>328032.12</v>
      </c>
      <c r="H108" s="361">
        <v>73000</v>
      </c>
      <c r="I108" s="361">
        <v>59200.950000000004</v>
      </c>
      <c r="J108" s="585">
        <f t="shared" si="23"/>
        <v>34944514.090000004</v>
      </c>
      <c r="K108" s="588">
        <f t="shared" si="27"/>
        <v>1.2628392658692559E-2</v>
      </c>
      <c r="L108" s="456">
        <f t="shared" si="28"/>
        <v>34973913.310000002</v>
      </c>
      <c r="M108" s="457" t="s">
        <v>345</v>
      </c>
      <c r="N108" s="477"/>
      <c r="O108" s="458"/>
      <c r="P108" s="595"/>
      <c r="S108" s="456">
        <f t="shared" si="29"/>
        <v>5925991.5640792781</v>
      </c>
      <c r="T108" s="456"/>
      <c r="U108" s="456">
        <f t="shared" si="29"/>
        <v>5877501.1196386097</v>
      </c>
      <c r="AA108" s="376" t="s">
        <v>1127</v>
      </c>
      <c r="AG108" s="376"/>
      <c r="AO108" s="585">
        <f t="shared" si="21"/>
        <v>62014.036582063884</v>
      </c>
      <c r="AP108" s="361">
        <v>5815487.0830565458</v>
      </c>
    </row>
    <row r="109" spans="1:42" x14ac:dyDescent="0.25">
      <c r="A109" s="284" t="s">
        <v>1040</v>
      </c>
      <c r="B109" s="413" t="s">
        <v>1128</v>
      </c>
      <c r="C109" s="454" t="s">
        <v>297</v>
      </c>
      <c r="D109" s="455">
        <v>105492280.44999999</v>
      </c>
      <c r="E109" s="361">
        <v>32700</v>
      </c>
      <c r="F109" s="361">
        <v>3853974.5199999996</v>
      </c>
      <c r="G109" s="361">
        <v>7467499.3900000006</v>
      </c>
      <c r="H109" s="361">
        <v>1516000</v>
      </c>
      <c r="I109" s="361">
        <v>-181423.86999999997</v>
      </c>
      <c r="J109" s="585">
        <f t="shared" si="23"/>
        <v>118181030.48999998</v>
      </c>
      <c r="K109" s="588">
        <f t="shared" si="27"/>
        <v>4.2708748331507763E-2</v>
      </c>
      <c r="L109" s="456">
        <f t="shared" si="28"/>
        <v>118488746.52</v>
      </c>
      <c r="M109" s="457" t="s">
        <v>345</v>
      </c>
      <c r="N109" s="477"/>
      <c r="O109" s="458"/>
      <c r="P109" s="595"/>
      <c r="S109" s="456">
        <f t="shared" si="29"/>
        <v>30998402.9978927</v>
      </c>
      <c r="T109" s="456"/>
      <c r="U109" s="456">
        <f t="shared" si="29"/>
        <v>71336947.24783735</v>
      </c>
      <c r="AA109" s="376" t="s">
        <v>1128</v>
      </c>
      <c r="AG109" s="376"/>
      <c r="AO109" s="585">
        <f t="shared" si="21"/>
        <v>-14542639.376483515</v>
      </c>
      <c r="AP109" s="361">
        <v>85879586.624320865</v>
      </c>
    </row>
    <row r="110" spans="1:42" x14ac:dyDescent="0.25">
      <c r="A110" s="284" t="s">
        <v>1044</v>
      </c>
      <c r="B110" s="413" t="s">
        <v>1129</v>
      </c>
      <c r="C110" s="454" t="s">
        <v>297</v>
      </c>
      <c r="D110" s="455">
        <v>18725765.800000001</v>
      </c>
      <c r="E110" s="361">
        <v>900</v>
      </c>
      <c r="F110" s="361">
        <v>476895.37</v>
      </c>
      <c r="G110" s="361">
        <v>36976.400000000001</v>
      </c>
      <c r="H110" s="361">
        <v>256000</v>
      </c>
      <c r="I110" s="361">
        <v>116.04999999989741</v>
      </c>
      <c r="J110" s="585">
        <f t="shared" si="23"/>
        <v>19496653.620000001</v>
      </c>
      <c r="K110" s="588">
        <f t="shared" si="27"/>
        <v>7.0457811148771279E-3</v>
      </c>
      <c r="L110" s="456">
        <f t="shared" si="28"/>
        <v>19517688.27</v>
      </c>
      <c r="M110" s="457" t="s">
        <v>345</v>
      </c>
      <c r="N110" s="477"/>
      <c r="O110" s="458"/>
      <c r="P110" s="595"/>
      <c r="S110" s="456">
        <f t="shared" si="29"/>
        <v>9763154.6406400055</v>
      </c>
      <c r="T110" s="456"/>
      <c r="U110" s="456">
        <f t="shared" si="29"/>
        <v>9683265.9498532563</v>
      </c>
      <c r="AA110" s="376" t="s">
        <v>1129</v>
      </c>
      <c r="AG110" s="376"/>
      <c r="AO110" s="585">
        <f t="shared" si="21"/>
        <v>102168.99948203936</v>
      </c>
      <c r="AP110" s="361">
        <v>9581096.950371217</v>
      </c>
    </row>
    <row r="111" spans="1:42" x14ac:dyDescent="0.25">
      <c r="A111" s="284" t="s">
        <v>1044</v>
      </c>
      <c r="B111" s="413" t="s">
        <v>1130</v>
      </c>
      <c r="C111" s="454" t="s">
        <v>297</v>
      </c>
      <c r="D111" s="455">
        <v>11262374.359999999</v>
      </c>
      <c r="E111" s="361">
        <v>1200</v>
      </c>
      <c r="F111" s="361">
        <v>2940</v>
      </c>
      <c r="G111" s="361">
        <v>24191.77</v>
      </c>
      <c r="H111" s="361">
        <v>-154000</v>
      </c>
      <c r="I111" s="361">
        <v>386252.60999999993</v>
      </c>
      <c r="J111" s="585">
        <f t="shared" si="23"/>
        <v>11522958.739999998</v>
      </c>
      <c r="K111" s="588">
        <f t="shared" si="27"/>
        <v>4.1642143652034745E-3</v>
      </c>
      <c r="L111" s="456">
        <f t="shared" si="28"/>
        <v>11530548.790000001</v>
      </c>
      <c r="M111" s="457" t="s">
        <v>345</v>
      </c>
      <c r="N111" s="477"/>
      <c r="O111" s="458"/>
      <c r="P111" s="595"/>
      <c r="S111" s="456">
        <f t="shared" si="29"/>
        <v>6843510.3920639697</v>
      </c>
      <c r="T111" s="456"/>
      <c r="U111" s="456">
        <f t="shared" si="29"/>
        <v>6787512.1921244003</v>
      </c>
      <c r="AA111" s="376" t="s">
        <v>1130</v>
      </c>
      <c r="AG111" s="376"/>
      <c r="AO111" s="585">
        <f t="shared" si="21"/>
        <v>71615.644270516932</v>
      </c>
      <c r="AP111" s="361">
        <v>6715896.5478538834</v>
      </c>
    </row>
    <row r="112" spans="1:42" x14ac:dyDescent="0.25">
      <c r="A112" s="284" t="s">
        <v>1044</v>
      </c>
      <c r="B112" s="413" t="s">
        <v>1132</v>
      </c>
      <c r="C112" s="454" t="s">
        <v>1170</v>
      </c>
      <c r="D112" s="455">
        <v>1030720030.8000002</v>
      </c>
      <c r="E112" s="361">
        <v>405100</v>
      </c>
      <c r="F112" s="361">
        <v>19754126.859999999</v>
      </c>
      <c r="G112" s="361">
        <v>20423252.379999999</v>
      </c>
      <c r="H112" s="361">
        <v>7893000</v>
      </c>
      <c r="I112" s="361">
        <v>279768.77</v>
      </c>
      <c r="J112" s="585">
        <f t="shared" si="23"/>
        <v>1079475278.8100002</v>
      </c>
      <c r="K112" s="588">
        <f t="shared" si="27"/>
        <v>0.3901052294232748</v>
      </c>
      <c r="L112" s="456">
        <f t="shared" si="28"/>
        <v>1082113339.3800001</v>
      </c>
      <c r="M112" s="457" t="s">
        <v>345</v>
      </c>
      <c r="N112" s="477"/>
      <c r="O112" s="458"/>
      <c r="P112" s="595"/>
      <c r="S112" s="456">
        <f t="shared" si="29"/>
        <v>288418913.74136889</v>
      </c>
      <c r="T112" s="456"/>
      <c r="U112" s="456">
        <f t="shared" si="29"/>
        <v>308547368.06070709</v>
      </c>
      <c r="AA112" s="376" t="s">
        <v>1132</v>
      </c>
      <c r="AG112" s="618"/>
      <c r="AO112" s="585">
        <f t="shared" si="21"/>
        <v>3437585.0768948197</v>
      </c>
      <c r="AP112" s="361">
        <v>305109782.98381227</v>
      </c>
    </row>
    <row r="113" spans="1:42" x14ac:dyDescent="0.25">
      <c r="A113" s="284" t="s">
        <v>344</v>
      </c>
      <c r="B113" s="413" t="s">
        <v>296</v>
      </c>
      <c r="C113" s="454" t="s">
        <v>296</v>
      </c>
      <c r="D113" s="455">
        <v>40932445.450000003</v>
      </c>
      <c r="E113" s="361">
        <v>23300</v>
      </c>
      <c r="F113" s="361">
        <v>245672.21</v>
      </c>
      <c r="G113" s="361">
        <v>110059.76</v>
      </c>
      <c r="H113" s="361">
        <v>55000</v>
      </c>
      <c r="I113" s="361">
        <v>-192989.41000000003</v>
      </c>
      <c r="J113" s="585">
        <f t="shared" si="23"/>
        <v>41173488.010000005</v>
      </c>
      <c r="K113" s="588">
        <f t="shared" si="27"/>
        <v>1.4879444950331834E-2</v>
      </c>
      <c r="L113" s="456">
        <f t="shared" si="28"/>
        <v>41337872.07</v>
      </c>
      <c r="M113" s="457" t="s">
        <v>349</v>
      </c>
      <c r="N113" s="477"/>
      <c r="O113" s="458"/>
      <c r="P113" s="595"/>
      <c r="S113" s="456">
        <f t="shared" si="29"/>
        <v>5116619.325790558</v>
      </c>
      <c r="T113" s="456"/>
      <c r="U113" s="456">
        <f t="shared" si="29"/>
        <v>5074751.7087920438</v>
      </c>
      <c r="AA113" s="376" t="s">
        <v>296</v>
      </c>
      <c r="AG113" s="376"/>
      <c r="AO113" s="585">
        <f t="shared" si="21"/>
        <v>53544.15621672757</v>
      </c>
      <c r="AP113" s="361">
        <v>5021207.5525753163</v>
      </c>
    </row>
    <row r="114" spans="1:42" x14ac:dyDescent="0.25">
      <c r="A114" s="284" t="s">
        <v>1061</v>
      </c>
      <c r="B114" s="413" t="s">
        <v>1133</v>
      </c>
      <c r="C114" s="454" t="s">
        <v>1061</v>
      </c>
      <c r="D114" s="455">
        <v>245418.22000000003</v>
      </c>
      <c r="E114" s="361">
        <v>100</v>
      </c>
      <c r="F114" s="361">
        <v>149831.44</v>
      </c>
      <c r="G114" s="361">
        <v>13922</v>
      </c>
      <c r="H114" s="361">
        <v>80000</v>
      </c>
      <c r="I114" s="361">
        <v>2191</v>
      </c>
      <c r="J114" s="585">
        <f t="shared" si="23"/>
        <v>491462.66000000003</v>
      </c>
      <c r="K114" s="588">
        <f t="shared" si="27"/>
        <v>1.7760680350514832E-4</v>
      </c>
      <c r="L114" s="456">
        <f t="shared" si="28"/>
        <v>494826.67</v>
      </c>
      <c r="M114" s="457" t="s">
        <v>349</v>
      </c>
      <c r="N114" s="477"/>
      <c r="O114" s="458"/>
      <c r="P114" s="595"/>
      <c r="S114" s="456">
        <f t="shared" si="29"/>
        <v>162485.95761793279</v>
      </c>
      <c r="T114" s="456"/>
      <c r="U114" s="456">
        <f t="shared" si="29"/>
        <v>161156.38834415586</v>
      </c>
      <c r="AA114" s="376" t="s">
        <v>1133</v>
      </c>
      <c r="AG114" s="376"/>
      <c r="AO114" s="585">
        <f t="shared" si="21"/>
        <v>1700.3753736115468</v>
      </c>
      <c r="AP114" s="361">
        <v>159456.01297054431</v>
      </c>
    </row>
    <row r="115" spans="1:42" x14ac:dyDescent="0.25">
      <c r="A115" s="284" t="s">
        <v>1061</v>
      </c>
      <c r="B115" s="413" t="s">
        <v>1134</v>
      </c>
      <c r="C115" s="454" t="s">
        <v>1061</v>
      </c>
      <c r="D115" s="455">
        <v>102968648.65000001</v>
      </c>
      <c r="E115" s="361">
        <v>21400</v>
      </c>
      <c r="F115" s="361">
        <v>1423367.42</v>
      </c>
      <c r="G115" s="361">
        <v>1532453.47</v>
      </c>
      <c r="H115" s="361">
        <v>607000</v>
      </c>
      <c r="I115" s="361">
        <v>-180630.89999999997</v>
      </c>
      <c r="J115" s="585">
        <f t="shared" si="23"/>
        <v>106372238.64</v>
      </c>
      <c r="K115" s="588">
        <f t="shared" si="27"/>
        <v>3.844123841786317E-2</v>
      </c>
      <c r="L115" s="456">
        <f t="shared" si="28"/>
        <v>106595058.34</v>
      </c>
      <c r="M115" s="457" t="s">
        <v>349</v>
      </c>
      <c r="N115" s="477"/>
      <c r="O115" s="458"/>
      <c r="P115" s="595"/>
      <c r="S115" s="456">
        <f t="shared" si="29"/>
        <v>28660318.849621378</v>
      </c>
      <c r="T115" s="456"/>
      <c r="U115" s="456">
        <f t="shared" si="29"/>
        <v>28425800.864942923</v>
      </c>
      <c r="AA115" s="376" t="s">
        <v>1134</v>
      </c>
      <c r="AG115" s="376"/>
      <c r="AO115" s="585">
        <f t="shared" si="21"/>
        <v>299923.15081369132</v>
      </c>
      <c r="AP115" s="361">
        <v>28125877.714129232</v>
      </c>
    </row>
    <row r="116" spans="1:42" x14ac:dyDescent="0.25">
      <c r="A116" s="284" t="s">
        <v>1070</v>
      </c>
      <c r="B116" s="413" t="s">
        <v>1135</v>
      </c>
      <c r="C116" s="454" t="s">
        <v>132</v>
      </c>
      <c r="D116" s="455">
        <v>558878.73</v>
      </c>
      <c r="E116" s="361">
        <v>900</v>
      </c>
      <c r="F116" s="361">
        <v>0</v>
      </c>
      <c r="G116" s="361">
        <v>3147.5</v>
      </c>
      <c r="H116" s="361">
        <v>0</v>
      </c>
      <c r="I116" s="361">
        <v>1696.3</v>
      </c>
      <c r="J116" s="585">
        <f t="shared" si="23"/>
        <v>564622.53</v>
      </c>
      <c r="K116" s="588">
        <f t="shared" si="27"/>
        <v>2.0404561913267167E-4</v>
      </c>
      <c r="L116" s="456">
        <f t="shared" si="28"/>
        <v>568810.05000000005</v>
      </c>
      <c r="M116" s="457" t="s">
        <v>349</v>
      </c>
      <c r="N116" s="477"/>
      <c r="O116" s="458"/>
      <c r="P116" s="595"/>
      <c r="S116" s="456">
        <f t="shared" si="29"/>
        <v>280747.16071426962</v>
      </c>
      <c r="T116" s="456"/>
      <c r="U116" s="456">
        <f t="shared" si="29"/>
        <v>278449.89882125409</v>
      </c>
      <c r="AA116" s="376" t="s">
        <v>1135</v>
      </c>
      <c r="AG116" s="376"/>
      <c r="AO116" s="585">
        <f t="shared" si="21"/>
        <v>2937.9496252370882</v>
      </c>
      <c r="AP116" s="361">
        <v>275511.949196017</v>
      </c>
    </row>
    <row r="117" spans="1:42" x14ac:dyDescent="0.25">
      <c r="A117" s="284" t="s">
        <v>1070</v>
      </c>
      <c r="B117" s="413" t="s">
        <v>1136</v>
      </c>
      <c r="C117" s="454" t="s">
        <v>1136</v>
      </c>
      <c r="D117" s="455">
        <v>1381395.92</v>
      </c>
      <c r="E117" s="361">
        <v>500</v>
      </c>
      <c r="F117" s="361">
        <v>12437.09</v>
      </c>
      <c r="G117" s="361">
        <v>127796.04999999999</v>
      </c>
      <c r="H117" s="361">
        <v>5000</v>
      </c>
      <c r="I117" s="361">
        <v>-64278.799999999996</v>
      </c>
      <c r="J117" s="585">
        <f t="shared" si="23"/>
        <v>1462850.26</v>
      </c>
      <c r="K117" s="588">
        <f t="shared" si="27"/>
        <v>5.2865086166520791E-4</v>
      </c>
      <c r="L117" s="456">
        <f t="shared" si="28"/>
        <v>1469021.14</v>
      </c>
      <c r="M117" s="457" t="s">
        <v>349</v>
      </c>
      <c r="N117" s="477"/>
      <c r="O117" s="458"/>
      <c r="P117" s="595"/>
      <c r="S117" s="456">
        <f t="shared" si="29"/>
        <v>535241.45987305394</v>
      </c>
      <c r="T117" s="456"/>
      <c r="U117" s="456">
        <f t="shared" si="29"/>
        <v>530861.75463863567</v>
      </c>
      <c r="AA117" s="376" t="s">
        <v>1136</v>
      </c>
      <c r="AG117" s="376"/>
      <c r="AO117" s="585">
        <f t="shared" si="21"/>
        <v>5601.1695450263796</v>
      </c>
      <c r="AP117" s="361">
        <v>525260.58509360929</v>
      </c>
    </row>
    <row r="118" spans="1:42" x14ac:dyDescent="0.25">
      <c r="A118" s="284" t="s">
        <v>1076</v>
      </c>
      <c r="B118" s="424" t="s">
        <v>1137</v>
      </c>
      <c r="C118" s="454" t="s">
        <v>132</v>
      </c>
      <c r="D118" s="459">
        <v>0</v>
      </c>
      <c r="E118" s="361">
        <v>0</v>
      </c>
      <c r="F118" s="361">
        <v>-15173.600000000002</v>
      </c>
      <c r="G118" s="361">
        <v>468054.37999999995</v>
      </c>
      <c r="H118" s="361">
        <v>-22000</v>
      </c>
      <c r="I118" s="361">
        <v>0</v>
      </c>
      <c r="J118" s="585">
        <f t="shared" si="23"/>
        <v>430880.77999999997</v>
      </c>
      <c r="K118" s="588">
        <f t="shared" si="27"/>
        <v>1.5571347379189507E-4</v>
      </c>
      <c r="L118" s="456">
        <f t="shared" si="28"/>
        <v>434056.87</v>
      </c>
      <c r="M118" s="457" t="s">
        <v>1171</v>
      </c>
      <c r="N118" s="477"/>
      <c r="O118" s="458"/>
      <c r="P118" s="595"/>
      <c r="S118" s="456">
        <f t="shared" si="29"/>
        <v>349490.34423236066</v>
      </c>
      <c r="T118" s="456"/>
      <c r="U118" s="456">
        <f t="shared" si="29"/>
        <v>346630.57942569535</v>
      </c>
      <c r="AA118" s="376" t="s">
        <v>1137</v>
      </c>
      <c r="AG118" s="390"/>
      <c r="AO118" s="585">
        <f t="shared" si="21"/>
        <v>3657.3300447603106</v>
      </c>
      <c r="AP118" s="361">
        <v>342973.24938093504</v>
      </c>
    </row>
    <row r="119" spans="1:42" x14ac:dyDescent="0.25">
      <c r="A119" s="284" t="s">
        <v>1076</v>
      </c>
      <c r="B119" s="426" t="s">
        <v>1148</v>
      </c>
      <c r="C119" s="454" t="s">
        <v>132</v>
      </c>
      <c r="D119" s="459">
        <v>0</v>
      </c>
      <c r="E119" s="361">
        <v>0</v>
      </c>
      <c r="F119" s="361"/>
      <c r="G119" s="361"/>
      <c r="H119" s="361"/>
      <c r="I119" s="361">
        <v>0</v>
      </c>
      <c r="J119" s="585">
        <f t="shared" si="23"/>
        <v>0</v>
      </c>
      <c r="K119" s="588">
        <f t="shared" si="27"/>
        <v>0</v>
      </c>
      <c r="L119" s="456">
        <f>L68</f>
        <v>0</v>
      </c>
      <c r="M119" s="457" t="s">
        <v>1171</v>
      </c>
      <c r="N119" s="477"/>
      <c r="O119" s="458"/>
      <c r="P119" s="595"/>
      <c r="S119" s="456">
        <f t="shared" ref="S119:U122" si="30">S68</f>
        <v>0</v>
      </c>
      <c r="T119" s="456"/>
      <c r="U119" s="456">
        <f t="shared" si="30"/>
        <v>0</v>
      </c>
      <c r="AA119" s="392" t="s">
        <v>1148</v>
      </c>
      <c r="AG119" s="392"/>
      <c r="AO119" s="585">
        <f t="shared" si="21"/>
        <v>0</v>
      </c>
      <c r="AP119" s="361">
        <v>0</v>
      </c>
    </row>
    <row r="120" spans="1:42" x14ac:dyDescent="0.25">
      <c r="A120" s="284" t="s">
        <v>1076</v>
      </c>
      <c r="B120" s="426" t="s">
        <v>1149</v>
      </c>
      <c r="C120" s="454" t="s">
        <v>132</v>
      </c>
      <c r="D120" s="459">
        <v>-3357.1</v>
      </c>
      <c r="E120" s="361">
        <v>0</v>
      </c>
      <c r="F120" s="361"/>
      <c r="G120" s="361"/>
      <c r="H120" s="361"/>
      <c r="I120" s="361">
        <v>0</v>
      </c>
      <c r="J120" s="585">
        <f t="shared" si="23"/>
        <v>-3357.1</v>
      </c>
      <c r="K120" s="588">
        <f t="shared" si="27"/>
        <v>-1.2132026470681076E-6</v>
      </c>
      <c r="L120" s="456">
        <f>L69</f>
        <v>-3382</v>
      </c>
      <c r="M120" s="457" t="s">
        <v>1171</v>
      </c>
      <c r="N120" s="477"/>
      <c r="O120" s="458"/>
      <c r="P120" s="595"/>
      <c r="S120" s="456">
        <f t="shared" si="30"/>
        <v>0</v>
      </c>
      <c r="T120" s="456"/>
      <c r="U120" s="456">
        <f t="shared" si="30"/>
        <v>0</v>
      </c>
      <c r="AA120" s="392" t="s">
        <v>1149</v>
      </c>
      <c r="AG120" s="392"/>
      <c r="AO120" s="585">
        <f t="shared" si="21"/>
        <v>0</v>
      </c>
      <c r="AP120" s="361">
        <v>0</v>
      </c>
    </row>
    <row r="121" spans="1:42" x14ac:dyDescent="0.25">
      <c r="A121" s="284" t="s">
        <v>1076</v>
      </c>
      <c r="B121" s="426" t="s">
        <v>1150</v>
      </c>
      <c r="C121" s="454" t="s">
        <v>132</v>
      </c>
      <c r="D121" s="459">
        <v>19923.099999999999</v>
      </c>
      <c r="E121" s="361">
        <v>-100</v>
      </c>
      <c r="F121" s="361"/>
      <c r="G121" s="361"/>
      <c r="H121" s="361"/>
      <c r="I121" s="361">
        <v>0</v>
      </c>
      <c r="J121" s="585">
        <f t="shared" si="23"/>
        <v>19823.099999999999</v>
      </c>
      <c r="K121" s="588"/>
      <c r="L121" s="456">
        <f>L70</f>
        <v>19970.12</v>
      </c>
      <c r="M121" s="457" t="s">
        <v>1171</v>
      </c>
      <c r="N121" s="477"/>
      <c r="O121" s="458"/>
      <c r="P121" s="595"/>
      <c r="S121" s="456">
        <f t="shared" si="30"/>
        <v>0</v>
      </c>
      <c r="T121" s="456"/>
      <c r="U121" s="456">
        <f t="shared" si="30"/>
        <v>0</v>
      </c>
      <c r="AA121" s="392" t="s">
        <v>1150</v>
      </c>
      <c r="AG121" s="392"/>
      <c r="AO121" s="585">
        <f t="shared" si="21"/>
        <v>0</v>
      </c>
      <c r="AP121" s="361">
        <v>0</v>
      </c>
    </row>
    <row r="122" spans="1:42" x14ac:dyDescent="0.25">
      <c r="A122" s="284" t="s">
        <v>1076</v>
      </c>
      <c r="B122" s="428" t="s">
        <v>1151</v>
      </c>
      <c r="C122" s="454" t="s">
        <v>132</v>
      </c>
      <c r="D122" s="459">
        <v>0</v>
      </c>
      <c r="E122" s="361">
        <v>0</v>
      </c>
      <c r="F122" s="361"/>
      <c r="G122" s="361"/>
      <c r="H122" s="361"/>
      <c r="I122" s="361">
        <v>0</v>
      </c>
      <c r="J122" s="585">
        <f t="shared" si="23"/>
        <v>0</v>
      </c>
      <c r="K122" s="588"/>
      <c r="L122" s="456">
        <f>L71</f>
        <v>0</v>
      </c>
      <c r="M122" s="457" t="s">
        <v>1171</v>
      </c>
      <c r="N122" s="477"/>
      <c r="O122" s="458"/>
      <c r="P122" s="595"/>
      <c r="S122" s="456">
        <f t="shared" si="30"/>
        <v>0</v>
      </c>
      <c r="T122" s="456"/>
      <c r="U122" s="456">
        <f t="shared" si="30"/>
        <v>0</v>
      </c>
      <c r="AA122" s="392" t="s">
        <v>1151</v>
      </c>
      <c r="AG122" s="392"/>
      <c r="AO122" s="585">
        <f t="shared" si="21"/>
        <v>0</v>
      </c>
      <c r="AP122" s="361">
        <v>0</v>
      </c>
    </row>
    <row r="123" spans="1:42" x14ac:dyDescent="0.25">
      <c r="A123" s="284" t="s">
        <v>1076</v>
      </c>
      <c r="B123" s="430" t="s">
        <v>1138</v>
      </c>
      <c r="C123" s="454" t="s">
        <v>132</v>
      </c>
      <c r="D123" s="459">
        <v>8133.5</v>
      </c>
      <c r="E123" s="361">
        <v>0</v>
      </c>
      <c r="F123" s="361"/>
      <c r="G123" s="361"/>
      <c r="H123" s="361"/>
      <c r="I123" s="361">
        <v>0</v>
      </c>
      <c r="J123" s="585">
        <f t="shared" si="23"/>
        <v>8133.5</v>
      </c>
      <c r="K123" s="588">
        <f>J123/$J$143</f>
        <v>2.939317783184431E-6</v>
      </c>
      <c r="L123" s="456">
        <f>L33+L72</f>
        <v>8193.82</v>
      </c>
      <c r="M123" s="457" t="s">
        <v>1171</v>
      </c>
      <c r="N123" s="477"/>
      <c r="O123" s="458"/>
      <c r="P123" s="595"/>
      <c r="S123" s="456">
        <f>S33+S72</f>
        <v>0</v>
      </c>
      <c r="T123" s="456"/>
      <c r="U123" s="456">
        <f>U33+U72</f>
        <v>0</v>
      </c>
      <c r="AA123" s="429" t="s">
        <v>1138</v>
      </c>
      <c r="AG123" s="429"/>
      <c r="AO123" s="585">
        <f t="shared" si="21"/>
        <v>0</v>
      </c>
      <c r="AP123" s="361">
        <v>0</v>
      </c>
    </row>
    <row r="124" spans="1:42" x14ac:dyDescent="0.25">
      <c r="A124" s="284" t="s">
        <v>1076</v>
      </c>
      <c r="B124" s="426" t="s">
        <v>1152</v>
      </c>
      <c r="C124" s="454" t="s">
        <v>132</v>
      </c>
      <c r="D124" s="455">
        <v>-34357.340000000004</v>
      </c>
      <c r="E124" s="361">
        <v>0</v>
      </c>
      <c r="F124" s="361"/>
      <c r="G124" s="361"/>
      <c r="H124" s="361"/>
      <c r="I124" s="361">
        <v>0</v>
      </c>
      <c r="J124" s="585">
        <f t="shared" si="23"/>
        <v>-34357.340000000004</v>
      </c>
      <c r="K124" s="588">
        <f>J124/$J$143</f>
        <v>-1.2416197263774979E-5</v>
      </c>
      <c r="L124" s="456">
        <f>L73</f>
        <v>-34612.15</v>
      </c>
      <c r="M124" s="457" t="s">
        <v>1171</v>
      </c>
      <c r="N124" s="477"/>
      <c r="O124" s="458"/>
      <c r="P124" s="595"/>
      <c r="S124" s="456">
        <f t="shared" ref="S124:U126" si="31">S73</f>
        <v>0</v>
      </c>
      <c r="T124" s="456"/>
      <c r="U124" s="456">
        <f t="shared" si="31"/>
        <v>0</v>
      </c>
      <c r="AA124" s="618" t="s">
        <v>1152</v>
      </c>
      <c r="AG124" s="618"/>
      <c r="AO124" s="585">
        <f t="shared" si="21"/>
        <v>0</v>
      </c>
      <c r="AP124" s="361">
        <v>0</v>
      </c>
    </row>
    <row r="125" spans="1:42" x14ac:dyDescent="0.25">
      <c r="A125" s="284" t="s">
        <v>1076</v>
      </c>
      <c r="B125" s="426" t="s">
        <v>1153</v>
      </c>
      <c r="C125" s="454" t="s">
        <v>132</v>
      </c>
      <c r="D125" s="459">
        <v>0</v>
      </c>
      <c r="E125" s="361">
        <v>0</v>
      </c>
      <c r="F125" s="361"/>
      <c r="G125" s="361"/>
      <c r="H125" s="361"/>
      <c r="I125" s="361">
        <v>0</v>
      </c>
      <c r="J125" s="585">
        <f t="shared" si="23"/>
        <v>0</v>
      </c>
      <c r="K125" s="588"/>
      <c r="L125" s="456">
        <f>L74</f>
        <v>0</v>
      </c>
      <c r="M125" s="457" t="s">
        <v>1171</v>
      </c>
      <c r="N125" s="477"/>
      <c r="O125" s="458"/>
      <c r="P125" s="595"/>
      <c r="S125" s="456">
        <f t="shared" si="31"/>
        <v>0</v>
      </c>
      <c r="T125" s="456"/>
      <c r="U125" s="456">
        <f t="shared" si="31"/>
        <v>0</v>
      </c>
      <c r="AA125" s="460" t="s">
        <v>1153</v>
      </c>
      <c r="AG125" s="460"/>
      <c r="AO125" s="585">
        <f t="shared" si="21"/>
        <v>0</v>
      </c>
      <c r="AP125" s="361">
        <v>0</v>
      </c>
    </row>
    <row r="126" spans="1:42" x14ac:dyDescent="0.25">
      <c r="A126" s="284" t="s">
        <v>1076</v>
      </c>
      <c r="B126" s="426" t="s">
        <v>1154</v>
      </c>
      <c r="C126" s="454" t="s">
        <v>132</v>
      </c>
      <c r="D126" s="459">
        <v>2125.79</v>
      </c>
      <c r="E126" s="361">
        <v>0</v>
      </c>
      <c r="F126" s="361"/>
      <c r="G126" s="361"/>
      <c r="H126" s="361"/>
      <c r="I126" s="361">
        <v>0</v>
      </c>
      <c r="J126" s="585">
        <f t="shared" si="23"/>
        <v>2125.79</v>
      </c>
      <c r="K126" s="588">
        <f>J126/$J$143</f>
        <v>7.6822675973635357E-7</v>
      </c>
      <c r="L126" s="456">
        <f>L75</f>
        <v>2141.56</v>
      </c>
      <c r="M126" s="457" t="s">
        <v>1171</v>
      </c>
      <c r="N126" s="477"/>
      <c r="O126" s="458"/>
      <c r="P126" s="595"/>
      <c r="S126" s="456">
        <f t="shared" si="31"/>
        <v>0</v>
      </c>
      <c r="T126" s="456"/>
      <c r="U126" s="456">
        <f t="shared" si="31"/>
        <v>0</v>
      </c>
      <c r="AA126" s="392" t="s">
        <v>1154</v>
      </c>
      <c r="AG126" s="392"/>
      <c r="AO126" s="585">
        <f t="shared" si="21"/>
        <v>0</v>
      </c>
      <c r="AP126" s="361">
        <v>0</v>
      </c>
    </row>
    <row r="127" spans="1:42" x14ac:dyDescent="0.25">
      <c r="A127" s="284" t="s">
        <v>1076</v>
      </c>
      <c r="B127" s="426" t="s">
        <v>1139</v>
      </c>
      <c r="C127" s="454" t="s">
        <v>1172</v>
      </c>
      <c r="D127" s="459">
        <v>3692972.5</v>
      </c>
      <c r="E127" s="361">
        <v>10300</v>
      </c>
      <c r="F127" s="361"/>
      <c r="G127" s="361"/>
      <c r="H127" s="361">
        <v>0</v>
      </c>
      <c r="I127" s="361">
        <v>0</v>
      </c>
      <c r="J127" s="585">
        <f t="shared" si="23"/>
        <v>3703272.5</v>
      </c>
      <c r="K127" s="588">
        <f>J127/$J$143</f>
        <v>1.3383038931859428E-3</v>
      </c>
      <c r="L127" s="456">
        <f>L34+L76</f>
        <v>3725441.2300000004</v>
      </c>
      <c r="M127" s="457" t="s">
        <v>1171</v>
      </c>
      <c r="N127" s="477"/>
      <c r="O127" s="458"/>
      <c r="P127" s="595"/>
      <c r="S127" s="456">
        <f>S34+S76</f>
        <v>2077244.7906051048</v>
      </c>
      <c r="T127" s="456"/>
      <c r="U127" s="456">
        <f>U34+U76</f>
        <v>2060247.3781013368</v>
      </c>
      <c r="AA127" s="392" t="s">
        <v>1139</v>
      </c>
      <c r="AG127" s="392"/>
      <c r="AO127" s="585">
        <f t="shared" si="21"/>
        <v>21737.853157828329</v>
      </c>
      <c r="AP127" s="361">
        <v>2038509.5249435084</v>
      </c>
    </row>
    <row r="128" spans="1:42" x14ac:dyDescent="0.25">
      <c r="A128" s="284" t="s">
        <v>1076</v>
      </c>
      <c r="B128" s="426" t="s">
        <v>1155</v>
      </c>
      <c r="C128" s="454" t="s">
        <v>1172</v>
      </c>
      <c r="D128" s="459">
        <v>55347.199999999997</v>
      </c>
      <c r="E128" s="361">
        <v>100</v>
      </c>
      <c r="F128" s="361"/>
      <c r="G128" s="361"/>
      <c r="H128" s="361"/>
      <c r="I128" s="361"/>
      <c r="J128" s="585">
        <f t="shared" si="23"/>
        <v>55447.199999999997</v>
      </c>
      <c r="K128" s="588"/>
      <c r="L128" s="456">
        <f>L77</f>
        <v>55858.42</v>
      </c>
      <c r="M128" s="457" t="s">
        <v>1171</v>
      </c>
      <c r="N128" s="477"/>
      <c r="O128" s="458"/>
      <c r="P128" s="595"/>
      <c r="S128" s="456">
        <f>S77</f>
        <v>39365.587010251737</v>
      </c>
      <c r="T128" s="456"/>
      <c r="U128" s="456">
        <f>U77</f>
        <v>39043.471328993342</v>
      </c>
      <c r="AA128" s="392" t="s">
        <v>1155</v>
      </c>
      <c r="AG128" s="392"/>
      <c r="AO128" s="585">
        <f t="shared" si="21"/>
        <v>411.95113535525888</v>
      </c>
      <c r="AP128" s="361">
        <v>38631.520193638084</v>
      </c>
    </row>
    <row r="129" spans="1:42" x14ac:dyDescent="0.25">
      <c r="A129" s="284" t="s">
        <v>1076</v>
      </c>
      <c r="B129" s="428" t="s">
        <v>1156</v>
      </c>
      <c r="C129" s="454" t="s">
        <v>1172</v>
      </c>
      <c r="D129" s="459">
        <v>0</v>
      </c>
      <c r="E129" s="361">
        <v>0</v>
      </c>
      <c r="F129" s="361"/>
      <c r="G129" s="361"/>
      <c r="H129" s="361"/>
      <c r="I129" s="361">
        <v>0</v>
      </c>
      <c r="J129" s="585">
        <f t="shared" si="23"/>
        <v>0</v>
      </c>
      <c r="K129" s="588"/>
      <c r="L129" s="456">
        <f>L78</f>
        <v>0</v>
      </c>
      <c r="M129" s="457" t="s">
        <v>1171</v>
      </c>
      <c r="N129" s="477"/>
      <c r="O129" s="458"/>
      <c r="P129" s="595"/>
      <c r="S129" s="456">
        <f>S78</f>
        <v>0</v>
      </c>
      <c r="T129" s="456"/>
      <c r="U129" s="456">
        <f>U78</f>
        <v>0</v>
      </c>
      <c r="AA129" s="461" t="s">
        <v>1156</v>
      </c>
      <c r="AG129" s="461"/>
      <c r="AO129" s="585">
        <f t="shared" si="21"/>
        <v>0</v>
      </c>
      <c r="AP129" s="361">
        <v>0</v>
      </c>
    </row>
    <row r="130" spans="1:42" x14ac:dyDescent="0.25">
      <c r="A130" s="284" t="s">
        <v>1076</v>
      </c>
      <c r="B130" s="426" t="s">
        <v>1140</v>
      </c>
      <c r="C130" s="454" t="s">
        <v>1172</v>
      </c>
      <c r="D130" s="459">
        <v>-167151.15</v>
      </c>
      <c r="E130" s="361">
        <v>0</v>
      </c>
      <c r="F130" s="361"/>
      <c r="G130" s="361"/>
      <c r="H130" s="361"/>
      <c r="I130" s="361">
        <v>0</v>
      </c>
      <c r="J130" s="585">
        <f t="shared" si="23"/>
        <v>-167151.15</v>
      </c>
      <c r="K130" s="588">
        <f t="shared" ref="K130:K138" si="32">J130/$J$143</f>
        <v>-6.0405772136808052E-5</v>
      </c>
      <c r="L130" s="456">
        <f>L35+L79</f>
        <v>-167086.21000000002</v>
      </c>
      <c r="M130" s="457" t="s">
        <v>1171</v>
      </c>
      <c r="N130" s="477"/>
      <c r="O130" s="458"/>
      <c r="P130" s="597"/>
      <c r="S130" s="456">
        <f>S35+S79</f>
        <v>-81144.812360965152</v>
      </c>
      <c r="T130" s="456"/>
      <c r="U130" s="456">
        <f>U35+U79</f>
        <v>-80480.830987908776</v>
      </c>
      <c r="AA130" s="392" t="s">
        <v>1140</v>
      </c>
      <c r="AG130" s="392"/>
      <c r="AO130" s="585">
        <f t="shared" si="21"/>
        <v>-849.16039919799368</v>
      </c>
      <c r="AP130" s="361">
        <v>-79631.670588710782</v>
      </c>
    </row>
    <row r="131" spans="1:42" x14ac:dyDescent="0.25">
      <c r="A131" s="284" t="s">
        <v>1076</v>
      </c>
      <c r="B131" s="426" t="s">
        <v>1143</v>
      </c>
      <c r="C131" s="454" t="s">
        <v>132</v>
      </c>
      <c r="D131" s="459">
        <v>1250159.2899999998</v>
      </c>
      <c r="E131" s="361">
        <v>1200</v>
      </c>
      <c r="F131" s="361"/>
      <c r="G131" s="361"/>
      <c r="H131" s="361"/>
      <c r="I131" s="361">
        <v>0</v>
      </c>
      <c r="J131" s="585">
        <f t="shared" si="23"/>
        <v>1251359.2899999998</v>
      </c>
      <c r="K131" s="588">
        <f t="shared" si="32"/>
        <v>4.5222138246143025E-4</v>
      </c>
      <c r="L131" s="456">
        <f>L38+L80</f>
        <v>1260640</v>
      </c>
      <c r="M131" s="457" t="s">
        <v>1171</v>
      </c>
      <c r="N131" s="477"/>
      <c r="O131" s="458"/>
      <c r="P131" s="597"/>
      <c r="S131" s="456">
        <f>S38+S80</f>
        <v>791186.72251887363</v>
      </c>
      <c r="T131" s="456"/>
      <c r="U131" s="456">
        <f>U38+U80</f>
        <v>784712.70118495077</v>
      </c>
      <c r="AA131" s="392" t="s">
        <v>1143</v>
      </c>
      <c r="AG131" s="392"/>
      <c r="AO131" s="585">
        <f t="shared" si="21"/>
        <v>8279.5734389728168</v>
      </c>
      <c r="AP131" s="361">
        <v>776433.12774597795</v>
      </c>
    </row>
    <row r="132" spans="1:42" x14ac:dyDescent="0.25">
      <c r="A132" s="284" t="s">
        <v>1076</v>
      </c>
      <c r="B132" s="426" t="s">
        <v>1157</v>
      </c>
      <c r="C132" s="454" t="s">
        <v>132</v>
      </c>
      <c r="D132" s="459">
        <v>1872813.3</v>
      </c>
      <c r="E132" s="361">
        <v>2000</v>
      </c>
      <c r="F132" s="361"/>
      <c r="G132" s="361"/>
      <c r="H132" s="361"/>
      <c r="I132" s="361">
        <v>0</v>
      </c>
      <c r="J132" s="585">
        <f t="shared" si="23"/>
        <v>1874813.3</v>
      </c>
      <c r="K132" s="588">
        <f t="shared" si="32"/>
        <v>6.775277645344179E-4</v>
      </c>
      <c r="L132" s="456">
        <f>L81</f>
        <v>1888717.85</v>
      </c>
      <c r="M132" s="457" t="s">
        <v>1171</v>
      </c>
      <c r="N132" s="477"/>
      <c r="O132" s="458"/>
      <c r="P132" s="597"/>
      <c r="S132" s="456">
        <f>S81</f>
        <v>1767202.8831207247</v>
      </c>
      <c r="T132" s="456"/>
      <c r="U132" s="456">
        <f>U81</f>
        <v>1752742.4418101457</v>
      </c>
      <c r="AA132" s="392" t="s">
        <v>1157</v>
      </c>
      <c r="AG132" s="392"/>
      <c r="AO132" s="585">
        <f t="shared" si="21"/>
        <v>18493.341250444995</v>
      </c>
      <c r="AP132" s="361">
        <v>1734249.1005597007</v>
      </c>
    </row>
    <row r="133" spans="1:42" x14ac:dyDescent="0.25">
      <c r="A133" s="284" t="s">
        <v>1076</v>
      </c>
      <c r="B133" s="426" t="s">
        <v>1158</v>
      </c>
      <c r="C133" s="454" t="s">
        <v>132</v>
      </c>
      <c r="D133" s="459">
        <v>1555562.9200000002</v>
      </c>
      <c r="E133" s="361">
        <v>2000</v>
      </c>
      <c r="F133" s="361"/>
      <c r="G133" s="361"/>
      <c r="H133" s="361">
        <v>0</v>
      </c>
      <c r="I133" s="361">
        <v>0</v>
      </c>
      <c r="J133" s="585">
        <f t="shared" si="23"/>
        <v>1557562.9200000002</v>
      </c>
      <c r="K133" s="588">
        <f t="shared" si="32"/>
        <v>5.6287851345480661E-4</v>
      </c>
      <c r="L133" s="456">
        <f>L82</f>
        <v>1569114.59</v>
      </c>
      <c r="M133" s="457" t="s">
        <v>1171</v>
      </c>
      <c r="N133" s="477"/>
      <c r="O133" s="458"/>
      <c r="P133" s="597"/>
      <c r="S133" s="456">
        <f>S82</f>
        <v>0</v>
      </c>
      <c r="T133" s="456"/>
      <c r="U133" s="456">
        <f>U82</f>
        <v>0</v>
      </c>
      <c r="AA133" s="392" t="s">
        <v>1158</v>
      </c>
      <c r="AG133" s="392"/>
      <c r="AO133" s="585">
        <f t="shared" si="21"/>
        <v>0</v>
      </c>
      <c r="AP133" s="361">
        <v>0</v>
      </c>
    </row>
    <row r="134" spans="1:42" x14ac:dyDescent="0.25">
      <c r="A134" s="284" t="s">
        <v>1076</v>
      </c>
      <c r="B134" s="462" t="s">
        <v>1142</v>
      </c>
      <c r="C134" s="454" t="s">
        <v>132</v>
      </c>
      <c r="D134" s="455">
        <v>-2225.5500000000002</v>
      </c>
      <c r="E134" s="361">
        <v>0</v>
      </c>
      <c r="F134" s="361"/>
      <c r="G134" s="361"/>
      <c r="H134" s="361"/>
      <c r="I134" s="361"/>
      <c r="J134" s="585">
        <f t="shared" si="23"/>
        <v>-2225.5500000000002</v>
      </c>
      <c r="K134" s="588">
        <f t="shared" si="32"/>
        <v>-8.0427844007697931E-7</v>
      </c>
      <c r="L134" s="456">
        <f>L37+L83</f>
        <v>-2242.06</v>
      </c>
      <c r="M134" s="457" t="s">
        <v>1171</v>
      </c>
      <c r="N134" s="477"/>
      <c r="O134" s="458"/>
      <c r="P134" s="597"/>
      <c r="S134" s="456">
        <f>S37+S83</f>
        <v>-147.78118843455468</v>
      </c>
      <c r="T134" s="456"/>
      <c r="U134" s="456">
        <f>U37+U83</f>
        <v>-146.57194346184855</v>
      </c>
      <c r="AA134" s="618" t="s">
        <v>1142</v>
      </c>
      <c r="AG134" s="618"/>
      <c r="AO134" s="585">
        <f t="shared" si="21"/>
        <v>-1.5464935996994029</v>
      </c>
      <c r="AP134" s="361">
        <v>-145.02544986214915</v>
      </c>
    </row>
    <row r="135" spans="1:42" x14ac:dyDescent="0.25">
      <c r="A135" s="284" t="s">
        <v>1076</v>
      </c>
      <c r="B135" s="424" t="s">
        <v>1144</v>
      </c>
      <c r="C135" s="454" t="s">
        <v>132</v>
      </c>
      <c r="D135" s="459">
        <v>0</v>
      </c>
      <c r="E135" s="361">
        <v>0</v>
      </c>
      <c r="F135" s="361">
        <v>0</v>
      </c>
      <c r="G135" s="361">
        <v>0</v>
      </c>
      <c r="H135" s="361">
        <v>0</v>
      </c>
      <c r="I135" s="361">
        <v>-89229.56</v>
      </c>
      <c r="J135" s="585">
        <f t="shared" si="23"/>
        <v>-89229.56</v>
      </c>
      <c r="K135" s="588">
        <f t="shared" si="32"/>
        <v>-3.2246146492127886E-5</v>
      </c>
      <c r="L135" s="456">
        <f>L39+L84</f>
        <v>-89255.079999999987</v>
      </c>
      <c r="M135" s="457" t="s">
        <v>1171</v>
      </c>
      <c r="N135" s="477"/>
      <c r="O135" s="458"/>
      <c r="P135" s="597"/>
      <c r="S135" s="456">
        <f>S39+S84</f>
        <v>0</v>
      </c>
      <c r="T135" s="456"/>
      <c r="U135" s="456">
        <f>U39+U84</f>
        <v>0</v>
      </c>
      <c r="AA135" s="390" t="s">
        <v>1144</v>
      </c>
      <c r="AG135" s="390"/>
      <c r="AO135" s="585">
        <f t="shared" si="21"/>
        <v>0</v>
      </c>
      <c r="AP135" s="361">
        <v>0</v>
      </c>
    </row>
    <row r="136" spans="1:42" x14ac:dyDescent="0.25">
      <c r="A136" s="284" t="s">
        <v>1076</v>
      </c>
      <c r="B136" s="434" t="s">
        <v>1159</v>
      </c>
      <c r="C136" s="454" t="s">
        <v>132</v>
      </c>
      <c r="D136" s="459">
        <v>-3937.5099999999998</v>
      </c>
      <c r="E136" s="361">
        <v>0</v>
      </c>
      <c r="F136" s="361">
        <v>0</v>
      </c>
      <c r="G136" s="361">
        <v>0</v>
      </c>
      <c r="H136" s="361">
        <v>0</v>
      </c>
      <c r="I136" s="361">
        <v>0</v>
      </c>
      <c r="J136" s="585">
        <f t="shared" si="23"/>
        <v>-3937.5099999999998</v>
      </c>
      <c r="K136" s="588">
        <f t="shared" si="32"/>
        <v>-1.4229536072375397E-6</v>
      </c>
      <c r="L136" s="456">
        <f>L36+L85</f>
        <v>-3966.71</v>
      </c>
      <c r="M136" s="457" t="s">
        <v>1171</v>
      </c>
      <c r="N136" s="477"/>
      <c r="O136" s="458"/>
      <c r="P136" s="597"/>
      <c r="S136" s="456">
        <f>S36+S85</f>
        <v>-3937.5099999999998</v>
      </c>
      <c r="T136" s="456"/>
      <c r="U136" s="456">
        <f>U36+U85</f>
        <v>-3905.2906477068041</v>
      </c>
      <c r="AA136" s="390" t="s">
        <v>1159</v>
      </c>
      <c r="AG136" s="390"/>
      <c r="AO136" s="585">
        <f t="shared" si="21"/>
        <v>-41.205068644099356</v>
      </c>
      <c r="AP136" s="361">
        <v>-3864.0855790627047</v>
      </c>
    </row>
    <row r="137" spans="1:42" x14ac:dyDescent="0.25">
      <c r="A137" s="284" t="s">
        <v>1076</v>
      </c>
      <c r="B137" s="413" t="s">
        <v>1145</v>
      </c>
      <c r="C137" s="454" t="s">
        <v>1173</v>
      </c>
      <c r="D137" s="455">
        <v>2693722.69</v>
      </c>
      <c r="E137" s="361">
        <v>400</v>
      </c>
      <c r="F137" s="361">
        <v>28145.07</v>
      </c>
      <c r="G137" s="361">
        <v>218895.51</v>
      </c>
      <c r="H137" s="361">
        <v>15000</v>
      </c>
      <c r="I137" s="361">
        <v>196.75</v>
      </c>
      <c r="J137" s="585">
        <f t="shared" si="23"/>
        <v>2956360.0199999996</v>
      </c>
      <c r="K137" s="588">
        <f t="shared" si="32"/>
        <v>1.0683815799202654E-3</v>
      </c>
      <c r="L137" s="456">
        <f>L40+L86</f>
        <v>2971710.42</v>
      </c>
      <c r="M137" s="457" t="s">
        <v>1173</v>
      </c>
      <c r="N137" s="477"/>
      <c r="O137" s="458"/>
      <c r="P137" s="597"/>
      <c r="S137" s="456">
        <f>S40+S86</f>
        <v>916.23077675980096</v>
      </c>
      <c r="T137" s="456"/>
      <c r="U137" s="456">
        <f>U40+U86</f>
        <v>908.73356096141754</v>
      </c>
      <c r="AA137" s="376" t="s">
        <v>1145</v>
      </c>
      <c r="AG137" s="376"/>
      <c r="AO137" s="585">
        <f t="shared" si="21"/>
        <v>9.5881285508414749</v>
      </c>
      <c r="AP137" s="361">
        <v>899.14543241057606</v>
      </c>
    </row>
    <row r="138" spans="1:42" x14ac:dyDescent="0.25">
      <c r="A138" s="284" t="s">
        <v>1076</v>
      </c>
      <c r="B138" s="463" t="s">
        <v>1160</v>
      </c>
      <c r="C138" s="454" t="s">
        <v>132</v>
      </c>
      <c r="D138" s="455">
        <v>0</v>
      </c>
      <c r="E138" s="361">
        <v>0</v>
      </c>
      <c r="F138" s="361">
        <v>0</v>
      </c>
      <c r="G138" s="361">
        <v>0</v>
      </c>
      <c r="H138" s="361"/>
      <c r="I138" s="361">
        <v>0</v>
      </c>
      <c r="J138" s="585">
        <f t="shared" si="23"/>
        <v>0</v>
      </c>
      <c r="K138" s="588">
        <f t="shared" si="32"/>
        <v>0</v>
      </c>
      <c r="L138" s="456">
        <f>L87</f>
        <v>0</v>
      </c>
      <c r="M138" s="457" t="s">
        <v>1171</v>
      </c>
      <c r="N138" s="477"/>
      <c r="O138" s="458"/>
      <c r="P138" s="597"/>
      <c r="S138" s="456">
        <f>S87</f>
        <v>0</v>
      </c>
      <c r="T138" s="456"/>
      <c r="U138" s="456">
        <f>U87</f>
        <v>0</v>
      </c>
      <c r="AA138" s="618" t="s">
        <v>1160</v>
      </c>
      <c r="AG138" s="618"/>
      <c r="AO138" s="585">
        <f t="shared" si="21"/>
        <v>0</v>
      </c>
      <c r="AP138" s="361">
        <v>0</v>
      </c>
    </row>
    <row r="139" spans="1:42" x14ac:dyDescent="0.25">
      <c r="A139" s="284" t="s">
        <v>1085</v>
      </c>
      <c r="B139" s="435" t="s">
        <v>132</v>
      </c>
      <c r="C139" s="454" t="s">
        <v>1167</v>
      </c>
      <c r="D139" s="455">
        <v>2410479.5</v>
      </c>
      <c r="E139" s="361">
        <v>0</v>
      </c>
      <c r="F139" s="361">
        <v>32805.189999999995</v>
      </c>
      <c r="G139" s="361">
        <v>26474.800000000003</v>
      </c>
      <c r="H139" s="361">
        <v>18000</v>
      </c>
      <c r="I139" s="361">
        <v>-10280.900000000001</v>
      </c>
      <c r="J139" s="585">
        <f t="shared" si="23"/>
        <v>2477478.59</v>
      </c>
      <c r="K139" s="588"/>
      <c r="L139" s="456">
        <f>L41+L88</f>
        <v>2481192.84</v>
      </c>
      <c r="M139" s="619" t="s">
        <v>1124</v>
      </c>
      <c r="N139" s="477"/>
      <c r="O139" s="458"/>
      <c r="P139" s="597"/>
      <c r="S139" s="456">
        <f>S41+S88</f>
        <v>3172.1097916824165</v>
      </c>
      <c r="T139" s="456"/>
      <c r="U139" s="456">
        <f>U41+U88</f>
        <v>3146.1534581389051</v>
      </c>
      <c r="AA139" s="618"/>
      <c r="AG139" s="397"/>
      <c r="AO139" s="585">
        <f t="shared" ref="AO139:AO172" si="33">U139-AP139</f>
        <v>33.195344700811802</v>
      </c>
      <c r="AP139" s="361">
        <v>3112.9581134380933</v>
      </c>
    </row>
    <row r="140" spans="1:42" x14ac:dyDescent="0.25">
      <c r="A140" s="284" t="s">
        <v>1085</v>
      </c>
      <c r="B140" s="463" t="s">
        <v>1161</v>
      </c>
      <c r="C140" s="454" t="s">
        <v>132</v>
      </c>
      <c r="D140" s="455">
        <v>65421.539999999994</v>
      </c>
      <c r="E140" s="361">
        <v>200</v>
      </c>
      <c r="F140" s="361">
        <v>0</v>
      </c>
      <c r="G140" s="361">
        <v>0</v>
      </c>
      <c r="H140" s="361">
        <v>0</v>
      </c>
      <c r="I140" s="361">
        <v>0</v>
      </c>
      <c r="J140" s="585">
        <f t="shared" si="23"/>
        <v>65621.539999999994</v>
      </c>
      <c r="K140" s="588"/>
      <c r="L140" s="456">
        <f>L89</f>
        <v>66108.22</v>
      </c>
      <c r="M140" s="457" t="s">
        <v>1171</v>
      </c>
      <c r="N140" s="477"/>
      <c r="O140" s="458"/>
      <c r="P140" s="597"/>
      <c r="S140" s="456">
        <f>S89</f>
        <v>65621.539999999994</v>
      </c>
      <c r="T140" s="456"/>
      <c r="U140" s="456">
        <f>U89</f>
        <v>65084.580470936693</v>
      </c>
      <c r="AA140" s="618"/>
      <c r="AG140" s="618"/>
      <c r="AO140" s="585">
        <f t="shared" si="33"/>
        <v>686.71319189830683</v>
      </c>
      <c r="AP140" s="361">
        <v>64397.867279038386</v>
      </c>
    </row>
    <row r="141" spans="1:42" x14ac:dyDescent="0.25">
      <c r="A141" s="284" t="s">
        <v>1085</v>
      </c>
      <c r="B141" s="463" t="s">
        <v>1162</v>
      </c>
      <c r="C141" s="454" t="s">
        <v>132</v>
      </c>
      <c r="D141" s="455">
        <v>-703.7</v>
      </c>
      <c r="E141" s="361">
        <v>0</v>
      </c>
      <c r="F141" s="361">
        <v>0</v>
      </c>
      <c r="G141" s="361">
        <v>0</v>
      </c>
      <c r="H141" s="361">
        <v>0</v>
      </c>
      <c r="I141" s="361">
        <v>0</v>
      </c>
      <c r="J141" s="585">
        <f t="shared" si="23"/>
        <v>-703.7</v>
      </c>
      <c r="K141" s="588"/>
      <c r="L141" s="456">
        <f>L90</f>
        <v>-708.92</v>
      </c>
      <c r="M141" s="457" t="s">
        <v>1171</v>
      </c>
      <c r="N141" s="477"/>
      <c r="O141" s="458"/>
      <c r="P141" s="597"/>
      <c r="S141" s="456">
        <f>S90</f>
        <v>-703.7</v>
      </c>
      <c r="T141" s="456"/>
      <c r="U141" s="456">
        <f>U90</f>
        <v>-697.94185380894987</v>
      </c>
      <c r="AA141" s="618"/>
      <c r="AG141" s="618"/>
      <c r="AO141" s="585">
        <f t="shared" si="33"/>
        <v>-7.3640465179396415</v>
      </c>
      <c r="AP141" s="361">
        <v>-690.57780729101023</v>
      </c>
    </row>
    <row r="142" spans="1:42" x14ac:dyDescent="0.25">
      <c r="A142" s="284" t="s">
        <v>1085</v>
      </c>
      <c r="B142" s="435" t="s">
        <v>1174</v>
      </c>
      <c r="C142" s="454" t="s">
        <v>132</v>
      </c>
      <c r="D142" s="464">
        <v>0</v>
      </c>
      <c r="E142" s="361">
        <v>0</v>
      </c>
      <c r="F142" s="361">
        <v>0</v>
      </c>
      <c r="G142" s="361">
        <v>0</v>
      </c>
      <c r="H142" s="361">
        <v>0</v>
      </c>
      <c r="I142" s="361">
        <v>0</v>
      </c>
      <c r="J142" s="585">
        <f t="shared" si="23"/>
        <v>0</v>
      </c>
      <c r="K142" s="588">
        <f>J142/$J$143</f>
        <v>0</v>
      </c>
      <c r="L142" s="456">
        <f>L91</f>
        <v>0</v>
      </c>
      <c r="M142" s="457" t="s">
        <v>1171</v>
      </c>
      <c r="N142" s="477"/>
      <c r="O142" s="458"/>
      <c r="P142" s="597"/>
      <c r="S142" s="456"/>
      <c r="T142" s="456"/>
      <c r="U142" s="456"/>
      <c r="AA142" s="397" t="s">
        <v>132</v>
      </c>
      <c r="AG142" s="618"/>
      <c r="AO142" s="585">
        <f t="shared" si="33"/>
        <v>0</v>
      </c>
      <c r="AP142" s="361"/>
    </row>
    <row r="143" spans="1:42" ht="13.8" thickBot="1" x14ac:dyDescent="0.3">
      <c r="B143" s="465" t="s">
        <v>661</v>
      </c>
      <c r="C143" s="466"/>
      <c r="D143" s="438">
        <f>SUM(D96:D142)</f>
        <v>2637583929.7199998</v>
      </c>
      <c r="E143" s="438">
        <f t="shared" ref="E143:J143" si="34">SUM(E96:E142)</f>
        <v>1125000</v>
      </c>
      <c r="F143" s="438">
        <f t="shared" si="34"/>
        <v>46902912.520000003</v>
      </c>
      <c r="G143" s="438">
        <f t="shared" si="34"/>
        <v>62188345.529999994</v>
      </c>
      <c r="H143" s="438">
        <f t="shared" si="34"/>
        <v>19188000</v>
      </c>
      <c r="I143" s="438">
        <f t="shared" si="34"/>
        <v>150515.82000000021</v>
      </c>
      <c r="J143" s="438">
        <f t="shared" si="34"/>
        <v>2767138703.5900002</v>
      </c>
      <c r="K143" s="401">
        <f>J143/$J$143</f>
        <v>1</v>
      </c>
      <c r="L143" s="598">
        <f>SUM(L96:L142)</f>
        <v>2774660533.6100001</v>
      </c>
      <c r="S143" s="400">
        <f>SUM(S96:S142)</f>
        <v>1380603811.3632665</v>
      </c>
      <c r="T143" s="400"/>
      <c r="U143" s="400">
        <f>SUM(U96:U142)</f>
        <v>1432387469.0599999</v>
      </c>
      <c r="AO143" s="585">
        <f t="shared" si="33"/>
        <v>0</v>
      </c>
      <c r="AP143" s="361">
        <v>1432387469.0599999</v>
      </c>
    </row>
    <row r="144" spans="1:42" ht="13.8" thickTop="1" x14ac:dyDescent="0.25">
      <c r="D144" s="585"/>
      <c r="E144" s="585"/>
      <c r="F144" s="585"/>
      <c r="G144" s="585"/>
      <c r="H144" s="585"/>
      <c r="J144" s="585"/>
      <c r="K144" s="583">
        <f>J144/$J$143</f>
        <v>0</v>
      </c>
      <c r="L144" s="593">
        <f>L42+L92-L143</f>
        <v>0</v>
      </c>
      <c r="U144" s="584"/>
      <c r="AO144" s="585">
        <f t="shared" si="33"/>
        <v>0</v>
      </c>
    </row>
    <row r="145" spans="2:41" x14ac:dyDescent="0.25">
      <c r="B145" s="467" t="s">
        <v>1175</v>
      </c>
      <c r="K145" s="448" t="s">
        <v>1029</v>
      </c>
      <c r="U145" s="584"/>
      <c r="AO145" s="585">
        <f t="shared" si="33"/>
        <v>0</v>
      </c>
    </row>
    <row r="146" spans="2:41" x14ac:dyDescent="0.25">
      <c r="B146" s="468" t="s">
        <v>1172</v>
      </c>
      <c r="J146" s="378">
        <f t="shared" ref="J146:J155" si="35">SUMIF($C$96:$C$142,B146,$L$96:$L$142)</f>
        <v>3614213.4400000004</v>
      </c>
      <c r="K146" s="588">
        <f t="shared" ref="K146:K156" si="36">J146/$J$156</f>
        <v>1.3025786023985039E-3</v>
      </c>
      <c r="AO146" s="585">
        <f t="shared" si="33"/>
        <v>0</v>
      </c>
    </row>
    <row r="147" spans="2:41" x14ac:dyDescent="0.25">
      <c r="B147" s="468" t="s">
        <v>1173</v>
      </c>
      <c r="J147" s="378">
        <f t="shared" si="35"/>
        <v>2971710.42</v>
      </c>
      <c r="K147" s="588">
        <f t="shared" si="36"/>
        <v>1.0710176556746661E-3</v>
      </c>
      <c r="AO147" s="585">
        <f t="shared" si="33"/>
        <v>0</v>
      </c>
    </row>
    <row r="148" spans="2:41" x14ac:dyDescent="0.25">
      <c r="B148" s="468" t="s">
        <v>1167</v>
      </c>
      <c r="J148" s="378">
        <f t="shared" si="35"/>
        <v>1286959806.9099996</v>
      </c>
      <c r="K148" s="588">
        <f t="shared" si="36"/>
        <v>0.46382603973380043</v>
      </c>
      <c r="AO148" s="585">
        <f t="shared" si="33"/>
        <v>0</v>
      </c>
    </row>
    <row r="149" spans="2:41" x14ac:dyDescent="0.25">
      <c r="B149" s="468" t="s">
        <v>297</v>
      </c>
      <c r="J149" s="378">
        <f t="shared" si="35"/>
        <v>243421099.07999998</v>
      </c>
      <c r="K149" s="588">
        <f t="shared" si="36"/>
        <v>8.7730047020669069E-2</v>
      </c>
      <c r="AO149" s="585">
        <f t="shared" si="33"/>
        <v>0</v>
      </c>
    </row>
    <row r="150" spans="2:41" x14ac:dyDescent="0.25">
      <c r="B150" s="468" t="s">
        <v>1169</v>
      </c>
      <c r="J150" s="378">
        <f t="shared" si="35"/>
        <v>0</v>
      </c>
      <c r="K150" s="588">
        <f t="shared" si="36"/>
        <v>0</v>
      </c>
      <c r="AO150" s="585">
        <f t="shared" si="33"/>
        <v>0</v>
      </c>
    </row>
    <row r="151" spans="2:41" x14ac:dyDescent="0.25">
      <c r="B151" s="468" t="s">
        <v>1170</v>
      </c>
      <c r="J151" s="378">
        <f t="shared" si="35"/>
        <v>1082113339.3800001</v>
      </c>
      <c r="K151" s="588">
        <f t="shared" si="36"/>
        <v>0.38999846153147455</v>
      </c>
      <c r="AO151" s="585">
        <f t="shared" si="33"/>
        <v>0</v>
      </c>
    </row>
    <row r="152" spans="2:41" x14ac:dyDescent="0.25">
      <c r="B152" s="468" t="s">
        <v>296</v>
      </c>
      <c r="J152" s="378">
        <f t="shared" si="35"/>
        <v>41337872.07</v>
      </c>
      <c r="K152" s="588">
        <f t="shared" si="36"/>
        <v>1.4898352994633528E-2</v>
      </c>
      <c r="AO152" s="585">
        <f t="shared" si="33"/>
        <v>0</v>
      </c>
    </row>
    <row r="153" spans="2:41" x14ac:dyDescent="0.25">
      <c r="B153" s="468" t="s">
        <v>1061</v>
      </c>
      <c r="J153" s="378">
        <f t="shared" si="35"/>
        <v>107089885.01000001</v>
      </c>
      <c r="K153" s="588">
        <f t="shared" si="36"/>
        <v>3.8595670970484323E-2</v>
      </c>
      <c r="AO153" s="585">
        <f t="shared" si="33"/>
        <v>0</v>
      </c>
    </row>
    <row r="154" spans="2:41" x14ac:dyDescent="0.25">
      <c r="B154" s="468" t="s">
        <v>1136</v>
      </c>
      <c r="J154" s="378">
        <f t="shared" si="35"/>
        <v>1469021.14</v>
      </c>
      <c r="K154" s="588">
        <f t="shared" si="36"/>
        <v>5.2944175411927437E-4</v>
      </c>
      <c r="AO154" s="585">
        <f t="shared" si="33"/>
        <v>0</v>
      </c>
    </row>
    <row r="155" spans="2:41" x14ac:dyDescent="0.25">
      <c r="B155" s="468" t="s">
        <v>132</v>
      </c>
      <c r="J155" s="378">
        <f t="shared" si="35"/>
        <v>5683586.1600000001</v>
      </c>
      <c r="K155" s="588">
        <f t="shared" si="36"/>
        <v>2.0483897367456747E-3</v>
      </c>
      <c r="AO155" s="585">
        <f t="shared" si="33"/>
        <v>0</v>
      </c>
    </row>
    <row r="156" spans="2:41" ht="13.8" thickBot="1" x14ac:dyDescent="0.3">
      <c r="J156" s="469">
        <f>SUM(J146:J155)</f>
        <v>2774660533.6099997</v>
      </c>
      <c r="K156" s="588">
        <f t="shared" si="36"/>
        <v>1</v>
      </c>
      <c r="AO156" s="585">
        <f t="shared" si="33"/>
        <v>0</v>
      </c>
    </row>
    <row r="157" spans="2:41" ht="13.8" thickTop="1" x14ac:dyDescent="0.25">
      <c r="B157" s="477" t="s">
        <v>1093</v>
      </c>
      <c r="C157" s="470"/>
      <c r="D157" s="470"/>
      <c r="E157" s="470"/>
      <c r="F157" s="470"/>
      <c r="G157" s="470"/>
      <c r="H157" s="470"/>
      <c r="I157" s="595"/>
      <c r="J157" s="471">
        <f>J93+J43</f>
        <v>2774660533.6399999</v>
      </c>
      <c r="K157" s="593"/>
      <c r="AO157" s="585">
        <f t="shared" si="33"/>
        <v>0</v>
      </c>
    </row>
    <row r="158" spans="2:41" x14ac:dyDescent="0.25">
      <c r="B158" s="477"/>
      <c r="C158" s="470"/>
      <c r="D158" s="470"/>
      <c r="E158" s="470"/>
      <c r="F158" s="470"/>
      <c r="G158" s="470"/>
      <c r="H158" s="470"/>
      <c r="I158" s="595"/>
      <c r="J158" s="472">
        <f>J157-J156</f>
        <v>3.0000209808349609E-2</v>
      </c>
      <c r="K158" s="588"/>
      <c r="U158" s="585"/>
      <c r="AO158" s="585">
        <f t="shared" si="33"/>
        <v>0</v>
      </c>
    </row>
    <row r="159" spans="2:41" x14ac:dyDescent="0.25">
      <c r="B159" s="477"/>
      <c r="C159" s="470"/>
      <c r="D159" s="470"/>
      <c r="E159" s="473" t="s">
        <v>1176</v>
      </c>
      <c r="F159" s="474" t="s">
        <v>1177</v>
      </c>
      <c r="G159" s="473"/>
      <c r="H159" s="473" t="s">
        <v>1178</v>
      </c>
      <c r="I159" s="475" t="s">
        <v>1179</v>
      </c>
      <c r="J159" s="476" t="s">
        <v>1180</v>
      </c>
      <c r="K159" s="588"/>
      <c r="AO159" s="585">
        <f t="shared" si="33"/>
        <v>0</v>
      </c>
    </row>
    <row r="160" spans="2:41" x14ac:dyDescent="0.25">
      <c r="B160" s="477" t="s">
        <v>1181</v>
      </c>
      <c r="C160" s="470"/>
      <c r="D160" s="470"/>
      <c r="E160" s="456">
        <f>J157</f>
        <v>2774660533.6399999</v>
      </c>
      <c r="F160" s="456"/>
      <c r="G160" s="456"/>
      <c r="H160" s="470">
        <f>-1342273064.58-F161-G161-I160-F163-G163-G164-F164</f>
        <v>-1402946973.5699999</v>
      </c>
      <c r="I160" s="595">
        <v>-2406776.67</v>
      </c>
      <c r="J160" s="472">
        <f>SUM(E160:I160)</f>
        <v>1369306783.3999999</v>
      </c>
      <c r="K160" s="588"/>
      <c r="AO160" s="585">
        <f t="shared" si="33"/>
        <v>0</v>
      </c>
    </row>
    <row r="161" spans="2:41" x14ac:dyDescent="0.25">
      <c r="F161" s="470">
        <v>0</v>
      </c>
      <c r="G161" s="478">
        <f>25343065</f>
        <v>25343065</v>
      </c>
      <c r="J161" s="585">
        <f>J160+F161+G161+F163+F164+G163+G164</f>
        <v>1432387469.0599999</v>
      </c>
      <c r="AO161" s="585">
        <f t="shared" si="33"/>
        <v>0</v>
      </c>
    </row>
    <row r="162" spans="2:41" x14ac:dyDescent="0.25">
      <c r="F162" s="479" t="s">
        <v>1182</v>
      </c>
      <c r="G162" s="479" t="s">
        <v>1183</v>
      </c>
      <c r="H162" s="480" t="s">
        <v>1184</v>
      </c>
      <c r="I162" s="585">
        <v>-6059501</v>
      </c>
      <c r="J162" s="481">
        <f>I162/I164</f>
        <v>0.62821339014138378</v>
      </c>
      <c r="L162" s="585">
        <f>G161*J162</f>
        <v>15920852.780223448</v>
      </c>
      <c r="AO162" s="585">
        <f t="shared" si="33"/>
        <v>0</v>
      </c>
    </row>
    <row r="163" spans="2:41" x14ac:dyDescent="0.25">
      <c r="E163" s="479" t="s">
        <v>1015</v>
      </c>
      <c r="F163" s="479">
        <v>12836497.73</v>
      </c>
      <c r="G163" s="479">
        <v>9679218.5899999999</v>
      </c>
      <c r="H163" s="482" t="s">
        <v>1185</v>
      </c>
      <c r="I163" s="599">
        <v>-3586108.43</v>
      </c>
      <c r="J163" s="481">
        <f>I163/I164</f>
        <v>0.37178660985861628</v>
      </c>
      <c r="K163" s="585"/>
      <c r="L163" s="599">
        <f>G161*J163</f>
        <v>9422212.219776554</v>
      </c>
      <c r="AO163" s="585">
        <f t="shared" si="33"/>
        <v>0</v>
      </c>
    </row>
    <row r="164" spans="2:41" ht="13.8" thickBot="1" x14ac:dyDescent="0.3">
      <c r="E164" s="479" t="s">
        <v>1016</v>
      </c>
      <c r="F164" s="479">
        <v>9651993.9199999999</v>
      </c>
      <c r="G164" s="479">
        <v>5569910.4199999999</v>
      </c>
      <c r="I164" s="585">
        <v>-9645609.4299999997</v>
      </c>
      <c r="J164" s="361"/>
      <c r="K164" s="585"/>
      <c r="L164" s="585">
        <f>SUM(L162:L163)</f>
        <v>25343065</v>
      </c>
      <c r="AO164" s="585">
        <f t="shared" si="33"/>
        <v>0</v>
      </c>
    </row>
    <row r="165" spans="2:41" x14ac:dyDescent="0.25">
      <c r="B165" s="600"/>
      <c r="C165" s="483"/>
      <c r="D165" s="483"/>
      <c r="E165" s="483"/>
      <c r="F165" s="483"/>
      <c r="G165" s="483"/>
      <c r="H165" s="483"/>
      <c r="I165" s="601"/>
      <c r="J165" s="602"/>
      <c r="K165" s="602"/>
      <c r="L165" s="603"/>
      <c r="AO165" s="585">
        <f t="shared" si="33"/>
        <v>0</v>
      </c>
    </row>
    <row r="166" spans="2:41" x14ac:dyDescent="0.25">
      <c r="B166" s="484" t="s">
        <v>1186</v>
      </c>
      <c r="C166" s="485"/>
      <c r="D166" s="485"/>
      <c r="E166" s="485"/>
      <c r="F166" s="485"/>
      <c r="G166" s="485"/>
      <c r="H166" s="485"/>
      <c r="I166" s="604"/>
      <c r="J166" s="605"/>
      <c r="K166" s="605"/>
      <c r="L166" s="606"/>
      <c r="AO166" s="585">
        <f t="shared" si="33"/>
        <v>0</v>
      </c>
    </row>
    <row r="167" spans="2:41" x14ac:dyDescent="0.25">
      <c r="B167" s="607"/>
      <c r="C167" s="485"/>
      <c r="D167" s="485"/>
      <c r="E167" s="485"/>
      <c r="F167" s="485"/>
      <c r="G167" s="485"/>
      <c r="H167" s="485"/>
      <c r="I167" s="604"/>
      <c r="J167" s="605"/>
      <c r="K167" s="605"/>
      <c r="L167" s="606"/>
      <c r="AO167" s="585">
        <f t="shared" si="33"/>
        <v>0</v>
      </c>
    </row>
    <row r="168" spans="2:41" x14ac:dyDescent="0.25">
      <c r="B168" s="607"/>
      <c r="C168" s="485"/>
      <c r="D168" s="486" t="s">
        <v>1187</v>
      </c>
      <c r="E168" s="486" t="s">
        <v>1188</v>
      </c>
      <c r="F168" s="486"/>
      <c r="G168" s="486"/>
      <c r="H168" s="486" t="s">
        <v>1189</v>
      </c>
      <c r="I168" s="486" t="s">
        <v>1029</v>
      </c>
      <c r="J168" s="487" t="s">
        <v>1190</v>
      </c>
      <c r="K168" s="486" t="s">
        <v>1029</v>
      </c>
      <c r="L168" s="606"/>
      <c r="S168" s="583"/>
      <c r="T168" s="583"/>
      <c r="AO168" s="585">
        <f t="shared" si="33"/>
        <v>0</v>
      </c>
    </row>
    <row r="169" spans="2:41" ht="16.5" customHeight="1" x14ac:dyDescent="0.25">
      <c r="B169" s="492" t="s">
        <v>345</v>
      </c>
      <c r="C169" s="485"/>
      <c r="D169" s="488">
        <f t="shared" ref="D169:D174" si="37">SUMIF($M$96:$M$142,B169,$L$96:$L$142)</f>
        <v>1325534438.46</v>
      </c>
      <c r="E169" s="488"/>
      <c r="F169" s="488"/>
      <c r="G169" s="488"/>
      <c r="H169" s="488">
        <f>D169+E169</f>
        <v>1325534438.46</v>
      </c>
      <c r="I169" s="489">
        <f>H169/$H$175</f>
        <v>0.47772850855214349</v>
      </c>
      <c r="J169" s="488">
        <f t="shared" ref="J169:J174" si="38">SUMIF($M$96:$M$142,B169,$U$96:$U$142)</f>
        <v>421238006.36880511</v>
      </c>
      <c r="K169" s="490">
        <f>J169/$J$175</f>
        <v>0.2940810468310236</v>
      </c>
      <c r="L169" s="606"/>
      <c r="M169" s="608"/>
      <c r="N169" s="608"/>
      <c r="O169" s="608"/>
      <c r="P169" s="608"/>
      <c r="S169" s="583"/>
      <c r="T169" s="583"/>
      <c r="AO169" s="585">
        <f t="shared" si="33"/>
        <v>0</v>
      </c>
    </row>
    <row r="170" spans="2:41" ht="16.5" customHeight="1" x14ac:dyDescent="0.25">
      <c r="B170" s="491" t="s">
        <v>1124</v>
      </c>
      <c r="C170" s="485"/>
      <c r="D170" s="488">
        <f t="shared" si="37"/>
        <v>6298709.9000000004</v>
      </c>
      <c r="E170" s="488">
        <v>0</v>
      </c>
      <c r="F170" s="488"/>
      <c r="G170" s="488"/>
      <c r="H170" s="488">
        <f t="shared" ref="H170:H174" si="39">D170+E170</f>
        <v>6298709.9000000004</v>
      </c>
      <c r="I170" s="489">
        <f t="shared" ref="I170:I175" si="40">H170/$H$175</f>
        <v>2.2700830691547696E-3</v>
      </c>
      <c r="J170" s="488">
        <f t="shared" si="38"/>
        <v>3241138.0574812815</v>
      </c>
      <c r="K170" s="490">
        <f t="shared" ref="K170:K174" si="41">J170/$J$175</f>
        <v>2.2627523121298101E-3</v>
      </c>
      <c r="L170" s="606"/>
      <c r="M170" s="608"/>
      <c r="N170" s="608"/>
      <c r="O170" s="608"/>
      <c r="P170" s="608"/>
      <c r="S170" s="583"/>
      <c r="T170" s="583"/>
      <c r="AO170" s="585">
        <f t="shared" si="33"/>
        <v>0</v>
      </c>
    </row>
    <row r="171" spans="2:41" ht="16.5" customHeight="1" x14ac:dyDescent="0.25">
      <c r="B171" s="492" t="s">
        <v>1168</v>
      </c>
      <c r="C171" s="485"/>
      <c r="D171" s="488">
        <f t="shared" si="37"/>
        <v>1280661097.0099998</v>
      </c>
      <c r="E171" s="488"/>
      <c r="F171" s="488"/>
      <c r="G171" s="488"/>
      <c r="H171" s="488">
        <f t="shared" si="39"/>
        <v>1280661097.0099998</v>
      </c>
      <c r="I171" s="489">
        <f t="shared" si="40"/>
        <v>0.46155595666464566</v>
      </c>
      <c r="J171" s="488">
        <f t="shared" si="38"/>
        <v>968473164.76772416</v>
      </c>
      <c r="K171" s="490">
        <f t="shared" si="41"/>
        <v>0.67612513072547475</v>
      </c>
      <c r="L171" s="606"/>
      <c r="M171" s="608"/>
      <c r="N171" s="608"/>
      <c r="O171" s="608"/>
      <c r="P171" s="608"/>
      <c r="S171" s="583"/>
      <c r="T171" s="583"/>
      <c r="AO171" s="585">
        <f t="shared" si="33"/>
        <v>0</v>
      </c>
    </row>
    <row r="172" spans="2:41" ht="16.5" customHeight="1" x14ac:dyDescent="0.25">
      <c r="B172" s="492" t="s">
        <v>1173</v>
      </c>
      <c r="C172" s="485"/>
      <c r="D172" s="488">
        <f t="shared" si="37"/>
        <v>2971710.42</v>
      </c>
      <c r="E172" s="488"/>
      <c r="F172" s="488"/>
      <c r="G172" s="488"/>
      <c r="H172" s="488">
        <f t="shared" si="39"/>
        <v>2971710.42</v>
      </c>
      <c r="I172" s="489">
        <f t="shared" si="40"/>
        <v>1.0710176556746659E-3</v>
      </c>
      <c r="J172" s="488">
        <f t="shared" si="38"/>
        <v>908.73356096141754</v>
      </c>
      <c r="K172" s="490">
        <f t="shared" si="41"/>
        <v>6.3441881515325693E-7</v>
      </c>
      <c r="L172" s="606"/>
      <c r="M172" s="608"/>
      <c r="N172" s="608"/>
      <c r="O172" s="608"/>
      <c r="P172" s="608"/>
      <c r="S172" s="583"/>
      <c r="T172" s="583"/>
      <c r="AO172" s="585">
        <f t="shared" si="33"/>
        <v>0</v>
      </c>
    </row>
    <row r="173" spans="2:41" ht="16.5" customHeight="1" x14ac:dyDescent="0.25">
      <c r="B173" s="492" t="s">
        <v>1171</v>
      </c>
      <c r="C173" s="485"/>
      <c r="D173" s="488">
        <f t="shared" si="37"/>
        <v>8728989.5499999989</v>
      </c>
      <c r="E173" s="488"/>
      <c r="F173" s="488"/>
      <c r="G173" s="488"/>
      <c r="H173" s="488">
        <f t="shared" si="39"/>
        <v>8728989.5499999989</v>
      </c>
      <c r="I173" s="489">
        <f t="shared" si="40"/>
        <v>3.1459666666477067E-3</v>
      </c>
      <c r="J173" s="488">
        <f t="shared" si="38"/>
        <v>4963230.5168891717</v>
      </c>
      <c r="K173" s="490">
        <f t="shared" si="41"/>
        <v>3.4650055408166043E-3</v>
      </c>
      <c r="L173" s="606"/>
      <c r="M173" s="608"/>
      <c r="N173" s="608"/>
      <c r="O173" s="608"/>
      <c r="P173" s="608"/>
      <c r="S173" s="583"/>
      <c r="T173" s="583"/>
    </row>
    <row r="174" spans="2:41" ht="16.5" customHeight="1" x14ac:dyDescent="0.25">
      <c r="B174" s="492" t="s">
        <v>349</v>
      </c>
      <c r="C174" s="485"/>
      <c r="D174" s="488">
        <f t="shared" si="37"/>
        <v>150465588.27000001</v>
      </c>
      <c r="E174" s="488"/>
      <c r="F174" s="488"/>
      <c r="G174" s="488"/>
      <c r="H174" s="488">
        <f t="shared" si="39"/>
        <v>150465588.27000001</v>
      </c>
      <c r="I174" s="489">
        <f t="shared" si="40"/>
        <v>5.4228467391733585E-2</v>
      </c>
      <c r="J174" s="488">
        <f t="shared" si="38"/>
        <v>34471020.615539014</v>
      </c>
      <c r="K174" s="490">
        <f t="shared" si="41"/>
        <v>2.4065430171740142E-2</v>
      </c>
      <c r="L174" s="606"/>
      <c r="M174" s="608"/>
      <c r="N174" s="608"/>
      <c r="O174" s="608"/>
      <c r="P174" s="608"/>
      <c r="S174" s="583"/>
      <c r="T174" s="583"/>
    </row>
    <row r="175" spans="2:41" ht="16.5" customHeight="1" thickBot="1" x14ac:dyDescent="0.3">
      <c r="B175" s="492"/>
      <c r="C175" s="485"/>
      <c r="D175" s="493">
        <f>SUM(D169:D174)</f>
        <v>2774660533.6100001</v>
      </c>
      <c r="E175" s="493">
        <f t="shared" ref="E175:J175" si="42">SUM(E169:E174)</f>
        <v>0</v>
      </c>
      <c r="F175" s="493"/>
      <c r="G175" s="493"/>
      <c r="H175" s="493">
        <f t="shared" si="42"/>
        <v>2774660533.6100001</v>
      </c>
      <c r="I175" s="494">
        <f t="shared" si="40"/>
        <v>1</v>
      </c>
      <c r="J175" s="493">
        <f t="shared" si="42"/>
        <v>1432387469.0599997</v>
      </c>
      <c r="K175" s="494">
        <f>SUM(K169:K174)</f>
        <v>1.0000000000000002</v>
      </c>
      <c r="L175" s="606"/>
      <c r="S175" s="583"/>
      <c r="T175" s="583"/>
    </row>
    <row r="176" spans="2:41" ht="16.5" customHeight="1" thickTop="1" thickBot="1" x14ac:dyDescent="0.3">
      <c r="B176" s="609"/>
      <c r="C176" s="495"/>
      <c r="D176" s="496">
        <f>D175-L143</f>
        <v>0</v>
      </c>
      <c r="E176" s="496"/>
      <c r="F176" s="496"/>
      <c r="G176" s="496"/>
      <c r="H176" s="496">
        <f>H175-E160</f>
        <v>-2.9999732971191406E-2</v>
      </c>
      <c r="I176" s="610"/>
      <c r="J176" s="611">
        <f>J175-J161</f>
        <v>0</v>
      </c>
      <c r="K176" s="612"/>
      <c r="L176" s="613"/>
      <c r="S176" s="583"/>
      <c r="T176" s="583"/>
    </row>
    <row r="177" spans="3:20" ht="16.5" customHeight="1" x14ac:dyDescent="0.25"/>
    <row r="180" spans="3:20" x14ac:dyDescent="0.25">
      <c r="E180" s="497"/>
      <c r="F180" s="497"/>
      <c r="G180" s="497"/>
      <c r="H180" s="497"/>
      <c r="I180" s="614"/>
      <c r="J180" s="615"/>
      <c r="K180" s="614"/>
      <c r="S180" s="583"/>
      <c r="T180" s="583"/>
    </row>
    <row r="181" spans="3:20" x14ac:dyDescent="0.25">
      <c r="E181" s="497"/>
      <c r="F181" s="497"/>
      <c r="G181" s="497"/>
      <c r="H181" s="497"/>
      <c r="I181" s="614"/>
      <c r="J181" s="615"/>
      <c r="K181" s="614"/>
      <c r="S181" s="583"/>
      <c r="T181" s="583"/>
    </row>
    <row r="182" spans="3:20" x14ac:dyDescent="0.25">
      <c r="E182" s="497"/>
      <c r="F182" s="497">
        <v>1369306783.4000001</v>
      </c>
      <c r="G182" s="497"/>
      <c r="H182" s="497"/>
      <c r="I182" s="614"/>
      <c r="J182" s="615"/>
      <c r="K182" s="614"/>
      <c r="S182" s="583"/>
      <c r="T182" s="583"/>
    </row>
    <row r="183" spans="3:20" x14ac:dyDescent="0.25">
      <c r="F183" s="360">
        <f>F182-J160</f>
        <v>0</v>
      </c>
      <c r="I183" s="608"/>
      <c r="K183" s="608"/>
      <c r="S183" s="583"/>
      <c r="T183" s="583"/>
    </row>
    <row r="184" spans="3:20" x14ac:dyDescent="0.25">
      <c r="C184" s="583"/>
      <c r="D184" s="583"/>
      <c r="E184" s="583"/>
      <c r="F184" s="583"/>
      <c r="G184" s="583"/>
      <c r="H184" s="583"/>
      <c r="I184" s="608"/>
      <c r="K184" s="608"/>
      <c r="S184" s="583"/>
      <c r="T184" s="583"/>
    </row>
    <row r="185" spans="3:20" x14ac:dyDescent="0.25">
      <c r="C185" s="583"/>
      <c r="D185" s="583"/>
      <c r="E185" s="583"/>
      <c r="F185" s="583"/>
      <c r="G185" s="583"/>
      <c r="H185" s="583"/>
      <c r="I185" s="608"/>
      <c r="K185" s="608"/>
      <c r="S185" s="583"/>
      <c r="T185" s="583"/>
    </row>
    <row r="186" spans="3:20" x14ac:dyDescent="0.25">
      <c r="C186" s="583"/>
      <c r="D186" s="583"/>
      <c r="E186" s="583"/>
      <c r="F186" s="583"/>
      <c r="G186" s="583"/>
      <c r="H186" s="583"/>
      <c r="I186" s="608"/>
      <c r="K186" s="608"/>
      <c r="S186" s="583"/>
      <c r="T186" s="583"/>
    </row>
  </sheetData>
  <mergeCells count="4">
    <mergeCell ref="A1:J1"/>
    <mergeCell ref="A2:J2"/>
    <mergeCell ref="A3:J3"/>
    <mergeCell ref="L8:L9"/>
  </mergeCells>
  <pageMargins left="0.75" right="0.75" top="1" bottom="1" header="0.5" footer="0.5"/>
  <pageSetup scale="44" orientation="landscape" r:id="rId1"/>
  <headerFooter alignWithMargins="0"/>
  <rowBreaks count="1" manualBreakCount="1">
    <brk id="94" max="15" man="1"/>
  </rowBreaks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1"/>
  </sheetPr>
  <dimension ref="A1:AC128"/>
  <sheetViews>
    <sheetView zoomScaleNormal="100" workbookViewId="0">
      <pane xSplit="2" ySplit="8" topLeftCell="C26" activePane="bottomRight" state="frozen"/>
      <selection activeCell="G30" sqref="G30"/>
      <selection pane="topRight" activeCell="G30" sqref="G30"/>
      <selection pane="bottomLeft" activeCell="G30" sqref="G30"/>
      <selection pane="bottomRight" activeCell="G113" sqref="G113"/>
    </sheetView>
  </sheetViews>
  <sheetFormatPr defaultColWidth="8.9140625" defaultRowHeight="14.4" x14ac:dyDescent="0.3"/>
  <cols>
    <col min="1" max="1" width="5.6640625" style="624" customWidth="1"/>
    <col min="2" max="2" width="4" style="624" customWidth="1"/>
    <col min="3" max="4" width="40.33203125" style="624" customWidth="1"/>
    <col min="5" max="5" width="14.9140625" style="624" customWidth="1"/>
    <col min="6" max="6" width="11.08203125" style="624" customWidth="1"/>
    <col min="7" max="7" width="14.25" style="624" customWidth="1"/>
    <col min="8" max="8" width="10.08203125" style="624" customWidth="1"/>
    <col min="9" max="9" width="12.33203125" style="624" customWidth="1"/>
    <col min="10" max="10" width="12" style="624" customWidth="1"/>
    <col min="11" max="11" width="9.9140625" style="624" customWidth="1"/>
    <col min="12" max="13" width="11.33203125" style="624" customWidth="1"/>
    <col min="14" max="14" width="11.9140625" style="624" customWidth="1"/>
    <col min="15" max="15" width="10.33203125" style="624" customWidth="1"/>
    <col min="16" max="16" width="14.33203125" style="624" customWidth="1"/>
    <col min="17" max="17" width="13.08203125" style="624" customWidth="1"/>
    <col min="18" max="18" width="15.25" style="624" customWidth="1"/>
    <col min="19" max="19" width="14.25" style="624" customWidth="1"/>
    <col min="20" max="20" width="4.6640625" style="624" customWidth="1"/>
    <col min="21" max="21" width="14" style="624" customWidth="1"/>
    <col min="22" max="22" width="2.25" style="624" customWidth="1"/>
    <col min="23" max="23" width="11.4140625" style="624" customWidth="1"/>
    <col min="24" max="24" width="13.33203125" style="624" customWidth="1"/>
    <col min="25" max="16384" width="8.9140625" style="624"/>
  </cols>
  <sheetData>
    <row r="1" spans="1:29" ht="30" x14ac:dyDescent="0.5">
      <c r="A1" s="691" t="s">
        <v>2668</v>
      </c>
      <c r="B1" s="692"/>
      <c r="C1" s="693"/>
      <c r="D1" s="693"/>
      <c r="E1" s="693"/>
      <c r="F1" s="693"/>
      <c r="G1" s="693"/>
      <c r="H1" s="693"/>
      <c r="I1" s="693"/>
      <c r="J1" s="693"/>
      <c r="K1" s="693"/>
      <c r="L1" s="693"/>
      <c r="M1" s="693"/>
      <c r="N1" s="693"/>
      <c r="O1" s="693"/>
      <c r="P1" s="693"/>
      <c r="Q1" s="693"/>
      <c r="R1" s="694" t="s">
        <v>2669</v>
      </c>
      <c r="S1" s="693"/>
      <c r="T1" s="693"/>
      <c r="U1" s="693"/>
      <c r="V1" s="693"/>
      <c r="W1" s="693"/>
      <c r="X1" s="693"/>
      <c r="Y1" s="693"/>
      <c r="Z1" s="693"/>
      <c r="AA1" s="693"/>
      <c r="AB1" s="693"/>
      <c r="AC1" s="693"/>
    </row>
    <row r="2" spans="1:29" ht="15.6" x14ac:dyDescent="0.3">
      <c r="A2" s="691" t="s">
        <v>1014</v>
      </c>
      <c r="B2" s="693"/>
      <c r="C2" s="693"/>
      <c r="D2" s="693"/>
      <c r="E2" s="693"/>
      <c r="F2" s="693"/>
      <c r="G2" s="693"/>
      <c r="H2" s="693"/>
      <c r="I2" s="693"/>
      <c r="J2" s="693"/>
      <c r="K2" s="693"/>
      <c r="L2" s="693"/>
      <c r="M2" s="693"/>
      <c r="N2" s="693"/>
      <c r="O2" s="693"/>
      <c r="P2" s="693"/>
      <c r="Q2" s="695" t="s">
        <v>2601</v>
      </c>
      <c r="R2" s="627">
        <f ca="1">NOW()</f>
        <v>44155.574543981478</v>
      </c>
      <c r="S2" s="693"/>
      <c r="T2" s="693"/>
      <c r="U2" s="693"/>
      <c r="V2" s="693"/>
      <c r="W2" s="693"/>
      <c r="X2" s="693"/>
      <c r="Y2" s="693"/>
      <c r="Z2" s="693"/>
      <c r="AA2" s="693"/>
      <c r="AB2" s="693"/>
      <c r="AC2" s="693"/>
    </row>
    <row r="3" spans="1:29" ht="15.6" x14ac:dyDescent="0.3">
      <c r="A3" s="691" t="s">
        <v>2670</v>
      </c>
      <c r="B3" s="696"/>
      <c r="C3" s="693"/>
      <c r="D3" s="693"/>
      <c r="E3" s="693"/>
      <c r="F3" s="693"/>
      <c r="G3" s="693"/>
      <c r="H3" s="693"/>
      <c r="I3" s="693"/>
      <c r="J3" s="693"/>
      <c r="K3" s="693"/>
      <c r="L3" s="693"/>
      <c r="M3" s="693"/>
      <c r="N3" s="693"/>
      <c r="O3" s="693"/>
      <c r="P3" s="693"/>
      <c r="Q3" s="693"/>
      <c r="R3" s="693"/>
      <c r="S3" s="693"/>
      <c r="T3" s="693"/>
      <c r="U3" s="693"/>
      <c r="V3" s="693"/>
      <c r="W3" s="693"/>
      <c r="X3" s="693"/>
      <c r="Y3" s="693"/>
      <c r="Z3" s="693"/>
      <c r="AA3" s="693"/>
      <c r="AB3" s="693"/>
      <c r="AC3" s="693"/>
    </row>
    <row r="4" spans="1:29" x14ac:dyDescent="0.3">
      <c r="A4" s="693"/>
      <c r="B4" s="693"/>
      <c r="C4" s="693"/>
      <c r="D4" s="693"/>
      <c r="E4" s="697"/>
      <c r="F4" s="698"/>
      <c r="G4" s="698"/>
      <c r="H4" s="699"/>
      <c r="I4" s="697"/>
      <c r="J4" s="697"/>
      <c r="K4" s="697"/>
      <c r="L4" s="697"/>
      <c r="M4" s="697"/>
      <c r="N4" s="697"/>
      <c r="O4" s="697"/>
      <c r="P4" s="697"/>
      <c r="Q4" s="697"/>
      <c r="R4" s="697"/>
      <c r="S4" s="693"/>
      <c r="T4" s="693"/>
      <c r="U4" s="693"/>
      <c r="V4" s="693"/>
      <c r="W4" s="693"/>
      <c r="X4" s="693"/>
      <c r="Y4" s="693"/>
      <c r="Z4" s="693"/>
      <c r="AA4" s="693"/>
      <c r="AB4" s="693"/>
      <c r="AC4" s="693"/>
    </row>
    <row r="5" spans="1:29" x14ac:dyDescent="0.3">
      <c r="A5" s="697"/>
      <c r="B5" s="697"/>
      <c r="C5" s="697"/>
      <c r="D5" s="697"/>
      <c r="E5" s="700" t="s">
        <v>2610</v>
      </c>
      <c r="F5" s="699" t="s">
        <v>2671</v>
      </c>
      <c r="G5" s="699" t="s">
        <v>2672</v>
      </c>
      <c r="H5" s="699" t="s">
        <v>2673</v>
      </c>
      <c r="I5" s="701" t="s">
        <v>2674</v>
      </c>
      <c r="J5" s="700" t="s">
        <v>2675</v>
      </c>
      <c r="K5" s="700" t="s">
        <v>2675</v>
      </c>
      <c r="L5" s="700" t="s">
        <v>2675</v>
      </c>
      <c r="M5" s="700" t="s">
        <v>2676</v>
      </c>
      <c r="N5" s="700" t="s">
        <v>2674</v>
      </c>
      <c r="O5" s="700" t="s">
        <v>2675</v>
      </c>
      <c r="P5" s="697"/>
      <c r="Q5" s="700" t="s">
        <v>2677</v>
      </c>
      <c r="R5" s="697"/>
      <c r="S5" s="698"/>
      <c r="T5" s="698"/>
      <c r="U5" s="698"/>
      <c r="V5" s="697"/>
      <c r="W5" s="700" t="s">
        <v>2678</v>
      </c>
      <c r="X5" s="700" t="s">
        <v>2679</v>
      </c>
      <c r="Y5" s="697"/>
      <c r="Z5" s="697"/>
      <c r="AA5" s="697"/>
      <c r="AB5" s="697"/>
      <c r="AC5" s="697"/>
    </row>
    <row r="6" spans="1:29" x14ac:dyDescent="0.3">
      <c r="A6" s="702" t="s">
        <v>840</v>
      </c>
      <c r="B6" s="702"/>
      <c r="C6" s="703"/>
      <c r="D6" s="703"/>
      <c r="E6" s="704" t="s">
        <v>2620</v>
      </c>
      <c r="F6" s="705" t="s">
        <v>2680</v>
      </c>
      <c r="G6" s="706" t="s">
        <v>2613</v>
      </c>
      <c r="H6" s="706" t="s">
        <v>2613</v>
      </c>
      <c r="I6" s="707" t="s">
        <v>2611</v>
      </c>
      <c r="J6" s="707" t="s">
        <v>2661</v>
      </c>
      <c r="K6" s="704" t="s">
        <v>2661</v>
      </c>
      <c r="L6" s="704" t="s">
        <v>2661</v>
      </c>
      <c r="M6" s="704" t="s">
        <v>2681</v>
      </c>
      <c r="N6" s="707" t="s">
        <v>2682</v>
      </c>
      <c r="O6" s="707" t="s">
        <v>2661</v>
      </c>
      <c r="P6" s="704" t="s">
        <v>2620</v>
      </c>
      <c r="Q6" s="704" t="s">
        <v>2683</v>
      </c>
      <c r="R6" s="704" t="s">
        <v>2684</v>
      </c>
      <c r="S6" s="706" t="s">
        <v>2667</v>
      </c>
      <c r="T6" s="705"/>
      <c r="U6" s="705" t="s">
        <v>2685</v>
      </c>
      <c r="V6" s="704"/>
      <c r="W6" s="704" t="s">
        <v>1954</v>
      </c>
      <c r="X6" s="704" t="s">
        <v>2667</v>
      </c>
      <c r="Y6" s="703"/>
      <c r="Z6" s="703"/>
      <c r="AA6" s="703"/>
      <c r="AB6" s="703"/>
      <c r="AC6" s="703"/>
    </row>
    <row r="7" spans="1:29" x14ac:dyDescent="0.3">
      <c r="A7" s="697"/>
      <c r="B7" s="697"/>
      <c r="C7" s="697"/>
      <c r="D7" s="697"/>
      <c r="E7" s="703"/>
      <c r="F7" s="708" t="s">
        <v>210</v>
      </c>
      <c r="G7" s="698"/>
      <c r="H7" s="698"/>
      <c r="I7" s="709"/>
      <c r="J7" s="709"/>
      <c r="K7" s="700" t="s">
        <v>329</v>
      </c>
      <c r="L7" s="700" t="s">
        <v>329</v>
      </c>
      <c r="M7" s="700" t="s">
        <v>2648</v>
      </c>
      <c r="N7" s="709" t="s">
        <v>2648</v>
      </c>
      <c r="O7" s="709" t="s">
        <v>2686</v>
      </c>
      <c r="P7" s="703"/>
      <c r="Q7" s="703"/>
      <c r="R7" s="703"/>
      <c r="S7" s="698"/>
      <c r="T7" s="698"/>
      <c r="U7" s="698"/>
      <c r="V7" s="697"/>
      <c r="W7" s="697"/>
      <c r="X7" s="697"/>
      <c r="Y7" s="697"/>
      <c r="Z7" s="697"/>
      <c r="AA7" s="697"/>
      <c r="AB7" s="697"/>
      <c r="AC7" s="697"/>
    </row>
    <row r="8" spans="1:29" ht="15" thickBot="1" x14ac:dyDescent="0.35">
      <c r="A8" s="710"/>
      <c r="B8" s="711"/>
      <c r="C8" s="712"/>
      <c r="D8" s="712"/>
      <c r="E8" s="713"/>
      <c r="F8" s="714"/>
      <c r="G8" s="714"/>
      <c r="H8" s="715"/>
      <c r="I8" s="709" t="s">
        <v>2687</v>
      </c>
      <c r="J8" s="709" t="s">
        <v>2687</v>
      </c>
      <c r="K8" s="697"/>
      <c r="L8" s="697"/>
      <c r="M8" s="697"/>
      <c r="N8" s="709" t="s">
        <v>2687</v>
      </c>
      <c r="O8" s="709" t="s">
        <v>2687</v>
      </c>
      <c r="P8" s="716"/>
      <c r="Q8" s="717" t="s">
        <v>2688</v>
      </c>
      <c r="R8" s="716"/>
      <c r="S8" s="693"/>
      <c r="T8" s="693"/>
      <c r="U8" s="693"/>
      <c r="V8" s="693"/>
      <c r="W8" s="693"/>
      <c r="X8" s="693"/>
      <c r="Y8" s="693"/>
      <c r="Z8" s="693"/>
      <c r="AA8" s="693"/>
      <c r="AB8" s="693"/>
      <c r="AC8" s="693"/>
    </row>
    <row r="9" spans="1:29" x14ac:dyDescent="0.3">
      <c r="A9" s="718">
        <v>18000</v>
      </c>
      <c r="B9" s="719"/>
      <c r="C9" s="720" t="s">
        <v>2689</v>
      </c>
      <c r="D9" s="173" t="s">
        <v>337</v>
      </c>
      <c r="E9" s="721">
        <v>75238.45</v>
      </c>
      <c r="F9" s="722">
        <f>13493691.36-13497919.06-1249.58</f>
        <v>-5477.2800000011175</v>
      </c>
      <c r="G9" s="723">
        <v>-69761.17</v>
      </c>
      <c r="H9" s="722">
        <v>241954.14</v>
      </c>
      <c r="I9" s="724">
        <v>0</v>
      </c>
      <c r="J9" s="724">
        <v>0</v>
      </c>
      <c r="K9" s="724">
        <v>0</v>
      </c>
      <c r="L9" s="724">
        <v>0</v>
      </c>
      <c r="M9" s="724">
        <v>0</v>
      </c>
      <c r="N9" s="724">
        <v>0</v>
      </c>
      <c r="O9" s="724">
        <v>0</v>
      </c>
      <c r="P9" s="722">
        <f t="shared" ref="P9:P38" si="0">SUM(E9:O9)</f>
        <v>241954.13999999891</v>
      </c>
      <c r="Q9" s="722">
        <v>0</v>
      </c>
      <c r="R9" s="722">
        <f t="shared" ref="R9:R38" si="1">P9+Q9</f>
        <v>241954.13999999891</v>
      </c>
      <c r="S9" s="721">
        <v>241954.14</v>
      </c>
      <c r="T9" s="725"/>
      <c r="U9" s="722">
        <v>0</v>
      </c>
      <c r="V9" s="722"/>
      <c r="W9" s="722">
        <f t="shared" ref="W9:W38" si="2">S9-U9</f>
        <v>241954.14</v>
      </c>
      <c r="X9" s="722">
        <f t="shared" ref="X9:X38" si="3">R9-S9</f>
        <v>-1.1059455573558807E-9</v>
      </c>
      <c r="Y9" s="722"/>
      <c r="Z9" s="722"/>
      <c r="AA9" s="722"/>
      <c r="AB9" s="722"/>
      <c r="AC9" s="722"/>
    </row>
    <row r="10" spans="1:29" x14ac:dyDescent="0.3">
      <c r="A10" s="726">
        <v>18001</v>
      </c>
      <c r="B10" s="727"/>
      <c r="C10" s="720" t="s">
        <v>2690</v>
      </c>
      <c r="D10" s="173" t="s">
        <v>337</v>
      </c>
      <c r="E10" s="721">
        <v>3837.08</v>
      </c>
      <c r="F10" s="728">
        <f>1191950.57-1191606.05</f>
        <v>344.52000000001863</v>
      </c>
      <c r="G10" s="723">
        <v>0</v>
      </c>
      <c r="H10" s="722">
        <v>8242.2999999999993</v>
      </c>
      <c r="I10" s="723">
        <v>0</v>
      </c>
      <c r="J10" s="723">
        <v>0</v>
      </c>
      <c r="K10" s="723">
        <v>0</v>
      </c>
      <c r="L10" s="723">
        <v>0</v>
      </c>
      <c r="M10" s="723">
        <v>0</v>
      </c>
      <c r="N10" s="723">
        <v>0</v>
      </c>
      <c r="O10" s="723">
        <v>0</v>
      </c>
      <c r="P10" s="722">
        <f t="shared" si="0"/>
        <v>12423.900000000018</v>
      </c>
      <c r="Q10" s="722">
        <v>0</v>
      </c>
      <c r="R10" s="722">
        <f t="shared" si="1"/>
        <v>12423.900000000018</v>
      </c>
      <c r="S10" s="721">
        <v>12423.9</v>
      </c>
      <c r="T10" s="725"/>
      <c r="U10" s="722">
        <v>0</v>
      </c>
      <c r="V10" s="722"/>
      <c r="W10" s="722">
        <f t="shared" si="2"/>
        <v>12423.9</v>
      </c>
      <c r="X10" s="722">
        <f t="shared" si="3"/>
        <v>1.8189894035458565E-11</v>
      </c>
      <c r="Y10" s="722"/>
      <c r="Z10" s="722"/>
      <c r="AA10" s="722"/>
      <c r="AB10" s="722"/>
      <c r="AC10" s="722"/>
    </row>
    <row r="11" spans="1:29" x14ac:dyDescent="0.3">
      <c r="A11" s="726">
        <v>18002</v>
      </c>
      <c r="B11" s="727"/>
      <c r="C11" s="720" t="s">
        <v>2691</v>
      </c>
      <c r="D11" s="173" t="s">
        <v>337</v>
      </c>
      <c r="E11" s="721">
        <v>346637.56</v>
      </c>
      <c r="F11" s="723">
        <f>51065-397702.56</f>
        <v>-346637.56</v>
      </c>
      <c r="G11" s="723">
        <v>0</v>
      </c>
      <c r="H11" s="722">
        <v>0</v>
      </c>
      <c r="I11" s="723">
        <v>0</v>
      </c>
      <c r="J11" s="723">
        <v>0</v>
      </c>
      <c r="K11" s="723">
        <v>0</v>
      </c>
      <c r="L11" s="723">
        <v>0</v>
      </c>
      <c r="M11" s="723">
        <v>0</v>
      </c>
      <c r="N11" s="723">
        <v>0</v>
      </c>
      <c r="O11" s="723">
        <v>0</v>
      </c>
      <c r="P11" s="722">
        <f t="shared" si="0"/>
        <v>0</v>
      </c>
      <c r="Q11" s="722">
        <v>0</v>
      </c>
      <c r="R11" s="722">
        <f t="shared" si="1"/>
        <v>0</v>
      </c>
      <c r="S11" s="721">
        <v>0</v>
      </c>
      <c r="T11" s="725"/>
      <c r="U11" s="722">
        <v>0</v>
      </c>
      <c r="V11" s="722"/>
      <c r="W11" s="722">
        <f t="shared" si="2"/>
        <v>0</v>
      </c>
      <c r="X11" s="722">
        <f t="shared" si="3"/>
        <v>0</v>
      </c>
      <c r="Y11" s="722"/>
      <c r="Z11" s="722"/>
      <c r="AA11" s="722"/>
      <c r="AB11" s="722"/>
      <c r="AC11" s="722"/>
    </row>
    <row r="12" spans="1:29" x14ac:dyDescent="0.3">
      <c r="A12" s="726">
        <v>18003</v>
      </c>
      <c r="B12" s="727"/>
      <c r="C12" s="720" t="s">
        <v>2690</v>
      </c>
      <c r="D12" s="173" t="s">
        <v>337</v>
      </c>
      <c r="E12" s="721">
        <v>215149.26</v>
      </c>
      <c r="F12" s="723">
        <f>1434760.98-6470822.1+5025054.8</f>
        <v>-11006.319999999367</v>
      </c>
      <c r="G12" s="723">
        <v>-204142.94</v>
      </c>
      <c r="H12" s="722">
        <v>0</v>
      </c>
      <c r="I12" s="723">
        <v>0</v>
      </c>
      <c r="J12" s="723">
        <v>0</v>
      </c>
      <c r="K12" s="723">
        <v>0</v>
      </c>
      <c r="L12" s="723">
        <v>0</v>
      </c>
      <c r="M12" s="723">
        <v>0</v>
      </c>
      <c r="N12" s="723">
        <v>0</v>
      </c>
      <c r="O12" s="723">
        <v>0</v>
      </c>
      <c r="P12" s="722">
        <f t="shared" si="0"/>
        <v>6.4028427004814148E-10</v>
      </c>
      <c r="Q12" s="722">
        <v>0</v>
      </c>
      <c r="R12" s="722">
        <f t="shared" si="1"/>
        <v>6.4028427004814148E-10</v>
      </c>
      <c r="S12" s="721">
        <v>0</v>
      </c>
      <c r="T12" s="725"/>
      <c r="U12" s="721">
        <v>0</v>
      </c>
      <c r="V12" s="722"/>
      <c r="W12" s="722">
        <f t="shared" si="2"/>
        <v>0</v>
      </c>
      <c r="X12" s="722">
        <f t="shared" si="3"/>
        <v>6.4028427004814148E-10</v>
      </c>
      <c r="Y12" s="722"/>
      <c r="Z12" s="722"/>
      <c r="AA12" s="722"/>
      <c r="AB12" s="722"/>
      <c r="AC12" s="722"/>
    </row>
    <row r="13" spans="1:29" x14ac:dyDescent="0.3">
      <c r="A13" s="726">
        <v>18010</v>
      </c>
      <c r="B13" s="727"/>
      <c r="C13" s="720" t="s">
        <v>2692</v>
      </c>
      <c r="D13" s="173" t="s">
        <v>332</v>
      </c>
      <c r="E13" s="820">
        <v>163190583.75999999</v>
      </c>
      <c r="F13" s="723">
        <v>0</v>
      </c>
      <c r="G13" s="723">
        <v>0</v>
      </c>
      <c r="H13" s="723">
        <v>0</v>
      </c>
      <c r="I13" s="723">
        <v>0</v>
      </c>
      <c r="J13" s="723">
        <v>0</v>
      </c>
      <c r="K13" s="723">
        <v>0</v>
      </c>
      <c r="L13" s="723">
        <v>0</v>
      </c>
      <c r="M13" s="723">
        <v>0</v>
      </c>
      <c r="N13" s="748">
        <v>1711000</v>
      </c>
      <c r="O13" s="723">
        <v>0</v>
      </c>
      <c r="P13" s="722">
        <f t="shared" si="0"/>
        <v>164901583.75999999</v>
      </c>
      <c r="Q13" s="722">
        <v>0</v>
      </c>
      <c r="R13" s="721">
        <f t="shared" si="1"/>
        <v>164901583.75999999</v>
      </c>
      <c r="S13" s="721">
        <v>164901583.75999999</v>
      </c>
      <c r="T13" s="725"/>
      <c r="U13" s="721">
        <v>164901583.75999999</v>
      </c>
      <c r="V13" s="721"/>
      <c r="W13" s="721">
        <f t="shared" si="2"/>
        <v>0</v>
      </c>
      <c r="X13" s="721">
        <f t="shared" si="3"/>
        <v>0</v>
      </c>
      <c r="Y13" s="721"/>
      <c r="Z13" s="722"/>
      <c r="AA13" s="722"/>
      <c r="AB13" s="722"/>
      <c r="AC13" s="722"/>
    </row>
    <row r="14" spans="1:29" x14ac:dyDescent="0.3">
      <c r="A14" s="726">
        <v>18010</v>
      </c>
      <c r="B14" s="727">
        <v>3000</v>
      </c>
      <c r="C14" s="720" t="s">
        <v>2693</v>
      </c>
      <c r="D14" s="173" t="s">
        <v>332</v>
      </c>
      <c r="E14" s="820">
        <v>56264729.640000001</v>
      </c>
      <c r="F14" s="723">
        <v>0</v>
      </c>
      <c r="G14" s="723">
        <v>0</v>
      </c>
      <c r="H14" s="723">
        <v>0</v>
      </c>
      <c r="I14" s="723">
        <v>0</v>
      </c>
      <c r="J14" s="723">
        <v>0</v>
      </c>
      <c r="K14" s="723">
        <v>0</v>
      </c>
      <c r="L14" s="723">
        <v>0</v>
      </c>
      <c r="M14" s="723">
        <v>0</v>
      </c>
      <c r="N14" s="723">
        <v>0</v>
      </c>
      <c r="O14" s="723">
        <v>0</v>
      </c>
      <c r="P14" s="722">
        <f t="shared" si="0"/>
        <v>56264729.640000001</v>
      </c>
      <c r="Q14" s="722">
        <v>0</v>
      </c>
      <c r="R14" s="721">
        <f t="shared" si="1"/>
        <v>56264729.640000001</v>
      </c>
      <c r="S14" s="721">
        <v>56264729.640000001</v>
      </c>
      <c r="T14" s="725"/>
      <c r="U14" s="721">
        <v>56264729.640000001</v>
      </c>
      <c r="V14" s="721"/>
      <c r="W14" s="721">
        <f t="shared" si="2"/>
        <v>0</v>
      </c>
      <c r="X14" s="721">
        <f t="shared" si="3"/>
        <v>0</v>
      </c>
      <c r="Y14" s="721"/>
      <c r="Z14" s="722"/>
      <c r="AA14" s="722"/>
      <c r="AB14" s="722"/>
      <c r="AC14" s="722"/>
    </row>
    <row r="15" spans="1:29" x14ac:dyDescent="0.3">
      <c r="A15" s="726">
        <v>18020</v>
      </c>
      <c r="B15" s="727"/>
      <c r="C15" s="720" t="s">
        <v>2694</v>
      </c>
      <c r="D15" s="173" t="s">
        <v>333</v>
      </c>
      <c r="E15" s="721">
        <v>14657705.77</v>
      </c>
      <c r="F15" s="723">
        <v>0</v>
      </c>
      <c r="G15" s="723">
        <v>0</v>
      </c>
      <c r="H15" s="723">
        <v>0</v>
      </c>
      <c r="I15" s="723">
        <v>0</v>
      </c>
      <c r="J15" s="723">
        <v>0</v>
      </c>
      <c r="K15" s="723">
        <v>0</v>
      </c>
      <c r="L15" s="723">
        <v>0</v>
      </c>
      <c r="M15" s="723">
        <v>0</v>
      </c>
      <c r="N15" s="748">
        <v>32724.03</v>
      </c>
      <c r="O15" s="723">
        <v>0</v>
      </c>
      <c r="P15" s="722">
        <f t="shared" si="0"/>
        <v>14690429.799999999</v>
      </c>
      <c r="Q15" s="722">
        <v>0</v>
      </c>
      <c r="R15" s="721">
        <f t="shared" si="1"/>
        <v>14690429.799999999</v>
      </c>
      <c r="S15" s="721">
        <v>14690429.800000001</v>
      </c>
      <c r="T15" s="725"/>
      <c r="U15" s="721">
        <v>14690429.800000001</v>
      </c>
      <c r="V15" s="721"/>
      <c r="W15" s="721">
        <f t="shared" si="2"/>
        <v>0</v>
      </c>
      <c r="X15" s="721">
        <f t="shared" si="3"/>
        <v>0</v>
      </c>
      <c r="Y15" s="721"/>
      <c r="Z15" s="722"/>
      <c r="AA15" s="722"/>
      <c r="AB15" s="722"/>
      <c r="AC15" s="722"/>
    </row>
    <row r="16" spans="1:29" x14ac:dyDescent="0.3">
      <c r="A16" s="726">
        <v>18030</v>
      </c>
      <c r="B16" s="727"/>
      <c r="C16" s="720" t="s">
        <v>2695</v>
      </c>
      <c r="D16" s="173" t="s">
        <v>334</v>
      </c>
      <c r="E16" s="721">
        <v>470760660.25999999</v>
      </c>
      <c r="F16" s="723">
        <v>0</v>
      </c>
      <c r="G16" s="723">
        <v>0</v>
      </c>
      <c r="H16" s="723">
        <v>0</v>
      </c>
      <c r="I16" s="723">
        <v>0</v>
      </c>
      <c r="J16" s="723">
        <v>0</v>
      </c>
      <c r="K16" s="723">
        <v>0</v>
      </c>
      <c r="L16" s="723">
        <v>0</v>
      </c>
      <c r="M16" s="723">
        <v>0</v>
      </c>
      <c r="N16" s="748">
        <v>1447296.4600000004</v>
      </c>
      <c r="O16" s="749">
        <v>224473.67</v>
      </c>
      <c r="P16" s="722">
        <f t="shared" si="0"/>
        <v>472432430.38999999</v>
      </c>
      <c r="Q16" s="722">
        <v>-16777.54</v>
      </c>
      <c r="R16" s="721">
        <f t="shared" si="1"/>
        <v>472415652.84999996</v>
      </c>
      <c r="S16" s="721">
        <v>472415652.85000002</v>
      </c>
      <c r="T16" s="725"/>
      <c r="U16" s="721">
        <f>467881552.85+4534100</f>
        <v>472415652.85000002</v>
      </c>
      <c r="V16" s="721"/>
      <c r="W16" s="721">
        <f t="shared" si="2"/>
        <v>0</v>
      </c>
      <c r="X16" s="721">
        <f t="shared" si="3"/>
        <v>0</v>
      </c>
      <c r="Y16" s="721"/>
      <c r="Z16" s="722"/>
      <c r="AA16" s="722"/>
      <c r="AB16" s="722"/>
      <c r="AC16" s="722"/>
    </row>
    <row r="17" spans="1:29" x14ac:dyDescent="0.3">
      <c r="A17" s="726">
        <v>18030</v>
      </c>
      <c r="B17" s="727">
        <v>3000</v>
      </c>
      <c r="C17" s="720" t="s">
        <v>2696</v>
      </c>
      <c r="D17" s="173" t="s">
        <v>334</v>
      </c>
      <c r="E17" s="721">
        <v>130839506.04000001</v>
      </c>
      <c r="F17" s="723">
        <v>0</v>
      </c>
      <c r="G17" s="723">
        <v>0</v>
      </c>
      <c r="H17" s="723">
        <v>0</v>
      </c>
      <c r="I17" s="723">
        <v>0</v>
      </c>
      <c r="J17" s="723">
        <v>0</v>
      </c>
      <c r="K17" s="723">
        <v>0</v>
      </c>
      <c r="L17" s="723">
        <v>0</v>
      </c>
      <c r="M17" s="723">
        <v>0</v>
      </c>
      <c r="N17" s="748">
        <v>252854039.20999998</v>
      </c>
      <c r="O17" s="723">
        <v>0</v>
      </c>
      <c r="P17" s="722">
        <f t="shared" si="0"/>
        <v>383693545.25</v>
      </c>
      <c r="Q17" s="722">
        <v>0</v>
      </c>
      <c r="R17" s="721">
        <f t="shared" si="1"/>
        <v>383693545.25</v>
      </c>
      <c r="S17" s="721">
        <v>383693545.25</v>
      </c>
      <c r="T17" s="725"/>
      <c r="U17" s="721">
        <v>383693545.25</v>
      </c>
      <c r="V17" s="721"/>
      <c r="W17" s="721">
        <f t="shared" si="2"/>
        <v>0</v>
      </c>
      <c r="X17" s="721">
        <f t="shared" si="3"/>
        <v>0</v>
      </c>
      <c r="Y17" s="721"/>
      <c r="Z17" s="722"/>
      <c r="AA17" s="722"/>
      <c r="AB17" s="722"/>
      <c r="AC17" s="722"/>
    </row>
    <row r="18" spans="1:29" x14ac:dyDescent="0.3">
      <c r="A18" s="726">
        <v>18030</v>
      </c>
      <c r="B18" s="727">
        <v>3100</v>
      </c>
      <c r="C18" s="720" t="s">
        <v>2697</v>
      </c>
      <c r="D18" s="173" t="s">
        <v>334</v>
      </c>
      <c r="E18" s="721">
        <v>50015.23</v>
      </c>
      <c r="F18" s="723">
        <v>0</v>
      </c>
      <c r="G18" s="723">
        <v>0</v>
      </c>
      <c r="H18" s="723">
        <v>0</v>
      </c>
      <c r="I18" s="723">
        <v>0</v>
      </c>
      <c r="J18" s="723">
        <v>0</v>
      </c>
      <c r="K18" s="723">
        <v>0</v>
      </c>
      <c r="L18" s="723">
        <v>0</v>
      </c>
      <c r="M18" s="723">
        <v>0</v>
      </c>
      <c r="N18" s="723">
        <v>0</v>
      </c>
      <c r="O18" s="723">
        <v>0</v>
      </c>
      <c r="P18" s="722">
        <f t="shared" si="0"/>
        <v>50015.23</v>
      </c>
      <c r="Q18" s="722">
        <v>0</v>
      </c>
      <c r="R18" s="721">
        <f t="shared" si="1"/>
        <v>50015.23</v>
      </c>
      <c r="S18" s="721">
        <v>50015.23</v>
      </c>
      <c r="T18" s="725"/>
      <c r="U18" s="721">
        <v>50015.23</v>
      </c>
      <c r="V18" s="721"/>
      <c r="W18" s="721">
        <f t="shared" si="2"/>
        <v>0</v>
      </c>
      <c r="X18" s="721">
        <f t="shared" si="3"/>
        <v>0</v>
      </c>
      <c r="Y18" s="721"/>
      <c r="Z18" s="722"/>
      <c r="AA18" s="722"/>
      <c r="AB18" s="722"/>
      <c r="AC18" s="722"/>
    </row>
    <row r="19" spans="1:29" s="732" customFormat="1" x14ac:dyDescent="0.3">
      <c r="A19" s="729">
        <v>18040</v>
      </c>
      <c r="B19" s="730"/>
      <c r="C19" s="720" t="s">
        <v>2698</v>
      </c>
      <c r="D19" s="173" t="s">
        <v>336</v>
      </c>
      <c r="E19" s="721">
        <v>44244957.479999997</v>
      </c>
      <c r="F19" s="723">
        <v>0</v>
      </c>
      <c r="G19" s="723">
        <v>0</v>
      </c>
      <c r="H19" s="723">
        <v>0</v>
      </c>
      <c r="I19" s="723">
        <v>0</v>
      </c>
      <c r="J19" s="723">
        <v>0</v>
      </c>
      <c r="K19" s="723">
        <v>0</v>
      </c>
      <c r="L19" s="723">
        <v>0</v>
      </c>
      <c r="M19" s="723">
        <v>0</v>
      </c>
      <c r="N19" s="723">
        <v>18964693.789999999</v>
      </c>
      <c r="O19" s="721">
        <v>66859.48</v>
      </c>
      <c r="P19" s="721">
        <f t="shared" si="0"/>
        <v>63276510.749999993</v>
      </c>
      <c r="Q19" s="721">
        <v>0</v>
      </c>
      <c r="R19" s="721">
        <f t="shared" si="1"/>
        <v>63276510.749999993</v>
      </c>
      <c r="S19" s="721">
        <v>63276510.75</v>
      </c>
      <c r="T19" s="731"/>
      <c r="U19" s="721">
        <v>63276510.75</v>
      </c>
      <c r="V19" s="721"/>
      <c r="W19" s="721">
        <f t="shared" si="2"/>
        <v>0</v>
      </c>
      <c r="X19" s="721">
        <f t="shared" si="3"/>
        <v>0</v>
      </c>
      <c r="Y19" s="721"/>
      <c r="Z19" s="721"/>
      <c r="AA19" s="721"/>
      <c r="AB19" s="721"/>
      <c r="AC19" s="721"/>
    </row>
    <row r="20" spans="1:29" x14ac:dyDescent="0.3">
      <c r="A20" s="726">
        <v>18040</v>
      </c>
      <c r="B20" s="727">
        <v>3000</v>
      </c>
      <c r="C20" s="720" t="s">
        <v>2699</v>
      </c>
      <c r="D20" s="173" t="s">
        <v>336</v>
      </c>
      <c r="E20" s="721">
        <v>454182.03</v>
      </c>
      <c r="F20" s="723">
        <v>0</v>
      </c>
      <c r="G20" s="723">
        <v>0</v>
      </c>
      <c r="H20" s="723">
        <v>0</v>
      </c>
      <c r="I20" s="723">
        <v>0</v>
      </c>
      <c r="J20" s="723">
        <v>0</v>
      </c>
      <c r="K20" s="723">
        <v>0</v>
      </c>
      <c r="L20" s="723">
        <v>0</v>
      </c>
      <c r="M20" s="723">
        <v>0</v>
      </c>
      <c r="N20" s="723">
        <v>233864.51</v>
      </c>
      <c r="O20" s="723">
        <v>0</v>
      </c>
      <c r="P20" s="722">
        <f t="shared" si="0"/>
        <v>688046.54</v>
      </c>
      <c r="Q20" s="722">
        <v>0</v>
      </c>
      <c r="R20" s="721">
        <f t="shared" si="1"/>
        <v>688046.54</v>
      </c>
      <c r="S20" s="721">
        <v>688046.54</v>
      </c>
      <c r="T20" s="725"/>
      <c r="U20" s="721">
        <v>688046.54</v>
      </c>
      <c r="V20" s="721"/>
      <c r="W20" s="721">
        <f t="shared" si="2"/>
        <v>0</v>
      </c>
      <c r="X20" s="721">
        <f t="shared" si="3"/>
        <v>0</v>
      </c>
      <c r="Y20" s="721"/>
      <c r="Z20" s="722"/>
      <c r="AA20" s="722"/>
      <c r="AB20" s="722"/>
      <c r="AC20" s="722"/>
    </row>
    <row r="21" spans="1:29" x14ac:dyDescent="0.3">
      <c r="A21" s="726">
        <v>18040</v>
      </c>
      <c r="B21" s="727">
        <v>3100</v>
      </c>
      <c r="C21" s="720" t="s">
        <v>2700</v>
      </c>
      <c r="D21" s="173" t="s">
        <v>336</v>
      </c>
      <c r="E21" s="721">
        <v>38936.160000000003</v>
      </c>
      <c r="F21" s="723">
        <v>0</v>
      </c>
      <c r="G21" s="723">
        <v>0</v>
      </c>
      <c r="H21" s="723">
        <v>0</v>
      </c>
      <c r="I21" s="723">
        <v>0</v>
      </c>
      <c r="J21" s="723">
        <v>0</v>
      </c>
      <c r="K21" s="723">
        <v>0</v>
      </c>
      <c r="L21" s="723">
        <v>0</v>
      </c>
      <c r="M21" s="723">
        <v>0</v>
      </c>
      <c r="N21" s="723">
        <v>0</v>
      </c>
      <c r="O21" s="723">
        <v>0</v>
      </c>
      <c r="P21" s="722">
        <f t="shared" si="0"/>
        <v>38936.160000000003</v>
      </c>
      <c r="Q21" s="722">
        <v>0</v>
      </c>
      <c r="R21" s="721">
        <f t="shared" si="1"/>
        <v>38936.160000000003</v>
      </c>
      <c r="S21" s="721">
        <v>38936.160000000003</v>
      </c>
      <c r="T21" s="725"/>
      <c r="U21" s="721">
        <v>38936.160000000003</v>
      </c>
      <c r="V21" s="721"/>
      <c r="W21" s="721">
        <f t="shared" si="2"/>
        <v>0</v>
      </c>
      <c r="X21" s="721">
        <f t="shared" si="3"/>
        <v>0</v>
      </c>
      <c r="Y21" s="721"/>
      <c r="Z21" s="722"/>
      <c r="AA21" s="722"/>
      <c r="AB21" s="722"/>
      <c r="AC21" s="722"/>
    </row>
    <row r="22" spans="1:29" s="732" customFormat="1" x14ac:dyDescent="0.3">
      <c r="A22" s="729">
        <v>18050</v>
      </c>
      <c r="B22" s="730"/>
      <c r="C22" s="720" t="s">
        <v>2701</v>
      </c>
      <c r="D22" s="173" t="s">
        <v>334</v>
      </c>
      <c r="E22" s="721">
        <v>306683528.31999999</v>
      </c>
      <c r="F22" s="723">
        <v>0</v>
      </c>
      <c r="G22" s="723">
        <v>0</v>
      </c>
      <c r="H22" s="723">
        <v>0</v>
      </c>
      <c r="I22" s="723">
        <v>0</v>
      </c>
      <c r="J22" s="723"/>
      <c r="K22" s="723">
        <v>0</v>
      </c>
      <c r="L22" s="723">
        <v>0</v>
      </c>
      <c r="M22" s="723">
        <v>0</v>
      </c>
      <c r="N22" s="723">
        <v>12428135.780000007</v>
      </c>
      <c r="O22" s="721">
        <v>2850945.0499999993</v>
      </c>
      <c r="P22" s="721">
        <f t="shared" si="0"/>
        <v>321962609.15000004</v>
      </c>
      <c r="Q22" s="721">
        <v>-132504.63</v>
      </c>
      <c r="R22" s="721">
        <f t="shared" si="1"/>
        <v>321830104.52000004</v>
      </c>
      <c r="S22" s="721">
        <v>321830104.51999998</v>
      </c>
      <c r="T22" s="731"/>
      <c r="U22" s="721">
        <f>321493949.15+336155.37</f>
        <v>321830104.51999998</v>
      </c>
      <c r="V22" s="721"/>
      <c r="W22" s="721">
        <f t="shared" si="2"/>
        <v>0</v>
      </c>
      <c r="X22" s="721">
        <f t="shared" si="3"/>
        <v>0</v>
      </c>
      <c r="Y22" s="721"/>
      <c r="Z22" s="721"/>
      <c r="AA22" s="721"/>
      <c r="AB22" s="721"/>
      <c r="AC22" s="721"/>
    </row>
    <row r="23" spans="1:29" x14ac:dyDescent="0.3">
      <c r="A23" s="726">
        <v>18050</v>
      </c>
      <c r="B23" s="727">
        <v>3000</v>
      </c>
      <c r="C23" s="720" t="s">
        <v>2702</v>
      </c>
      <c r="D23" s="173" t="s">
        <v>334</v>
      </c>
      <c r="E23" s="721">
        <v>11828444.6</v>
      </c>
      <c r="F23" s="723">
        <v>0</v>
      </c>
      <c r="G23" s="723">
        <v>0</v>
      </c>
      <c r="H23" s="723">
        <v>0</v>
      </c>
      <c r="I23" s="723">
        <v>0</v>
      </c>
      <c r="J23" s="723">
        <v>0</v>
      </c>
      <c r="K23" s="723">
        <v>0</v>
      </c>
      <c r="L23" s="723">
        <v>0</v>
      </c>
      <c r="M23" s="723">
        <v>0</v>
      </c>
      <c r="N23" s="723">
        <v>31698243.619999997</v>
      </c>
      <c r="O23" s="723">
        <v>0</v>
      </c>
      <c r="P23" s="722">
        <f t="shared" si="0"/>
        <v>43526688.219999999</v>
      </c>
      <c r="Q23" s="722">
        <v>0</v>
      </c>
      <c r="R23" s="721">
        <f t="shared" si="1"/>
        <v>43526688.219999999</v>
      </c>
      <c r="S23" s="721">
        <v>43526688.219999999</v>
      </c>
      <c r="T23" s="725"/>
      <c r="U23" s="721">
        <v>43526688.219999999</v>
      </c>
      <c r="V23" s="721"/>
      <c r="W23" s="721">
        <f t="shared" si="2"/>
        <v>0</v>
      </c>
      <c r="X23" s="721">
        <f t="shared" si="3"/>
        <v>0</v>
      </c>
      <c r="Y23" s="721"/>
      <c r="Z23" s="722"/>
      <c r="AA23" s="722"/>
      <c r="AB23" s="722"/>
      <c r="AC23" s="722"/>
    </row>
    <row r="24" spans="1:29" x14ac:dyDescent="0.3">
      <c r="A24" s="726">
        <v>18050</v>
      </c>
      <c r="B24" s="727">
        <v>3100</v>
      </c>
      <c r="C24" s="720" t="s">
        <v>2703</v>
      </c>
      <c r="D24" s="173" t="s">
        <v>334</v>
      </c>
      <c r="E24" s="721">
        <v>25173355.690000001</v>
      </c>
      <c r="F24" s="723">
        <v>0</v>
      </c>
      <c r="G24" s="723">
        <v>0</v>
      </c>
      <c r="H24" s="723">
        <v>0</v>
      </c>
      <c r="I24" s="723">
        <v>0</v>
      </c>
      <c r="J24" s="723">
        <v>0</v>
      </c>
      <c r="K24" s="723">
        <v>0</v>
      </c>
      <c r="L24" s="723">
        <v>0</v>
      </c>
      <c r="M24" s="723">
        <v>0</v>
      </c>
      <c r="N24" s="723">
        <v>0</v>
      </c>
      <c r="O24" s="723">
        <v>0</v>
      </c>
      <c r="P24" s="722">
        <f t="shared" si="0"/>
        <v>25173355.690000001</v>
      </c>
      <c r="Q24" s="722">
        <v>0</v>
      </c>
      <c r="R24" s="721">
        <f t="shared" si="1"/>
        <v>25173355.690000001</v>
      </c>
      <c r="S24" s="721">
        <v>25173355.690000001</v>
      </c>
      <c r="T24" s="725"/>
      <c r="U24" s="721">
        <v>25173355.690000001</v>
      </c>
      <c r="V24" s="721"/>
      <c r="W24" s="721">
        <f t="shared" si="2"/>
        <v>0</v>
      </c>
      <c r="X24" s="721">
        <f t="shared" si="3"/>
        <v>0</v>
      </c>
      <c r="Y24" s="721"/>
      <c r="Z24" s="722"/>
      <c r="AA24" s="722"/>
      <c r="AB24" s="722"/>
      <c r="AC24" s="722"/>
    </row>
    <row r="25" spans="1:29" x14ac:dyDescent="0.3">
      <c r="A25" s="726">
        <v>18050</v>
      </c>
      <c r="B25" s="727">
        <v>3950</v>
      </c>
      <c r="C25" s="720" t="s">
        <v>2704</v>
      </c>
      <c r="D25" s="173" t="s">
        <v>334</v>
      </c>
      <c r="E25" s="721">
        <v>16448094.470000001</v>
      </c>
      <c r="F25" s="723">
        <v>0</v>
      </c>
      <c r="G25" s="723">
        <v>0</v>
      </c>
      <c r="H25" s="723">
        <v>0</v>
      </c>
      <c r="I25" s="723">
        <v>0</v>
      </c>
      <c r="J25" s="723">
        <v>0</v>
      </c>
      <c r="K25" s="723">
        <v>0</v>
      </c>
      <c r="L25" s="723">
        <v>0</v>
      </c>
      <c r="M25" s="723">
        <v>0</v>
      </c>
      <c r="N25" s="723">
        <v>0</v>
      </c>
      <c r="O25" s="723">
        <v>0</v>
      </c>
      <c r="P25" s="722">
        <f t="shared" si="0"/>
        <v>16448094.470000001</v>
      </c>
      <c r="Q25" s="722">
        <v>0</v>
      </c>
      <c r="R25" s="721">
        <f t="shared" si="1"/>
        <v>16448094.470000001</v>
      </c>
      <c r="S25" s="721">
        <v>16448094.470000001</v>
      </c>
      <c r="T25" s="725"/>
      <c r="U25" s="721">
        <v>16448094.470000001</v>
      </c>
      <c r="V25" s="721"/>
      <c r="W25" s="721">
        <f t="shared" si="2"/>
        <v>0</v>
      </c>
      <c r="X25" s="721">
        <f t="shared" si="3"/>
        <v>0</v>
      </c>
      <c r="Y25" s="721"/>
      <c r="Z25" s="722"/>
      <c r="AA25" s="722"/>
      <c r="AB25" s="722"/>
      <c r="AC25" s="722"/>
    </row>
    <row r="26" spans="1:29" s="732" customFormat="1" x14ac:dyDescent="0.3">
      <c r="A26" s="729">
        <v>18060</v>
      </c>
      <c r="B26" s="730">
        <v>1000</v>
      </c>
      <c r="C26" s="720" t="s">
        <v>2705</v>
      </c>
      <c r="D26" s="173" t="s">
        <v>337</v>
      </c>
      <c r="E26" s="721">
        <v>445737287.73000002</v>
      </c>
      <c r="F26" s="723">
        <v>0</v>
      </c>
      <c r="G26" s="723">
        <v>0</v>
      </c>
      <c r="H26" s="733">
        <v>0</v>
      </c>
      <c r="I26" s="748">
        <v>13506944.519999998</v>
      </c>
      <c r="J26" s="723">
        <v>29331.31</v>
      </c>
      <c r="K26" s="723">
        <v>0</v>
      </c>
      <c r="L26" s="734">
        <v>0</v>
      </c>
      <c r="M26" s="723">
        <v>0</v>
      </c>
      <c r="N26" s="723">
        <v>28108923.699999958</v>
      </c>
      <c r="O26" s="723">
        <v>5650559.9899999974</v>
      </c>
      <c r="P26" s="721">
        <f t="shared" si="0"/>
        <v>493033047.25</v>
      </c>
      <c r="Q26" s="721">
        <v>-6119134.3199999956</v>
      </c>
      <c r="R26" s="721">
        <f t="shared" si="1"/>
        <v>486913912.93000001</v>
      </c>
      <c r="S26" s="721">
        <v>486913912.93000001</v>
      </c>
      <c r="T26" s="721"/>
      <c r="U26" s="721">
        <v>486913912.93000001</v>
      </c>
      <c r="V26" s="721"/>
      <c r="W26" s="721">
        <f t="shared" si="2"/>
        <v>0</v>
      </c>
      <c r="X26" s="721">
        <f t="shared" si="3"/>
        <v>0</v>
      </c>
      <c r="Y26" s="721"/>
      <c r="Z26" s="721"/>
      <c r="AA26" s="721"/>
      <c r="AB26" s="721"/>
      <c r="AC26" s="721"/>
    </row>
    <row r="27" spans="1:29" s="732" customFormat="1" x14ac:dyDescent="0.3">
      <c r="A27" s="729">
        <v>18060</v>
      </c>
      <c r="B27" s="730">
        <v>2800</v>
      </c>
      <c r="C27" s="720" t="s">
        <v>2706</v>
      </c>
      <c r="D27" s="173" t="s">
        <v>337</v>
      </c>
      <c r="E27" s="721">
        <v>0</v>
      </c>
      <c r="F27" s="723">
        <v>0</v>
      </c>
      <c r="G27" s="723">
        <v>0</v>
      </c>
      <c r="H27" s="733">
        <v>0</v>
      </c>
      <c r="I27" s="723">
        <v>0</v>
      </c>
      <c r="J27" s="723">
        <v>0</v>
      </c>
      <c r="K27" s="723">
        <v>0</v>
      </c>
      <c r="L27" s="734">
        <v>0</v>
      </c>
      <c r="M27" s="723">
        <v>0</v>
      </c>
      <c r="N27" s="723">
        <v>0</v>
      </c>
      <c r="O27" s="723">
        <v>0</v>
      </c>
      <c r="P27" s="721">
        <f t="shared" si="0"/>
        <v>0</v>
      </c>
      <c r="Q27" s="721">
        <v>0</v>
      </c>
      <c r="R27" s="721">
        <f t="shared" si="1"/>
        <v>0</v>
      </c>
      <c r="S27" s="721">
        <v>0</v>
      </c>
      <c r="T27" s="721"/>
      <c r="U27" s="721">
        <v>0</v>
      </c>
      <c r="V27" s="721"/>
      <c r="W27" s="721">
        <f t="shared" si="2"/>
        <v>0</v>
      </c>
      <c r="X27" s="721">
        <f t="shared" si="3"/>
        <v>0</v>
      </c>
      <c r="Y27" s="721"/>
      <c r="Z27" s="721"/>
      <c r="AA27" s="721"/>
      <c r="AB27" s="721"/>
      <c r="AC27" s="721"/>
    </row>
    <row r="28" spans="1:29" s="732" customFormat="1" x14ac:dyDescent="0.3">
      <c r="A28" s="729">
        <v>18060</v>
      </c>
      <c r="B28" s="730">
        <v>4100</v>
      </c>
      <c r="C28" s="720" t="s">
        <v>2707</v>
      </c>
      <c r="D28" s="173" t="s">
        <v>337</v>
      </c>
      <c r="E28" s="721">
        <v>10948000.65</v>
      </c>
      <c r="F28" s="723">
        <v>0</v>
      </c>
      <c r="G28" s="723">
        <v>0</v>
      </c>
      <c r="H28" s="733">
        <v>0</v>
      </c>
      <c r="I28" s="748">
        <v>1187768.9699999997</v>
      </c>
      <c r="J28" s="723">
        <v>0</v>
      </c>
      <c r="K28" s="723">
        <v>0</v>
      </c>
      <c r="L28" s="734">
        <v>0</v>
      </c>
      <c r="M28" s="723">
        <v>0</v>
      </c>
      <c r="N28" s="723">
        <v>0</v>
      </c>
      <c r="O28" s="723">
        <v>3837.08</v>
      </c>
      <c r="P28" s="721">
        <f t="shared" si="0"/>
        <v>12139606.700000001</v>
      </c>
      <c r="Q28" s="721">
        <v>-13056.78</v>
      </c>
      <c r="R28" s="721">
        <f t="shared" si="1"/>
        <v>12126549.920000002</v>
      </c>
      <c r="S28" s="721">
        <v>12126549.92</v>
      </c>
      <c r="T28" s="721"/>
      <c r="U28" s="721">
        <v>12126549.92</v>
      </c>
      <c r="V28" s="721"/>
      <c r="W28" s="721">
        <f t="shared" si="2"/>
        <v>0</v>
      </c>
      <c r="X28" s="721">
        <f t="shared" si="3"/>
        <v>0</v>
      </c>
      <c r="Y28" s="721"/>
      <c r="Z28" s="721"/>
      <c r="AA28" s="721"/>
      <c r="AB28" s="721"/>
      <c r="AC28" s="721"/>
    </row>
    <row r="29" spans="1:29" s="732" customFormat="1" x14ac:dyDescent="0.3">
      <c r="A29" s="729">
        <v>18060</v>
      </c>
      <c r="B29" s="730">
        <v>5100</v>
      </c>
      <c r="C29" s="720" t="s">
        <v>2708</v>
      </c>
      <c r="D29" s="173" t="s">
        <v>337</v>
      </c>
      <c r="E29" s="721">
        <v>2865380.69</v>
      </c>
      <c r="F29" s="723">
        <v>0</v>
      </c>
      <c r="G29" s="723">
        <v>0</v>
      </c>
      <c r="H29" s="733">
        <v>0</v>
      </c>
      <c r="I29" s="748">
        <v>397702.56</v>
      </c>
      <c r="J29" s="723">
        <v>0</v>
      </c>
      <c r="K29" s="723">
        <v>0</v>
      </c>
      <c r="L29" s="734">
        <v>0</v>
      </c>
      <c r="M29" s="723">
        <v>0</v>
      </c>
      <c r="N29" s="723">
        <v>0</v>
      </c>
      <c r="O29" s="723">
        <v>0</v>
      </c>
      <c r="P29" s="721">
        <f t="shared" si="0"/>
        <v>3263083.25</v>
      </c>
      <c r="Q29" s="721">
        <v>-891052.25999999931</v>
      </c>
      <c r="R29" s="721">
        <f t="shared" si="1"/>
        <v>2372030.9900000007</v>
      </c>
      <c r="S29" s="721">
        <v>2372030.9900000002</v>
      </c>
      <c r="T29" s="721"/>
      <c r="U29" s="721">
        <v>2372030.9900000002</v>
      </c>
      <c r="V29" s="721"/>
      <c r="W29" s="721">
        <f t="shared" si="2"/>
        <v>0</v>
      </c>
      <c r="X29" s="721">
        <f t="shared" si="3"/>
        <v>0</v>
      </c>
      <c r="Y29" s="721"/>
      <c r="Z29" s="721"/>
      <c r="AA29" s="721"/>
      <c r="AB29" s="721"/>
      <c r="AC29" s="721"/>
    </row>
    <row r="30" spans="1:29" s="732" customFormat="1" x14ac:dyDescent="0.3">
      <c r="A30" s="729">
        <v>18060</v>
      </c>
      <c r="B30" s="730">
        <v>7200</v>
      </c>
      <c r="C30" s="720" t="s">
        <v>2709</v>
      </c>
      <c r="D30" s="173" t="s">
        <v>337</v>
      </c>
      <c r="E30" s="721">
        <v>213246.76</v>
      </c>
      <c r="F30" s="723">
        <v>0</v>
      </c>
      <c r="G30" s="723">
        <v>0</v>
      </c>
      <c r="H30" s="733">
        <v>0</v>
      </c>
      <c r="I30" s="723">
        <v>0</v>
      </c>
      <c r="J30" s="723">
        <v>0</v>
      </c>
      <c r="K30" s="723">
        <v>0</v>
      </c>
      <c r="L30" s="734">
        <v>0</v>
      </c>
      <c r="M30" s="723">
        <v>0</v>
      </c>
      <c r="N30" s="723">
        <v>0</v>
      </c>
      <c r="O30" s="723">
        <v>0</v>
      </c>
      <c r="P30" s="721">
        <f t="shared" si="0"/>
        <v>213246.76</v>
      </c>
      <c r="Q30" s="721">
        <v>0</v>
      </c>
      <c r="R30" s="721">
        <f t="shared" si="1"/>
        <v>213246.76</v>
      </c>
      <c r="S30" s="721">
        <v>213246.76</v>
      </c>
      <c r="T30" s="721"/>
      <c r="U30" s="721">
        <v>213246.76</v>
      </c>
      <c r="V30" s="721"/>
      <c r="W30" s="721">
        <f t="shared" si="2"/>
        <v>0</v>
      </c>
      <c r="X30" s="721">
        <f t="shared" si="3"/>
        <v>0</v>
      </c>
      <c r="Y30" s="721"/>
      <c r="Z30" s="721"/>
      <c r="AA30" s="721"/>
      <c r="AB30" s="721"/>
      <c r="AC30" s="721"/>
    </row>
    <row r="31" spans="1:29" s="732" customFormat="1" x14ac:dyDescent="0.3">
      <c r="A31" s="729">
        <v>18060</v>
      </c>
      <c r="B31" s="730">
        <v>9020</v>
      </c>
      <c r="C31" s="720" t="s">
        <v>2710</v>
      </c>
      <c r="D31" s="173" t="s">
        <v>337</v>
      </c>
      <c r="E31" s="721">
        <v>49550.83</v>
      </c>
      <c r="F31" s="723">
        <v>0</v>
      </c>
      <c r="G31" s="723">
        <v>0</v>
      </c>
      <c r="H31" s="733">
        <v>0</v>
      </c>
      <c r="I31" s="723">
        <v>0</v>
      </c>
      <c r="J31" s="723">
        <v>0</v>
      </c>
      <c r="K31" s="723">
        <v>0</v>
      </c>
      <c r="L31" s="734">
        <v>0</v>
      </c>
      <c r="M31" s="723">
        <v>0</v>
      </c>
      <c r="N31" s="723">
        <v>0</v>
      </c>
      <c r="O31" s="723">
        <v>0</v>
      </c>
      <c r="P31" s="721">
        <f t="shared" si="0"/>
        <v>49550.83</v>
      </c>
      <c r="Q31" s="721">
        <v>0</v>
      </c>
      <c r="R31" s="721">
        <f t="shared" si="1"/>
        <v>49550.83</v>
      </c>
      <c r="S31" s="721">
        <v>49550.83</v>
      </c>
      <c r="T31" s="721"/>
      <c r="U31" s="721">
        <v>49550.83</v>
      </c>
      <c r="V31" s="721"/>
      <c r="W31" s="721">
        <f t="shared" si="2"/>
        <v>0</v>
      </c>
      <c r="X31" s="721">
        <f t="shared" si="3"/>
        <v>0</v>
      </c>
      <c r="Y31" s="721"/>
      <c r="Z31" s="721"/>
      <c r="AA31" s="721"/>
      <c r="AB31" s="721"/>
      <c r="AC31" s="721"/>
    </row>
    <row r="32" spans="1:29" s="732" customFormat="1" x14ac:dyDescent="0.3">
      <c r="A32" s="729">
        <v>18060</v>
      </c>
      <c r="B32" s="730">
        <v>3000</v>
      </c>
      <c r="C32" s="720" t="s">
        <v>2711</v>
      </c>
      <c r="D32" s="173" t="s">
        <v>337</v>
      </c>
      <c r="E32" s="721">
        <v>22147184.739999998</v>
      </c>
      <c r="F32" s="723">
        <v>0</v>
      </c>
      <c r="G32" s="723">
        <v>0</v>
      </c>
      <c r="H32" s="733">
        <v>0</v>
      </c>
      <c r="I32" s="748">
        <v>2074302.2999999998</v>
      </c>
      <c r="J32" s="723">
        <v>25491.27</v>
      </c>
      <c r="K32" s="723">
        <v>0</v>
      </c>
      <c r="L32" s="734">
        <v>0</v>
      </c>
      <c r="M32" s="723">
        <v>0</v>
      </c>
      <c r="N32" s="723">
        <v>10866526.060000014</v>
      </c>
      <c r="O32" s="723">
        <v>0</v>
      </c>
      <c r="P32" s="721">
        <f t="shared" si="0"/>
        <v>35113504.370000012</v>
      </c>
      <c r="Q32" s="721">
        <v>-15534.43</v>
      </c>
      <c r="R32" s="721">
        <f t="shared" si="1"/>
        <v>35097969.940000013</v>
      </c>
      <c r="S32" s="721">
        <v>35097969.939999998</v>
      </c>
      <c r="T32" s="731"/>
      <c r="U32" s="721">
        <v>35097969.939999998</v>
      </c>
      <c r="V32" s="721"/>
      <c r="W32" s="721">
        <f t="shared" si="2"/>
        <v>0</v>
      </c>
      <c r="X32" s="721">
        <f t="shared" si="3"/>
        <v>0</v>
      </c>
      <c r="Y32" s="721"/>
      <c r="Z32" s="721"/>
      <c r="AA32" s="721"/>
      <c r="AB32" s="721"/>
      <c r="AC32" s="721"/>
    </row>
    <row r="33" spans="1:29" x14ac:dyDescent="0.3">
      <c r="A33" s="726">
        <v>18060</v>
      </c>
      <c r="B33" s="727">
        <v>3100</v>
      </c>
      <c r="C33" s="720" t="s">
        <v>2712</v>
      </c>
      <c r="D33" s="173" t="s">
        <v>337</v>
      </c>
      <c r="E33" s="721">
        <v>2072807.84</v>
      </c>
      <c r="F33" s="723">
        <v>0</v>
      </c>
      <c r="G33" s="723">
        <v>0</v>
      </c>
      <c r="H33" s="733">
        <v>0</v>
      </c>
      <c r="I33" s="722">
        <v>0</v>
      </c>
      <c r="J33" s="723">
        <v>0</v>
      </c>
      <c r="K33" s="723">
        <v>0</v>
      </c>
      <c r="L33" s="723">
        <v>0</v>
      </c>
      <c r="M33" s="723">
        <v>0</v>
      </c>
      <c r="N33" s="723">
        <v>0</v>
      </c>
      <c r="O33" s="723">
        <v>0</v>
      </c>
      <c r="P33" s="722">
        <f t="shared" si="0"/>
        <v>2072807.84</v>
      </c>
      <c r="Q33" s="722">
        <v>0</v>
      </c>
      <c r="R33" s="722">
        <f t="shared" si="1"/>
        <v>2072807.84</v>
      </c>
      <c r="S33" s="721">
        <v>2072807.84</v>
      </c>
      <c r="T33" s="725"/>
      <c r="U33" s="721">
        <v>2072807.84</v>
      </c>
      <c r="V33" s="721"/>
      <c r="W33" s="721">
        <f t="shared" si="2"/>
        <v>0</v>
      </c>
      <c r="X33" s="721">
        <f t="shared" si="3"/>
        <v>0</v>
      </c>
      <c r="Y33" s="721"/>
      <c r="Z33" s="722"/>
      <c r="AA33" s="722"/>
      <c r="AB33" s="722"/>
      <c r="AC33" s="722"/>
    </row>
    <row r="34" spans="1:29" x14ac:dyDescent="0.3">
      <c r="A34" s="726">
        <v>18060</v>
      </c>
      <c r="B34" s="727">
        <v>3800</v>
      </c>
      <c r="C34" s="720" t="s">
        <v>2713</v>
      </c>
      <c r="D34" s="173" t="s">
        <v>337</v>
      </c>
      <c r="E34" s="721">
        <v>23542.5</v>
      </c>
      <c r="F34" s="723">
        <v>0</v>
      </c>
      <c r="G34" s="723">
        <v>0</v>
      </c>
      <c r="H34" s="733">
        <v>0</v>
      </c>
      <c r="I34" s="722">
        <v>0</v>
      </c>
      <c r="J34" s="723">
        <v>0</v>
      </c>
      <c r="K34" s="723">
        <v>0</v>
      </c>
      <c r="L34" s="723">
        <v>0</v>
      </c>
      <c r="M34" s="723">
        <v>0</v>
      </c>
      <c r="N34" s="723">
        <v>0</v>
      </c>
      <c r="O34" s="723">
        <v>0</v>
      </c>
      <c r="P34" s="722">
        <f t="shared" si="0"/>
        <v>23542.5</v>
      </c>
      <c r="Q34" s="722">
        <v>0</v>
      </c>
      <c r="R34" s="722">
        <f t="shared" si="1"/>
        <v>23542.5</v>
      </c>
      <c r="S34" s="721">
        <v>23542.5</v>
      </c>
      <c r="T34" s="725"/>
      <c r="U34" s="721">
        <v>23542.5</v>
      </c>
      <c r="V34" s="721"/>
      <c r="W34" s="721">
        <f t="shared" si="2"/>
        <v>0</v>
      </c>
      <c r="X34" s="721">
        <f t="shared" si="3"/>
        <v>0</v>
      </c>
      <c r="Y34" s="721"/>
      <c r="Z34" s="722"/>
      <c r="AA34" s="722"/>
      <c r="AB34" s="722"/>
      <c r="AC34" s="722"/>
    </row>
    <row r="35" spans="1:29" x14ac:dyDescent="0.3">
      <c r="A35" s="726">
        <v>18060</v>
      </c>
      <c r="B35" s="727">
        <v>3840</v>
      </c>
      <c r="C35" s="720" t="s">
        <v>2714</v>
      </c>
      <c r="D35" s="173" t="s">
        <v>337</v>
      </c>
      <c r="E35" s="721">
        <v>6610874.5499999998</v>
      </c>
      <c r="F35" s="723">
        <v>0</v>
      </c>
      <c r="G35" s="723">
        <v>0</v>
      </c>
      <c r="H35" s="733">
        <v>0</v>
      </c>
      <c r="I35" s="748">
        <v>757457.02999999991</v>
      </c>
      <c r="J35" s="723">
        <v>117.39</v>
      </c>
      <c r="K35" s="723">
        <v>0</v>
      </c>
      <c r="L35" s="723">
        <v>0</v>
      </c>
      <c r="M35" s="723">
        <v>0</v>
      </c>
      <c r="N35" s="723">
        <v>0</v>
      </c>
      <c r="O35" s="723">
        <v>0</v>
      </c>
      <c r="P35" s="722">
        <f t="shared" si="0"/>
        <v>7368448.9699999997</v>
      </c>
      <c r="Q35" s="722">
        <v>-63968.84</v>
      </c>
      <c r="R35" s="722">
        <f t="shared" si="1"/>
        <v>7304480.1299999999</v>
      </c>
      <c r="S35" s="721">
        <v>7304480.1299999999</v>
      </c>
      <c r="T35" s="725"/>
      <c r="U35" s="721">
        <v>7304480.1299999999</v>
      </c>
      <c r="V35" s="721"/>
      <c r="W35" s="721">
        <f t="shared" si="2"/>
        <v>0</v>
      </c>
      <c r="X35" s="721">
        <f t="shared" si="3"/>
        <v>0</v>
      </c>
      <c r="Y35" s="721"/>
      <c r="Z35" s="722"/>
      <c r="AA35" s="722"/>
      <c r="AB35" s="722"/>
      <c r="AC35" s="722"/>
    </row>
    <row r="36" spans="1:29" x14ac:dyDescent="0.3">
      <c r="A36" s="726">
        <v>18060</v>
      </c>
      <c r="B36" s="727">
        <v>3950</v>
      </c>
      <c r="C36" s="720" t="s">
        <v>2715</v>
      </c>
      <c r="D36" s="173" t="s">
        <v>337</v>
      </c>
      <c r="E36" s="721">
        <v>7082824.0700000003</v>
      </c>
      <c r="F36" s="723">
        <v>0</v>
      </c>
      <c r="G36" s="723">
        <v>0</v>
      </c>
      <c r="H36" s="733">
        <v>0</v>
      </c>
      <c r="I36" s="748">
        <v>99464.67</v>
      </c>
      <c r="J36" s="723">
        <v>0</v>
      </c>
      <c r="K36" s="723">
        <v>0</v>
      </c>
      <c r="L36" s="723">
        <v>0</v>
      </c>
      <c r="M36" s="723">
        <v>0</v>
      </c>
      <c r="N36" s="723">
        <v>0</v>
      </c>
      <c r="O36" s="733">
        <v>0</v>
      </c>
      <c r="P36" s="722">
        <f t="shared" si="0"/>
        <v>7182288.7400000002</v>
      </c>
      <c r="Q36" s="722">
        <v>0</v>
      </c>
      <c r="R36" s="722">
        <f t="shared" si="1"/>
        <v>7182288.7400000002</v>
      </c>
      <c r="S36" s="721">
        <v>7182288.7400000002</v>
      </c>
      <c r="T36" s="725"/>
      <c r="U36" s="721">
        <v>7182288.7400000002</v>
      </c>
      <c r="V36" s="721"/>
      <c r="W36" s="721">
        <f t="shared" si="2"/>
        <v>0</v>
      </c>
      <c r="X36" s="721">
        <f t="shared" si="3"/>
        <v>0</v>
      </c>
      <c r="Y36" s="721"/>
      <c r="Z36" s="722"/>
      <c r="AA36" s="722"/>
      <c r="AB36" s="722"/>
      <c r="AC36" s="722"/>
    </row>
    <row r="37" spans="1:29" x14ac:dyDescent="0.3">
      <c r="A37" s="735">
        <v>18070</v>
      </c>
      <c r="B37" s="736"/>
      <c r="C37" s="737" t="s">
        <v>2716</v>
      </c>
      <c r="D37" s="173" t="s">
        <v>339</v>
      </c>
      <c r="E37" s="738">
        <v>55224184.420000002</v>
      </c>
      <c r="F37" s="723">
        <v>0</v>
      </c>
      <c r="G37" s="723">
        <v>0</v>
      </c>
      <c r="H37" s="723">
        <v>0</v>
      </c>
      <c r="I37" s="723">
        <v>0</v>
      </c>
      <c r="J37" s="723">
        <v>0</v>
      </c>
      <c r="K37" s="723">
        <v>0</v>
      </c>
      <c r="L37" s="723">
        <v>0</v>
      </c>
      <c r="M37" s="723">
        <v>0</v>
      </c>
      <c r="N37" s="723">
        <v>854264.5199999999</v>
      </c>
      <c r="O37" s="723">
        <v>7441611.0600000005</v>
      </c>
      <c r="P37" s="722">
        <f t="shared" si="0"/>
        <v>63520060.000000007</v>
      </c>
      <c r="Q37" s="728">
        <v>-405387.55</v>
      </c>
      <c r="R37" s="721">
        <f t="shared" si="1"/>
        <v>63114672.45000001</v>
      </c>
      <c r="S37" s="738">
        <v>63114672.450000003</v>
      </c>
      <c r="T37" s="739"/>
      <c r="U37" s="738">
        <v>63114672.450000003</v>
      </c>
      <c r="V37" s="738"/>
      <c r="W37" s="721">
        <f t="shared" si="2"/>
        <v>0</v>
      </c>
      <c r="X37" s="721">
        <f t="shared" si="3"/>
        <v>0</v>
      </c>
      <c r="Y37" s="738"/>
      <c r="Z37" s="728"/>
      <c r="AA37" s="728"/>
      <c r="AB37" s="728"/>
      <c r="AC37" s="728"/>
    </row>
    <row r="38" spans="1:29" x14ac:dyDescent="0.3">
      <c r="A38" s="735">
        <v>18070</v>
      </c>
      <c r="B38" s="736">
        <v>3000</v>
      </c>
      <c r="C38" s="737" t="s">
        <v>2717</v>
      </c>
      <c r="D38" s="173" t="s">
        <v>339</v>
      </c>
      <c r="E38" s="740">
        <v>3427105.16</v>
      </c>
      <c r="F38" s="741">
        <v>0</v>
      </c>
      <c r="G38" s="741">
        <v>0</v>
      </c>
      <c r="H38" s="741">
        <v>0</v>
      </c>
      <c r="I38" s="818">
        <v>3517457.5900000008</v>
      </c>
      <c r="J38" s="741">
        <v>0</v>
      </c>
      <c r="K38" s="741">
        <v>0</v>
      </c>
      <c r="L38" s="741">
        <v>0</v>
      </c>
      <c r="M38" s="741">
        <v>0</v>
      </c>
      <c r="N38" s="741">
        <v>2332957.7000000002</v>
      </c>
      <c r="O38" s="741">
        <v>0</v>
      </c>
      <c r="P38" s="742">
        <f t="shared" si="0"/>
        <v>9277520.4500000011</v>
      </c>
      <c r="Q38" s="742">
        <v>0</v>
      </c>
      <c r="R38" s="740">
        <f t="shared" si="1"/>
        <v>9277520.4500000011</v>
      </c>
      <c r="S38" s="740">
        <v>9277520.4499999993</v>
      </c>
      <c r="T38" s="743"/>
      <c r="U38" s="740">
        <v>9277520.4499999993</v>
      </c>
      <c r="V38" s="738"/>
      <c r="W38" s="721">
        <f t="shared" si="2"/>
        <v>0</v>
      </c>
      <c r="X38" s="721">
        <f t="shared" si="3"/>
        <v>0</v>
      </c>
      <c r="Y38" s="721"/>
      <c r="Z38" s="722"/>
      <c r="AA38" s="722"/>
      <c r="AB38" s="722"/>
      <c r="AC38" s="722"/>
    </row>
    <row r="39" spans="1:29" x14ac:dyDescent="0.3">
      <c r="A39" s="744" t="s">
        <v>2627</v>
      </c>
      <c r="B39" s="727"/>
      <c r="C39" s="745" t="s">
        <v>2628</v>
      </c>
      <c r="D39" s="745"/>
      <c r="E39" s="722">
        <f t="shared" ref="E39:S39" si="4">SUM(E9:E38)</f>
        <v>1797677551.74</v>
      </c>
      <c r="F39" s="722">
        <f t="shared" si="4"/>
        <v>-362776.64000000048</v>
      </c>
      <c r="G39" s="722">
        <f t="shared" si="4"/>
        <v>-273904.11</v>
      </c>
      <c r="H39" s="722">
        <f t="shared" si="4"/>
        <v>250196.44</v>
      </c>
      <c r="I39" s="722">
        <f t="shared" si="4"/>
        <v>21541097.640000001</v>
      </c>
      <c r="J39" s="722">
        <f t="shared" si="4"/>
        <v>54939.97</v>
      </c>
      <c r="K39" s="722">
        <f t="shared" si="4"/>
        <v>0</v>
      </c>
      <c r="L39" s="722">
        <f t="shared" si="4"/>
        <v>0</v>
      </c>
      <c r="M39" s="722">
        <f t="shared" si="4"/>
        <v>0</v>
      </c>
      <c r="N39" s="722">
        <f t="shared" si="4"/>
        <v>361532669.38</v>
      </c>
      <c r="O39" s="722">
        <f t="shared" si="4"/>
        <v>16238286.329999998</v>
      </c>
      <c r="P39" s="722">
        <f t="shared" si="4"/>
        <v>2196658060.7500005</v>
      </c>
      <c r="Q39" s="722">
        <f t="shared" si="4"/>
        <v>-7657416.349999995</v>
      </c>
      <c r="R39" s="722">
        <f t="shared" si="4"/>
        <v>2189000644.4000001</v>
      </c>
      <c r="S39" s="746">
        <f t="shared" si="4"/>
        <v>2189000644.4000001</v>
      </c>
      <c r="T39" s="693"/>
      <c r="U39" s="747">
        <f>SUM(U9:U38)</f>
        <v>2188746266.3600001</v>
      </c>
      <c r="V39" s="721"/>
      <c r="W39" s="721">
        <f>SUM(W9:W38)</f>
        <v>254378.04</v>
      </c>
      <c r="X39" s="721">
        <f>SUM(X9:X38)</f>
        <v>-4.4747139327228069E-10</v>
      </c>
      <c r="Y39" s="721"/>
      <c r="Z39" s="722"/>
      <c r="AA39" s="722"/>
      <c r="AB39" s="722"/>
      <c r="AC39" s="722"/>
    </row>
    <row r="40" spans="1:29" x14ac:dyDescent="0.3">
      <c r="A40" s="726">
        <v>18067</v>
      </c>
      <c r="B40" s="727"/>
      <c r="C40" s="720" t="s">
        <v>2112</v>
      </c>
      <c r="D40" s="173" t="s">
        <v>337</v>
      </c>
      <c r="E40" s="721">
        <v>4900839.09</v>
      </c>
      <c r="F40" s="723">
        <v>0</v>
      </c>
      <c r="G40" s="723">
        <v>0</v>
      </c>
      <c r="H40" s="723">
        <v>0</v>
      </c>
      <c r="I40" s="723">
        <v>-83102.45</v>
      </c>
      <c r="J40" s="723">
        <v>0</v>
      </c>
      <c r="K40" s="723">
        <v>0</v>
      </c>
      <c r="L40" s="723">
        <v>0</v>
      </c>
      <c r="M40" s="723">
        <v>0</v>
      </c>
      <c r="N40" s="723">
        <v>0</v>
      </c>
      <c r="O40" s="723">
        <v>0</v>
      </c>
      <c r="P40" s="722">
        <f>SUM(E40:O40)</f>
        <v>4817736.6399999997</v>
      </c>
      <c r="Q40" s="728">
        <v>0</v>
      </c>
      <c r="R40" s="722">
        <f>P40+Q40</f>
        <v>4817736.6399999997</v>
      </c>
      <c r="S40" s="721">
        <v>4983941.54</v>
      </c>
      <c r="T40" s="693"/>
      <c r="U40" s="721">
        <v>0</v>
      </c>
      <c r="V40" s="721"/>
      <c r="W40" s="721">
        <f>S40-U40</f>
        <v>4983941.54</v>
      </c>
      <c r="X40" s="721">
        <f>R40-S40</f>
        <v>-166204.90000000037</v>
      </c>
      <c r="Y40" s="721"/>
      <c r="Z40" s="722"/>
      <c r="AA40" s="722"/>
      <c r="AB40" s="722"/>
      <c r="AC40" s="722"/>
    </row>
    <row r="41" spans="1:29" x14ac:dyDescent="0.3">
      <c r="A41" s="726">
        <v>18099</v>
      </c>
      <c r="B41" s="693"/>
      <c r="C41" s="695" t="s">
        <v>2718</v>
      </c>
      <c r="D41" s="173" t="s">
        <v>337</v>
      </c>
      <c r="E41" s="742">
        <v>-4900839.0999999996</v>
      </c>
      <c r="F41" s="742">
        <v>0</v>
      </c>
      <c r="G41" s="742">
        <v>0</v>
      </c>
      <c r="H41" s="742">
        <v>0</v>
      </c>
      <c r="I41" s="742">
        <v>83102.44</v>
      </c>
      <c r="J41" s="750">
        <v>0</v>
      </c>
      <c r="K41" s="750">
        <v>0</v>
      </c>
      <c r="L41" s="750">
        <v>0</v>
      </c>
      <c r="M41" s="750">
        <v>0</v>
      </c>
      <c r="N41" s="750">
        <v>0</v>
      </c>
      <c r="O41" s="750">
        <v>0</v>
      </c>
      <c r="P41" s="742">
        <f>SUM(E41:O41)</f>
        <v>-4817736.6599999992</v>
      </c>
      <c r="Q41" s="750">
        <v>0</v>
      </c>
      <c r="R41" s="742">
        <f>P41+Q41</f>
        <v>-4817736.6599999992</v>
      </c>
      <c r="S41" s="742">
        <v>-4983941.54</v>
      </c>
      <c r="T41" s="693"/>
      <c r="U41" s="740">
        <v>0</v>
      </c>
      <c r="V41" s="751"/>
      <c r="W41" s="721">
        <f>S41-U41</f>
        <v>-4983941.54</v>
      </c>
      <c r="X41" s="721">
        <f>R41-S41</f>
        <v>166204.88000000082</v>
      </c>
      <c r="Y41" s="751"/>
      <c r="Z41" s="693"/>
      <c r="AA41" s="693"/>
      <c r="AB41" s="693"/>
      <c r="AC41" s="693"/>
    </row>
    <row r="42" spans="1:29" ht="15" thickBot="1" x14ac:dyDescent="0.35">
      <c r="A42" s="693"/>
      <c r="B42" s="727"/>
      <c r="C42" s="752"/>
      <c r="D42" s="752"/>
      <c r="E42" s="753">
        <f t="shared" ref="E42:S42" si="5">SUM(E39:E41)</f>
        <v>1797677551.73</v>
      </c>
      <c r="F42" s="753">
        <f t="shared" si="5"/>
        <v>-362776.64000000048</v>
      </c>
      <c r="G42" s="753">
        <f t="shared" si="5"/>
        <v>-273904.11</v>
      </c>
      <c r="H42" s="753">
        <f t="shared" si="5"/>
        <v>250196.44</v>
      </c>
      <c r="I42" s="753">
        <f t="shared" si="5"/>
        <v>21541097.630000003</v>
      </c>
      <c r="J42" s="753">
        <f t="shared" si="5"/>
        <v>54939.97</v>
      </c>
      <c r="K42" s="753">
        <f t="shared" si="5"/>
        <v>0</v>
      </c>
      <c r="L42" s="753">
        <f t="shared" si="5"/>
        <v>0</v>
      </c>
      <c r="M42" s="753">
        <f t="shared" si="5"/>
        <v>0</v>
      </c>
      <c r="N42" s="753">
        <f t="shared" si="5"/>
        <v>361532669.38</v>
      </c>
      <c r="O42" s="753">
        <f t="shared" si="5"/>
        <v>16238286.329999998</v>
      </c>
      <c r="P42" s="753">
        <f t="shared" si="5"/>
        <v>2196658060.7300005</v>
      </c>
      <c r="Q42" s="753">
        <f t="shared" si="5"/>
        <v>-7657416.349999995</v>
      </c>
      <c r="R42" s="753">
        <f t="shared" si="5"/>
        <v>2189000644.3800001</v>
      </c>
      <c r="S42" s="753">
        <f t="shared" si="5"/>
        <v>2189000644.4000001</v>
      </c>
      <c r="T42" s="754"/>
      <c r="U42" s="754">
        <f>SUM(U39:U41)</f>
        <v>2188746266.3600001</v>
      </c>
      <c r="V42" s="721"/>
      <c r="W42" s="753">
        <f>SUM(W39:W41)</f>
        <v>254378.04000000004</v>
      </c>
      <c r="X42" s="753">
        <f>SUM(X39:X41)</f>
        <v>-1.9999999989522621E-2</v>
      </c>
      <c r="Y42" s="721"/>
      <c r="Z42" s="722"/>
      <c r="AA42" s="722"/>
      <c r="AB42" s="722"/>
      <c r="AC42" s="722"/>
    </row>
    <row r="43" spans="1:29" x14ac:dyDescent="0.3">
      <c r="A43" s="693"/>
      <c r="B43" s="727"/>
      <c r="C43" s="693"/>
      <c r="D43" s="693"/>
      <c r="E43" s="755"/>
      <c r="F43" s="705" t="s">
        <v>2647</v>
      </c>
      <c r="G43" s="705" t="s">
        <v>2642</v>
      </c>
      <c r="H43" s="705" t="s">
        <v>2642</v>
      </c>
      <c r="I43" s="756" t="s">
        <v>2644</v>
      </c>
      <c r="J43" s="756" t="s">
        <v>2644</v>
      </c>
      <c r="K43" s="756" t="s">
        <v>2656</v>
      </c>
      <c r="L43" s="756" t="s">
        <v>2654</v>
      </c>
      <c r="M43" s="756" t="s">
        <v>2654</v>
      </c>
      <c r="N43" s="756" t="s">
        <v>2651</v>
      </c>
      <c r="O43" s="756" t="s">
        <v>2651</v>
      </c>
      <c r="P43" s="755"/>
      <c r="Q43" s="755"/>
      <c r="R43" s="755"/>
      <c r="S43" s="721"/>
      <c r="T43" s="693"/>
      <c r="U43" s="721"/>
      <c r="V43" s="757"/>
      <c r="W43" s="757"/>
      <c r="X43" s="757"/>
      <c r="Y43" s="751"/>
      <c r="Z43" s="693"/>
      <c r="AA43" s="693"/>
      <c r="AB43" s="693"/>
      <c r="AC43" s="693"/>
    </row>
    <row r="44" spans="1:29" x14ac:dyDescent="0.3">
      <c r="A44" s="693"/>
      <c r="B44" s="727"/>
      <c r="C44" s="693"/>
      <c r="D44" s="693"/>
      <c r="E44" s="755"/>
      <c r="F44" s="758"/>
      <c r="G44" s="758"/>
      <c r="H44" s="758"/>
      <c r="I44" s="755"/>
      <c r="J44" s="755"/>
      <c r="M44" s="755"/>
      <c r="N44" s="755"/>
      <c r="O44" s="755"/>
      <c r="P44" s="755"/>
      <c r="Q44" s="755" t="s">
        <v>2621</v>
      </c>
      <c r="R44" s="755">
        <v>2189000644.4000001</v>
      </c>
      <c r="S44" s="721"/>
      <c r="T44" s="693"/>
      <c r="U44" s="721"/>
      <c r="V44" s="759"/>
      <c r="W44" s="759"/>
      <c r="X44" s="759"/>
      <c r="Y44" s="693"/>
      <c r="Z44" s="693"/>
      <c r="AA44" s="693"/>
      <c r="AB44" s="693"/>
      <c r="AC44" s="693"/>
    </row>
    <row r="45" spans="1:29" x14ac:dyDescent="0.3">
      <c r="A45" s="693"/>
      <c r="B45" s="727"/>
      <c r="C45" s="693"/>
      <c r="D45" s="693"/>
      <c r="E45" s="755"/>
      <c r="F45" s="758"/>
      <c r="G45" s="758"/>
      <c r="H45" s="758"/>
      <c r="I45" s="755"/>
      <c r="J45" s="755"/>
      <c r="M45" s="755"/>
      <c r="N45" s="755"/>
      <c r="O45" s="755"/>
      <c r="P45" s="755"/>
      <c r="Q45" s="755" t="s">
        <v>1954</v>
      </c>
      <c r="R45" s="755">
        <f>R44-R42</f>
        <v>1.9999980926513672E-2</v>
      </c>
      <c r="S45" s="721"/>
      <c r="T45" s="693"/>
      <c r="U45" s="721"/>
      <c r="V45" s="759"/>
      <c r="W45" s="759"/>
      <c r="X45" s="759"/>
      <c r="Y45" s="693"/>
      <c r="Z45" s="693"/>
      <c r="AA45" s="693"/>
      <c r="AB45" s="693"/>
      <c r="AC45" s="693"/>
    </row>
    <row r="46" spans="1:29" x14ac:dyDescent="0.3">
      <c r="A46" s="693"/>
      <c r="B46" s="727"/>
      <c r="C46" s="693"/>
      <c r="D46" s="693"/>
      <c r="E46" s="755"/>
      <c r="F46" s="758"/>
      <c r="G46" s="758"/>
      <c r="H46" s="758"/>
      <c r="I46" s="756" t="s">
        <v>2719</v>
      </c>
      <c r="J46" s="760" t="s">
        <v>2720</v>
      </c>
      <c r="K46" s="700" t="s">
        <v>2677</v>
      </c>
      <c r="L46" s="700" t="s">
        <v>2675</v>
      </c>
      <c r="M46" s="700" t="s">
        <v>2676</v>
      </c>
      <c r="N46" s="700" t="s">
        <v>2676</v>
      </c>
      <c r="O46" s="755"/>
      <c r="P46" s="755"/>
      <c r="Q46" s="755"/>
      <c r="R46" s="755"/>
      <c r="S46" s="693"/>
      <c r="T46" s="693"/>
      <c r="U46" s="721"/>
      <c r="V46" s="759"/>
      <c r="W46" s="759"/>
      <c r="X46" s="759"/>
      <c r="Y46" s="693"/>
      <c r="Z46" s="693"/>
      <c r="AA46" s="693"/>
      <c r="AB46" s="693"/>
      <c r="AC46" s="693"/>
    </row>
    <row r="47" spans="1:29" x14ac:dyDescent="0.3">
      <c r="A47" s="693"/>
      <c r="B47" s="727"/>
      <c r="C47" s="693"/>
      <c r="D47" s="693"/>
      <c r="E47" s="755"/>
      <c r="F47" s="758"/>
      <c r="G47" s="758"/>
      <c r="H47" s="758"/>
      <c r="I47" s="704" t="s">
        <v>2721</v>
      </c>
      <c r="J47" s="704" t="s">
        <v>2721</v>
      </c>
      <c r="K47" s="761"/>
      <c r="L47" s="761"/>
      <c r="M47" s="704" t="s">
        <v>2681</v>
      </c>
      <c r="N47" s="704" t="s">
        <v>2681</v>
      </c>
      <c r="O47" s="755"/>
      <c r="P47" s="755"/>
      <c r="R47" s="755"/>
      <c r="S47" s="693"/>
      <c r="T47" s="693"/>
      <c r="U47" s="721"/>
      <c r="V47" s="759"/>
      <c r="W47" s="759"/>
      <c r="X47" s="759"/>
      <c r="Y47" s="693"/>
      <c r="Z47" s="693"/>
      <c r="AA47" s="693"/>
      <c r="AB47" s="693"/>
      <c r="AC47" s="693"/>
    </row>
    <row r="48" spans="1:29" x14ac:dyDescent="0.3">
      <c r="A48" s="700"/>
      <c r="B48" s="762"/>
      <c r="C48" s="700"/>
      <c r="D48" s="700"/>
      <c r="E48" s="700" t="s">
        <v>2610</v>
      </c>
      <c r="F48" s="708"/>
      <c r="G48" s="699"/>
      <c r="H48" s="699"/>
      <c r="I48" s="704" t="s">
        <v>2611</v>
      </c>
      <c r="J48" s="763" t="s">
        <v>2722</v>
      </c>
      <c r="K48" s="704" t="s">
        <v>2722</v>
      </c>
      <c r="L48" s="704" t="s">
        <v>2723</v>
      </c>
      <c r="M48" s="704" t="s">
        <v>2648</v>
      </c>
      <c r="N48" s="704" t="s">
        <v>2648</v>
      </c>
      <c r="O48" s="700"/>
      <c r="P48" s="700"/>
      <c r="Q48" s="705" t="s">
        <v>2683</v>
      </c>
      <c r="R48" s="700"/>
      <c r="S48" s="708"/>
      <c r="T48" s="708"/>
      <c r="U48" s="699"/>
      <c r="V48" s="700"/>
      <c r="W48" s="700"/>
      <c r="X48" s="700"/>
      <c r="Y48" s="700"/>
      <c r="Z48" s="700"/>
      <c r="AA48" s="700"/>
      <c r="AB48" s="700"/>
      <c r="AC48" s="700"/>
    </row>
    <row r="49" spans="1:29" x14ac:dyDescent="0.3">
      <c r="A49" s="764" t="s">
        <v>341</v>
      </c>
      <c r="B49" s="765"/>
      <c r="C49" s="766"/>
      <c r="D49" s="766"/>
      <c r="E49" s="766" t="s">
        <v>2620</v>
      </c>
      <c r="F49" s="767"/>
      <c r="G49" s="768"/>
      <c r="H49" s="768"/>
      <c r="I49" s="769" t="s">
        <v>2724</v>
      </c>
      <c r="J49" s="769" t="s">
        <v>2724</v>
      </c>
      <c r="K49" s="770"/>
      <c r="L49" s="770"/>
      <c r="M49" s="770"/>
      <c r="N49" s="770"/>
      <c r="O49" s="766"/>
      <c r="P49" s="766" t="s">
        <v>2620</v>
      </c>
      <c r="Q49" s="771" t="s">
        <v>2688</v>
      </c>
      <c r="R49" s="766" t="s">
        <v>2684</v>
      </c>
      <c r="S49" s="768" t="s">
        <v>2725</v>
      </c>
      <c r="T49" s="767"/>
      <c r="U49" s="768" t="s">
        <v>2685</v>
      </c>
      <c r="V49" s="766"/>
      <c r="W49" s="766" t="s">
        <v>1954</v>
      </c>
      <c r="X49" s="700"/>
      <c r="Y49" s="700"/>
      <c r="Z49" s="700"/>
      <c r="AA49" s="700"/>
      <c r="AB49" s="700"/>
      <c r="AC49" s="700"/>
    </row>
    <row r="50" spans="1:29" x14ac:dyDescent="0.3">
      <c r="A50" s="693"/>
      <c r="B50" s="727"/>
      <c r="C50" s="693"/>
      <c r="D50" s="693"/>
      <c r="E50" s="722"/>
      <c r="F50" s="693"/>
      <c r="G50" s="693"/>
      <c r="H50" s="693"/>
      <c r="I50" s="722"/>
      <c r="J50" s="722"/>
      <c r="K50" s="654"/>
      <c r="O50" s="722"/>
      <c r="P50" s="722"/>
      <c r="Q50" s="722"/>
      <c r="R50" s="722"/>
      <c r="S50" s="693"/>
      <c r="T50" s="693"/>
      <c r="U50" s="721"/>
      <c r="V50" s="722"/>
      <c r="W50" s="722"/>
      <c r="X50" s="722"/>
      <c r="Y50" s="693"/>
      <c r="Z50" s="693"/>
      <c r="AA50" s="693"/>
      <c r="AB50" s="693"/>
      <c r="AC50" s="693"/>
    </row>
    <row r="51" spans="1:29" x14ac:dyDescent="0.3">
      <c r="A51" s="726">
        <v>18320</v>
      </c>
      <c r="B51" s="727"/>
      <c r="C51" s="695" t="s">
        <v>2726</v>
      </c>
      <c r="D51" s="173" t="s">
        <v>333</v>
      </c>
      <c r="E51" s="721">
        <v>-7431883.9000000004</v>
      </c>
      <c r="F51" s="693"/>
      <c r="G51" s="722">
        <v>0</v>
      </c>
      <c r="H51" s="722">
        <v>0</v>
      </c>
      <c r="I51" s="721">
        <v>-793219.7200000002</v>
      </c>
      <c r="J51" s="721"/>
      <c r="K51" s="721"/>
      <c r="L51" s="721"/>
      <c r="M51" s="721"/>
      <c r="N51" s="722"/>
      <c r="O51" s="722"/>
      <c r="P51" s="722">
        <f t="shared" ref="P51:P74" si="6">SUM(E51:O51)</f>
        <v>-8225103.620000001</v>
      </c>
      <c r="Q51" s="722">
        <v>0</v>
      </c>
      <c r="R51" s="721">
        <f t="shared" ref="R51:R74" si="7">P51+Q51</f>
        <v>-8225103.620000001</v>
      </c>
      <c r="S51" s="721">
        <v>-8225103.6200000001</v>
      </c>
      <c r="T51" s="772"/>
      <c r="U51" s="721">
        <v>-8225103.6200000001</v>
      </c>
      <c r="V51" s="722"/>
      <c r="W51" s="722">
        <f t="shared" ref="W51:W74" si="8">S51-U51</f>
        <v>0</v>
      </c>
      <c r="X51" s="722">
        <f t="shared" ref="X51:X74" si="9">R51-S51</f>
        <v>0</v>
      </c>
      <c r="Y51" s="693"/>
      <c r="Z51" s="693"/>
      <c r="AA51" s="693"/>
      <c r="AB51" s="693"/>
      <c r="AC51" s="693"/>
    </row>
    <row r="52" spans="1:29" x14ac:dyDescent="0.3">
      <c r="A52" s="726">
        <v>18330</v>
      </c>
      <c r="B52" s="727"/>
      <c r="C52" s="695" t="s">
        <v>2727</v>
      </c>
      <c r="D52" s="173" t="s">
        <v>334</v>
      </c>
      <c r="E52" s="721">
        <v>-162221505.46000001</v>
      </c>
      <c r="F52" s="693"/>
      <c r="G52" s="722">
        <v>0</v>
      </c>
      <c r="H52" s="722">
        <v>0</v>
      </c>
      <c r="I52" s="721">
        <v>-12008462.899999997</v>
      </c>
      <c r="J52" s="721"/>
      <c r="K52" s="721"/>
      <c r="L52" s="721"/>
      <c r="M52" s="721"/>
      <c r="N52" s="722"/>
      <c r="O52" s="722"/>
      <c r="P52" s="722">
        <f t="shared" si="6"/>
        <v>-174229968.36000001</v>
      </c>
      <c r="Q52" s="722">
        <v>16777.54</v>
      </c>
      <c r="R52" s="721">
        <f t="shared" si="7"/>
        <v>-174213190.82000002</v>
      </c>
      <c r="S52" s="721">
        <v>-174213190.81999999</v>
      </c>
      <c r="T52" s="772"/>
      <c r="U52" s="721">
        <f>-173828424.57-384766.25</f>
        <v>-174213190.81999999</v>
      </c>
      <c r="V52" s="746"/>
      <c r="W52" s="722">
        <f t="shared" si="8"/>
        <v>0</v>
      </c>
      <c r="X52" s="722">
        <f t="shared" si="9"/>
        <v>0</v>
      </c>
    </row>
    <row r="53" spans="1:29" x14ac:dyDescent="0.3">
      <c r="A53" s="726">
        <v>18330</v>
      </c>
      <c r="B53" s="727">
        <v>3000</v>
      </c>
      <c r="C53" s="695" t="s">
        <v>2728</v>
      </c>
      <c r="D53" s="173" t="s">
        <v>334</v>
      </c>
      <c r="E53" s="721">
        <v>-35219147.329999998</v>
      </c>
      <c r="F53" s="693"/>
      <c r="G53" s="722">
        <v>0</v>
      </c>
      <c r="H53" s="722">
        <v>0</v>
      </c>
      <c r="I53" s="721">
        <v>-5077903.08</v>
      </c>
      <c r="J53" s="721"/>
      <c r="K53" s="721"/>
      <c r="L53" s="721"/>
      <c r="M53" s="721"/>
      <c r="N53" s="722"/>
      <c r="O53" s="722"/>
      <c r="P53" s="722">
        <f t="shared" si="6"/>
        <v>-40297050.409999996</v>
      </c>
      <c r="Q53" s="722">
        <v>0</v>
      </c>
      <c r="R53" s="721">
        <f t="shared" si="7"/>
        <v>-40297050.409999996</v>
      </c>
      <c r="S53" s="721">
        <v>-40297050.409999996</v>
      </c>
      <c r="T53" s="772"/>
      <c r="U53" s="721">
        <v>-40297050.409999996</v>
      </c>
      <c r="V53" s="722"/>
      <c r="W53" s="722">
        <f t="shared" si="8"/>
        <v>0</v>
      </c>
      <c r="X53" s="722">
        <f t="shared" si="9"/>
        <v>0</v>
      </c>
    </row>
    <row r="54" spans="1:29" x14ac:dyDescent="0.3">
      <c r="A54" s="726">
        <v>18330</v>
      </c>
      <c r="B54" s="727">
        <v>3100</v>
      </c>
      <c r="C54" s="695" t="s">
        <v>2729</v>
      </c>
      <c r="D54" s="173" t="s">
        <v>334</v>
      </c>
      <c r="E54" s="721">
        <v>-50015.23</v>
      </c>
      <c r="F54" s="693"/>
      <c r="G54" s="722">
        <v>0</v>
      </c>
      <c r="H54" s="722">
        <v>0</v>
      </c>
      <c r="I54" s="721"/>
      <c r="J54" s="721"/>
      <c r="K54" s="721"/>
      <c r="L54" s="721"/>
      <c r="M54" s="721"/>
      <c r="N54" s="722"/>
      <c r="O54" s="722"/>
      <c r="P54" s="722">
        <f t="shared" si="6"/>
        <v>-50015.23</v>
      </c>
      <c r="Q54" s="722">
        <v>0</v>
      </c>
      <c r="R54" s="721">
        <f t="shared" si="7"/>
        <v>-50015.23</v>
      </c>
      <c r="S54" s="721">
        <v>-50015.23</v>
      </c>
      <c r="T54" s="772"/>
      <c r="U54" s="721">
        <v>-50015.23</v>
      </c>
      <c r="V54" s="722"/>
      <c r="W54" s="722">
        <f t="shared" si="8"/>
        <v>0</v>
      </c>
      <c r="X54" s="722">
        <f t="shared" si="9"/>
        <v>0</v>
      </c>
    </row>
    <row r="55" spans="1:29" x14ac:dyDescent="0.3">
      <c r="A55" s="726">
        <v>18340</v>
      </c>
      <c r="B55" s="727"/>
      <c r="C55" s="695" t="s">
        <v>2730</v>
      </c>
      <c r="D55" s="173" t="s">
        <v>336</v>
      </c>
      <c r="E55" s="721">
        <v>-24871152.09</v>
      </c>
      <c r="F55" s="693"/>
      <c r="G55" s="722">
        <v>0</v>
      </c>
      <c r="H55" s="722">
        <v>0</v>
      </c>
      <c r="I55" s="721">
        <v>-2581685.6599999997</v>
      </c>
      <c r="J55" s="721"/>
      <c r="K55" s="721"/>
      <c r="L55" s="721"/>
      <c r="M55" s="721"/>
      <c r="N55" s="722"/>
      <c r="O55" s="722"/>
      <c r="P55" s="722">
        <f t="shared" si="6"/>
        <v>-27452837.75</v>
      </c>
      <c r="Q55" s="722">
        <v>0</v>
      </c>
      <c r="R55" s="721">
        <f t="shared" si="7"/>
        <v>-27452837.75</v>
      </c>
      <c r="S55" s="721">
        <v>-27452837.75</v>
      </c>
      <c r="T55" s="772"/>
      <c r="U55" s="721">
        <v>-27452837.75</v>
      </c>
      <c r="V55" s="722"/>
      <c r="W55" s="722">
        <f t="shared" si="8"/>
        <v>0</v>
      </c>
      <c r="X55" s="722">
        <f t="shared" si="9"/>
        <v>0</v>
      </c>
    </row>
    <row r="56" spans="1:29" x14ac:dyDescent="0.3">
      <c r="A56" s="726">
        <v>18340</v>
      </c>
      <c r="B56" s="727">
        <v>3000</v>
      </c>
      <c r="C56" s="695" t="s">
        <v>2731</v>
      </c>
      <c r="D56" s="173" t="s">
        <v>336</v>
      </c>
      <c r="E56" s="721">
        <v>-169550.85</v>
      </c>
      <c r="F56" s="693"/>
      <c r="G56" s="722">
        <v>0</v>
      </c>
      <c r="H56" s="722">
        <v>0</v>
      </c>
      <c r="I56" s="721">
        <v>-31844.260000000002</v>
      </c>
      <c r="J56" s="721"/>
      <c r="K56" s="721"/>
      <c r="L56" s="721"/>
      <c r="M56" s="721"/>
      <c r="N56" s="722"/>
      <c r="O56" s="722"/>
      <c r="P56" s="722">
        <f t="shared" si="6"/>
        <v>-201395.11000000002</v>
      </c>
      <c r="Q56" s="722">
        <v>0</v>
      </c>
      <c r="R56" s="721">
        <f t="shared" si="7"/>
        <v>-201395.11000000002</v>
      </c>
      <c r="S56" s="721">
        <v>-201395.11</v>
      </c>
      <c r="T56" s="772"/>
      <c r="U56" s="721">
        <v>-201395.11</v>
      </c>
      <c r="V56" s="722"/>
      <c r="W56" s="722">
        <f t="shared" si="8"/>
        <v>0</v>
      </c>
      <c r="X56" s="722">
        <f t="shared" si="9"/>
        <v>0</v>
      </c>
    </row>
    <row r="57" spans="1:29" x14ac:dyDescent="0.3">
      <c r="A57" s="726">
        <v>18340</v>
      </c>
      <c r="B57" s="727">
        <v>3100</v>
      </c>
      <c r="C57" s="695" t="s">
        <v>2732</v>
      </c>
      <c r="D57" s="173" t="s">
        <v>336</v>
      </c>
      <c r="E57" s="721">
        <v>-36340.42</v>
      </c>
      <c r="F57" s="693"/>
      <c r="G57" s="722">
        <v>0</v>
      </c>
      <c r="H57" s="722">
        <v>0</v>
      </c>
      <c r="I57" s="721">
        <v>-2595.7399999999998</v>
      </c>
      <c r="J57" s="721"/>
      <c r="K57" s="721"/>
      <c r="L57" s="721"/>
      <c r="M57" s="721"/>
      <c r="N57" s="722"/>
      <c r="O57" s="722"/>
      <c r="P57" s="722">
        <f t="shared" si="6"/>
        <v>-38936.159999999996</v>
      </c>
      <c r="Q57" s="722">
        <v>0</v>
      </c>
      <c r="R57" s="721">
        <f t="shared" si="7"/>
        <v>-38936.159999999996</v>
      </c>
      <c r="S57" s="721">
        <v>-38936.160000000003</v>
      </c>
      <c r="T57" s="772"/>
      <c r="U57" s="721">
        <v>-38936.160000000003</v>
      </c>
      <c r="V57" s="722"/>
      <c r="W57" s="722">
        <f t="shared" si="8"/>
        <v>0</v>
      </c>
      <c r="X57" s="722">
        <f t="shared" si="9"/>
        <v>0</v>
      </c>
    </row>
    <row r="58" spans="1:29" x14ac:dyDescent="0.3">
      <c r="A58" s="726">
        <v>18350</v>
      </c>
      <c r="B58" s="727"/>
      <c r="C58" s="695" t="s">
        <v>2733</v>
      </c>
      <c r="D58" s="173" t="s">
        <v>334</v>
      </c>
      <c r="E58" s="721">
        <v>-143626000.90000001</v>
      </c>
      <c r="F58" s="693"/>
      <c r="G58" s="722">
        <v>0</v>
      </c>
      <c r="H58" s="722">
        <v>0</v>
      </c>
      <c r="I58" s="721">
        <v>-16651826.530000014</v>
      </c>
      <c r="J58" s="721">
        <v>-1071.5</v>
      </c>
      <c r="K58" s="721">
        <v>0.01</v>
      </c>
      <c r="L58" s="721"/>
      <c r="M58" s="721"/>
      <c r="N58" s="722"/>
      <c r="O58" s="722"/>
      <c r="P58" s="722">
        <f t="shared" si="6"/>
        <v>-160278898.92000002</v>
      </c>
      <c r="Q58" s="722">
        <v>125599.47</v>
      </c>
      <c r="R58" s="721">
        <f t="shared" si="7"/>
        <v>-160153299.45000002</v>
      </c>
      <c r="S58" s="721">
        <v>-160153299.44999999</v>
      </c>
      <c r="T58" s="772"/>
      <c r="U58" s="721">
        <f>-160114643.53-38655.93</f>
        <v>-160153299.46000001</v>
      </c>
      <c r="V58" s="722"/>
      <c r="W58" s="722">
        <f t="shared" si="8"/>
        <v>1.0000020265579224E-2</v>
      </c>
      <c r="X58" s="722">
        <f t="shared" si="9"/>
        <v>0</v>
      </c>
    </row>
    <row r="59" spans="1:29" x14ac:dyDescent="0.3">
      <c r="A59" s="726">
        <v>18350</v>
      </c>
      <c r="B59" s="727">
        <v>3000</v>
      </c>
      <c r="C59" s="695" t="s">
        <v>2734</v>
      </c>
      <c r="D59" s="173" t="s">
        <v>334</v>
      </c>
      <c r="E59" s="721">
        <v>-5114414.3499999996</v>
      </c>
      <c r="F59" s="693"/>
      <c r="G59" s="722">
        <v>0</v>
      </c>
      <c r="H59" s="722">
        <v>0</v>
      </c>
      <c r="I59" s="721">
        <v>-1447196.2900000003</v>
      </c>
      <c r="J59" s="721"/>
      <c r="K59" s="721">
        <v>-9580.85</v>
      </c>
      <c r="L59" s="721"/>
      <c r="M59" s="721"/>
      <c r="N59" s="722"/>
      <c r="O59" s="722"/>
      <c r="P59" s="722">
        <f t="shared" si="6"/>
        <v>-6571191.4899999993</v>
      </c>
      <c r="Q59" s="722">
        <v>0</v>
      </c>
      <c r="R59" s="721">
        <f t="shared" si="7"/>
        <v>-6571191.4899999993</v>
      </c>
      <c r="S59" s="721">
        <v>-6571191.4900000002</v>
      </c>
      <c r="T59" s="772"/>
      <c r="U59" s="721">
        <v>-6561610.6399999997</v>
      </c>
      <c r="V59" s="722"/>
      <c r="W59" s="722">
        <f t="shared" si="8"/>
        <v>-9580.8500000005588</v>
      </c>
      <c r="X59" s="722">
        <f t="shared" si="9"/>
        <v>0</v>
      </c>
    </row>
    <row r="60" spans="1:29" x14ac:dyDescent="0.3">
      <c r="A60" s="726">
        <v>18350</v>
      </c>
      <c r="B60" s="727">
        <v>3100</v>
      </c>
      <c r="C60" s="695" t="s">
        <v>2735</v>
      </c>
      <c r="D60" s="173" t="s">
        <v>334</v>
      </c>
      <c r="E60" s="721">
        <v>-15577197.77</v>
      </c>
      <c r="F60" s="693"/>
      <c r="G60" s="722">
        <v>0</v>
      </c>
      <c r="H60" s="722">
        <v>0</v>
      </c>
      <c r="I60" s="721">
        <v>-1682558.7500000002</v>
      </c>
      <c r="J60" s="721"/>
      <c r="K60" s="721"/>
      <c r="L60" s="721"/>
      <c r="M60" s="721"/>
      <c r="N60" s="722"/>
      <c r="O60" s="722"/>
      <c r="P60" s="722">
        <f t="shared" si="6"/>
        <v>-17259756.52</v>
      </c>
      <c r="Q60" s="722">
        <v>0</v>
      </c>
      <c r="R60" s="721">
        <f t="shared" si="7"/>
        <v>-17259756.52</v>
      </c>
      <c r="S60" s="721">
        <v>-17259756.52</v>
      </c>
      <c r="T60" s="772"/>
      <c r="U60" s="721">
        <v>-17259756.52</v>
      </c>
      <c r="V60" s="722"/>
      <c r="W60" s="722">
        <f t="shared" si="8"/>
        <v>0</v>
      </c>
      <c r="X60" s="722">
        <f t="shared" si="9"/>
        <v>0</v>
      </c>
    </row>
    <row r="61" spans="1:29" x14ac:dyDescent="0.3">
      <c r="A61" s="726">
        <v>18350</v>
      </c>
      <c r="B61" s="727">
        <v>3950</v>
      </c>
      <c r="C61" s="695" t="s">
        <v>2736</v>
      </c>
      <c r="D61" s="173" t="s">
        <v>334</v>
      </c>
      <c r="E61" s="721">
        <v>-11771190.640000001</v>
      </c>
      <c r="F61" s="693"/>
      <c r="G61" s="722">
        <v>0</v>
      </c>
      <c r="H61" s="722">
        <v>0</v>
      </c>
      <c r="I61" s="721">
        <v>-1049626.01</v>
      </c>
      <c r="J61" s="721"/>
      <c r="K61" s="721"/>
      <c r="L61" s="721"/>
      <c r="M61" s="721"/>
      <c r="N61" s="722"/>
      <c r="O61" s="722"/>
      <c r="P61" s="722">
        <f t="shared" si="6"/>
        <v>-12820816.65</v>
      </c>
      <c r="Q61" s="722">
        <v>0</v>
      </c>
      <c r="R61" s="721">
        <f t="shared" si="7"/>
        <v>-12820816.65</v>
      </c>
      <c r="S61" s="721">
        <v>-12820816.65</v>
      </c>
      <c r="T61" s="772"/>
      <c r="U61" s="721">
        <v>-12820816.65</v>
      </c>
      <c r="V61" s="722"/>
      <c r="W61" s="722">
        <f t="shared" si="8"/>
        <v>0</v>
      </c>
      <c r="X61" s="722">
        <f t="shared" si="9"/>
        <v>0</v>
      </c>
    </row>
    <row r="62" spans="1:29" s="732" customFormat="1" x14ac:dyDescent="0.3">
      <c r="A62" s="729">
        <v>18360</v>
      </c>
      <c r="B62" s="730">
        <v>1000</v>
      </c>
      <c r="C62" s="773" t="s">
        <v>2737</v>
      </c>
      <c r="D62" s="173" t="s">
        <v>337</v>
      </c>
      <c r="E62" s="721">
        <v>-316156516.06</v>
      </c>
      <c r="F62" s="751"/>
      <c r="G62" s="721">
        <v>0</v>
      </c>
      <c r="H62" s="721">
        <v>0</v>
      </c>
      <c r="I62" s="721">
        <v>-46974473.680000469</v>
      </c>
      <c r="J62" s="721">
        <v>-68672.01999999999</v>
      </c>
      <c r="K62" s="734">
        <f>3564.81-1237.62</f>
        <v>2327.19</v>
      </c>
      <c r="L62" s="721"/>
      <c r="M62" s="721"/>
      <c r="N62" s="721"/>
      <c r="O62" s="721"/>
      <c r="P62" s="721">
        <f t="shared" si="6"/>
        <v>-363197334.57000047</v>
      </c>
      <c r="Q62" s="721">
        <v>5896951.1099999929</v>
      </c>
      <c r="R62" s="721">
        <f t="shared" si="7"/>
        <v>-357300383.46000046</v>
      </c>
      <c r="S62" s="749">
        <v>-357566407</v>
      </c>
      <c r="T62" s="772"/>
      <c r="U62" s="749">
        <v>-346686628.48000002</v>
      </c>
      <c r="V62" s="721"/>
      <c r="W62" s="749">
        <f t="shared" si="8"/>
        <v>-10879778.519999981</v>
      </c>
      <c r="X62" s="721">
        <f t="shared" si="9"/>
        <v>266023.53999954462</v>
      </c>
    </row>
    <row r="63" spans="1:29" s="732" customFormat="1" x14ac:dyDescent="0.3">
      <c r="A63" s="729">
        <v>18360</v>
      </c>
      <c r="B63" s="730">
        <v>2800</v>
      </c>
      <c r="C63" s="773" t="s">
        <v>2738</v>
      </c>
      <c r="D63" s="173" t="s">
        <v>337</v>
      </c>
      <c r="E63" s="721">
        <v>0</v>
      </c>
      <c r="F63" s="751"/>
      <c r="G63" s="721">
        <v>0</v>
      </c>
      <c r="H63" s="721">
        <v>0</v>
      </c>
      <c r="I63" s="721">
        <v>0</v>
      </c>
      <c r="J63" s="721"/>
      <c r="K63" s="734"/>
      <c r="L63" s="721"/>
      <c r="M63" s="721"/>
      <c r="N63" s="721"/>
      <c r="O63" s="721"/>
      <c r="P63" s="721">
        <f t="shared" si="6"/>
        <v>0</v>
      </c>
      <c r="Q63" s="721">
        <v>0</v>
      </c>
      <c r="R63" s="721">
        <f t="shared" si="7"/>
        <v>0</v>
      </c>
      <c r="S63" s="749">
        <v>0</v>
      </c>
      <c r="T63" s="772"/>
      <c r="U63" s="749">
        <v>0</v>
      </c>
      <c r="V63" s="721"/>
      <c r="W63" s="749">
        <f t="shared" si="8"/>
        <v>0</v>
      </c>
      <c r="X63" s="721">
        <f t="shared" si="9"/>
        <v>0</v>
      </c>
    </row>
    <row r="64" spans="1:29" s="732" customFormat="1" x14ac:dyDescent="0.3">
      <c r="A64" s="729">
        <v>18360</v>
      </c>
      <c r="B64" s="730">
        <v>4100</v>
      </c>
      <c r="C64" s="773" t="s">
        <v>2739</v>
      </c>
      <c r="D64" s="173" t="s">
        <v>337</v>
      </c>
      <c r="E64" s="721">
        <v>0</v>
      </c>
      <c r="F64" s="751"/>
      <c r="G64" s="721">
        <v>0</v>
      </c>
      <c r="H64" s="721">
        <v>0</v>
      </c>
      <c r="I64" s="721">
        <v>-1106797.4300000004</v>
      </c>
      <c r="J64" s="734">
        <v>-544.04999999999995</v>
      </c>
      <c r="K64" s="721"/>
      <c r="L64" s="721"/>
      <c r="M64" s="721"/>
      <c r="N64" s="721"/>
      <c r="O64" s="721"/>
      <c r="P64" s="721">
        <f t="shared" si="6"/>
        <v>-1107341.4800000004</v>
      </c>
      <c r="Q64" s="721">
        <v>8922.16</v>
      </c>
      <c r="R64" s="721">
        <f t="shared" si="7"/>
        <v>-1098419.3200000005</v>
      </c>
      <c r="S64" s="749">
        <v>0</v>
      </c>
      <c r="T64" s="772"/>
      <c r="U64" s="749">
        <v>-8711544.5800000001</v>
      </c>
      <c r="V64" s="721"/>
      <c r="W64" s="749">
        <f t="shared" si="8"/>
        <v>8711544.5800000001</v>
      </c>
      <c r="X64" s="721">
        <f t="shared" si="9"/>
        <v>-1098419.3200000005</v>
      </c>
    </row>
    <row r="65" spans="1:24" s="732" customFormat="1" x14ac:dyDescent="0.3">
      <c r="A65" s="729">
        <v>18360</v>
      </c>
      <c r="B65" s="730">
        <v>5100</v>
      </c>
      <c r="C65" s="773" t="s">
        <v>2740</v>
      </c>
      <c r="D65" s="173" t="s">
        <v>337</v>
      </c>
      <c r="E65" s="721">
        <v>0</v>
      </c>
      <c r="F65" s="751"/>
      <c r="G65" s="721">
        <v>0</v>
      </c>
      <c r="H65" s="721">
        <v>0</v>
      </c>
      <c r="I65" s="721">
        <v>-54486.14</v>
      </c>
      <c r="J65" s="721">
        <v>-989.99</v>
      </c>
      <c r="K65" s="734"/>
      <c r="L65" s="721"/>
      <c r="M65" s="721"/>
      <c r="N65" s="721"/>
      <c r="O65" s="721"/>
      <c r="P65" s="721">
        <f t="shared" si="6"/>
        <v>-55476.13</v>
      </c>
      <c r="Q65" s="721">
        <v>887912.06999999913</v>
      </c>
      <c r="R65" s="721">
        <f t="shared" si="7"/>
        <v>832435.93999999913</v>
      </c>
      <c r="S65" s="749">
        <v>0</v>
      </c>
      <c r="T65" s="772"/>
      <c r="U65" s="749">
        <v>-1905637.15</v>
      </c>
      <c r="V65" s="721"/>
      <c r="W65" s="749">
        <f t="shared" si="8"/>
        <v>1905637.15</v>
      </c>
      <c r="X65" s="721">
        <f t="shared" si="9"/>
        <v>832435.93999999913</v>
      </c>
    </row>
    <row r="66" spans="1:24" s="732" customFormat="1" x14ac:dyDescent="0.3">
      <c r="A66" s="729">
        <v>18360</v>
      </c>
      <c r="B66" s="730">
        <v>7200</v>
      </c>
      <c r="C66" s="773" t="s">
        <v>2741</v>
      </c>
      <c r="D66" s="173" t="s">
        <v>337</v>
      </c>
      <c r="E66" s="721">
        <v>0</v>
      </c>
      <c r="F66" s="751"/>
      <c r="G66" s="721">
        <v>0</v>
      </c>
      <c r="H66" s="721">
        <v>0</v>
      </c>
      <c r="I66" s="721">
        <v>-40.159999999999997</v>
      </c>
      <c r="J66" s="721"/>
      <c r="K66" s="734"/>
      <c r="L66" s="721"/>
      <c r="M66" s="721"/>
      <c r="N66" s="721"/>
      <c r="O66" s="721"/>
      <c r="P66" s="721">
        <f t="shared" si="6"/>
        <v>-40.159999999999997</v>
      </c>
      <c r="Q66" s="721">
        <v>0</v>
      </c>
      <c r="R66" s="721">
        <f t="shared" si="7"/>
        <v>-40.159999999999997</v>
      </c>
      <c r="S66" s="749">
        <v>0</v>
      </c>
      <c r="T66" s="772"/>
      <c r="U66" s="749">
        <v>-213045.96</v>
      </c>
      <c r="V66" s="721"/>
      <c r="W66" s="749">
        <f t="shared" si="8"/>
        <v>213045.96</v>
      </c>
      <c r="X66" s="721">
        <f t="shared" si="9"/>
        <v>-40.159999999999997</v>
      </c>
    </row>
    <row r="67" spans="1:24" s="732" customFormat="1" x14ac:dyDescent="0.3">
      <c r="A67" s="729">
        <v>18360</v>
      </c>
      <c r="B67" s="730">
        <v>9020</v>
      </c>
      <c r="C67" s="773" t="s">
        <v>2742</v>
      </c>
      <c r="D67" s="173" t="s">
        <v>337</v>
      </c>
      <c r="E67" s="721">
        <v>0</v>
      </c>
      <c r="F67" s="751"/>
      <c r="G67" s="721">
        <v>0</v>
      </c>
      <c r="H67" s="721">
        <v>0</v>
      </c>
      <c r="I67" s="721">
        <v>0</v>
      </c>
      <c r="J67" s="721"/>
      <c r="K67" s="734"/>
      <c r="L67" s="721"/>
      <c r="M67" s="721"/>
      <c r="N67" s="721"/>
      <c r="O67" s="721"/>
      <c r="P67" s="721">
        <f t="shared" si="6"/>
        <v>0</v>
      </c>
      <c r="Q67" s="721">
        <v>0</v>
      </c>
      <c r="R67" s="721">
        <f t="shared" si="7"/>
        <v>0</v>
      </c>
      <c r="S67" s="749">
        <v>0</v>
      </c>
      <c r="T67" s="772"/>
      <c r="U67" s="749">
        <v>-49550.83</v>
      </c>
      <c r="V67" s="721"/>
      <c r="W67" s="749">
        <f t="shared" si="8"/>
        <v>49550.83</v>
      </c>
      <c r="X67" s="721">
        <f t="shared" si="9"/>
        <v>0</v>
      </c>
    </row>
    <row r="68" spans="1:24" s="732" customFormat="1" x14ac:dyDescent="0.3">
      <c r="A68" s="729">
        <v>18360</v>
      </c>
      <c r="B68" s="730">
        <v>3000</v>
      </c>
      <c r="C68" s="773" t="s">
        <v>2743</v>
      </c>
      <c r="D68" s="173" t="s">
        <v>337</v>
      </c>
      <c r="E68" s="721">
        <v>-11780445.390000001</v>
      </c>
      <c r="F68" s="751"/>
      <c r="G68" s="721">
        <v>0</v>
      </c>
      <c r="H68" s="721">
        <v>0</v>
      </c>
      <c r="I68" s="721">
        <v>-3141655.6700000074</v>
      </c>
      <c r="J68" s="721"/>
      <c r="K68" s="734">
        <v>-6648.65</v>
      </c>
      <c r="L68" s="721"/>
      <c r="M68" s="721"/>
      <c r="N68" s="721"/>
      <c r="O68" s="721"/>
      <c r="P68" s="721">
        <f t="shared" si="6"/>
        <v>-14928749.710000008</v>
      </c>
      <c r="Q68" s="721">
        <v>15534.43</v>
      </c>
      <c r="R68" s="721">
        <f t="shared" si="7"/>
        <v>-14913215.280000009</v>
      </c>
      <c r="S68" s="721">
        <v>-14913215.279999999</v>
      </c>
      <c r="T68" s="772"/>
      <c r="U68" s="721">
        <v>-14906566.630000001</v>
      </c>
      <c r="V68" s="721"/>
      <c r="W68" s="721">
        <f t="shared" si="8"/>
        <v>-6648.6499999985099</v>
      </c>
      <c r="X68" s="721">
        <f t="shared" si="9"/>
        <v>0</v>
      </c>
    </row>
    <row r="69" spans="1:24" x14ac:dyDescent="0.3">
      <c r="A69" s="726">
        <v>18360</v>
      </c>
      <c r="B69" s="727">
        <v>3100</v>
      </c>
      <c r="C69" s="695" t="s">
        <v>2744</v>
      </c>
      <c r="D69" s="173" t="s">
        <v>337</v>
      </c>
      <c r="E69" s="721">
        <v>-1976853.68</v>
      </c>
      <c r="F69" s="693"/>
      <c r="G69" s="722">
        <v>0</v>
      </c>
      <c r="H69" s="722">
        <v>0</v>
      </c>
      <c r="I69" s="721">
        <v>-76983.459999999628</v>
      </c>
      <c r="J69" s="721"/>
      <c r="K69" s="721"/>
      <c r="L69" s="721"/>
      <c r="M69" s="721"/>
      <c r="N69" s="722"/>
      <c r="O69" s="722"/>
      <c r="P69" s="722">
        <f t="shared" si="6"/>
        <v>-2053837.1399999997</v>
      </c>
      <c r="Q69" s="722">
        <v>0</v>
      </c>
      <c r="R69" s="721">
        <f t="shared" si="7"/>
        <v>-2053837.1399999997</v>
      </c>
      <c r="S69" s="721">
        <v>-2053837.14</v>
      </c>
      <c r="T69" s="772"/>
      <c r="U69" s="721">
        <v>-2053837.14</v>
      </c>
      <c r="V69" s="722"/>
      <c r="W69" s="722">
        <f t="shared" si="8"/>
        <v>0</v>
      </c>
      <c r="X69" s="722">
        <f t="shared" si="9"/>
        <v>0</v>
      </c>
    </row>
    <row r="70" spans="1:24" x14ac:dyDescent="0.3">
      <c r="A70" s="726">
        <v>18360</v>
      </c>
      <c r="B70" s="727">
        <v>3800</v>
      </c>
      <c r="C70" s="695" t="s">
        <v>2745</v>
      </c>
      <c r="D70" s="173" t="s">
        <v>337</v>
      </c>
      <c r="E70" s="721">
        <v>-23542.5</v>
      </c>
      <c r="F70" s="693"/>
      <c r="G70" s="722">
        <v>0</v>
      </c>
      <c r="H70" s="722">
        <v>0</v>
      </c>
      <c r="I70" s="721">
        <v>0</v>
      </c>
      <c r="J70" s="721"/>
      <c r="K70" s="721"/>
      <c r="L70" s="721"/>
      <c r="M70" s="721"/>
      <c r="N70" s="722"/>
      <c r="O70" s="722"/>
      <c r="P70" s="722">
        <f t="shared" si="6"/>
        <v>-23542.5</v>
      </c>
      <c r="Q70" s="722">
        <v>0</v>
      </c>
      <c r="R70" s="721">
        <f t="shared" si="7"/>
        <v>-23542.5</v>
      </c>
      <c r="S70" s="721">
        <v>-23542.5</v>
      </c>
      <c r="T70" s="772"/>
      <c r="U70" s="721">
        <v>-23542.5</v>
      </c>
      <c r="V70" s="722"/>
      <c r="W70" s="722">
        <f t="shared" si="8"/>
        <v>0</v>
      </c>
      <c r="X70" s="722">
        <f t="shared" si="9"/>
        <v>0</v>
      </c>
    </row>
    <row r="71" spans="1:24" x14ac:dyDescent="0.3">
      <c r="A71" s="726">
        <v>18360</v>
      </c>
      <c r="B71" s="727">
        <v>3840</v>
      </c>
      <c r="C71" s="695" t="s">
        <v>2746</v>
      </c>
      <c r="D71" s="173" t="s">
        <v>337</v>
      </c>
      <c r="E71" s="721">
        <v>-5217051.12</v>
      </c>
      <c r="F71" s="693"/>
      <c r="G71" s="722">
        <v>0</v>
      </c>
      <c r="H71" s="722">
        <v>0</v>
      </c>
      <c r="I71" s="721">
        <v>-554888.02000000014</v>
      </c>
      <c r="J71" s="721"/>
      <c r="K71" s="721"/>
      <c r="L71" s="721"/>
      <c r="M71" s="721"/>
      <c r="N71" s="722"/>
      <c r="O71" s="722"/>
      <c r="P71" s="722">
        <f t="shared" si="6"/>
        <v>-5771939.1400000006</v>
      </c>
      <c r="Q71" s="722">
        <v>63968.84</v>
      </c>
      <c r="R71" s="721">
        <f t="shared" si="7"/>
        <v>-5707970.3000000007</v>
      </c>
      <c r="S71" s="721">
        <v>-5707970.2999999998</v>
      </c>
      <c r="T71" s="772"/>
      <c r="U71" s="721">
        <v>-5707970.2999999998</v>
      </c>
      <c r="V71" s="722"/>
      <c r="W71" s="722">
        <f t="shared" si="8"/>
        <v>0</v>
      </c>
      <c r="X71" s="722">
        <f t="shared" si="9"/>
        <v>0</v>
      </c>
    </row>
    <row r="72" spans="1:24" x14ac:dyDescent="0.3">
      <c r="A72" s="726">
        <v>18360</v>
      </c>
      <c r="B72" s="727">
        <v>3950</v>
      </c>
      <c r="C72" s="695" t="s">
        <v>2747</v>
      </c>
      <c r="D72" s="173" t="s">
        <v>337</v>
      </c>
      <c r="E72" s="721">
        <v>-4806608.1100000003</v>
      </c>
      <c r="F72" s="693"/>
      <c r="G72" s="722">
        <v>0</v>
      </c>
      <c r="H72" s="722">
        <v>0</v>
      </c>
      <c r="I72" s="721">
        <v>-708886.63999999978</v>
      </c>
      <c r="J72" s="721"/>
      <c r="K72" s="721"/>
      <c r="L72" s="721"/>
      <c r="M72" s="721"/>
      <c r="N72" s="722"/>
      <c r="O72" s="722"/>
      <c r="P72" s="722">
        <f t="shared" si="6"/>
        <v>-5515494.75</v>
      </c>
      <c r="Q72" s="722">
        <v>0</v>
      </c>
      <c r="R72" s="721">
        <f t="shared" si="7"/>
        <v>-5515494.75</v>
      </c>
      <c r="S72" s="721">
        <v>-5515494.75</v>
      </c>
      <c r="T72" s="772"/>
      <c r="U72" s="721">
        <v>-5515494.75</v>
      </c>
      <c r="V72" s="722"/>
      <c r="W72" s="722">
        <f t="shared" si="8"/>
        <v>0</v>
      </c>
      <c r="X72" s="722">
        <f t="shared" si="9"/>
        <v>0</v>
      </c>
    </row>
    <row r="73" spans="1:24" x14ac:dyDescent="0.3">
      <c r="A73" s="735">
        <v>18370</v>
      </c>
      <c r="B73" s="736"/>
      <c r="C73" s="774" t="s">
        <v>2748</v>
      </c>
      <c r="D73" s="173" t="s">
        <v>339</v>
      </c>
      <c r="E73" s="738">
        <v>-14282527.98</v>
      </c>
      <c r="F73" s="728"/>
      <c r="G73" s="728">
        <v>0</v>
      </c>
      <c r="H73" s="728">
        <v>0</v>
      </c>
      <c r="I73" s="738">
        <v>-4010207.5499999975</v>
      </c>
      <c r="J73" s="738"/>
      <c r="K73" s="738">
        <v>22470.959999999999</v>
      </c>
      <c r="L73" s="738"/>
      <c r="M73" s="738"/>
      <c r="N73" s="728"/>
      <c r="O73" s="728"/>
      <c r="P73" s="722">
        <f t="shared" si="6"/>
        <v>-18270264.569999997</v>
      </c>
      <c r="Q73" s="728">
        <v>405387.55</v>
      </c>
      <c r="R73" s="721">
        <f t="shared" si="7"/>
        <v>-17864877.019999996</v>
      </c>
      <c r="S73" s="738">
        <v>-17864877.02</v>
      </c>
      <c r="T73" s="775"/>
      <c r="U73" s="738">
        <v>-17864877.02</v>
      </c>
      <c r="V73" s="728"/>
      <c r="W73" s="722">
        <f t="shared" si="8"/>
        <v>0</v>
      </c>
      <c r="X73" s="722">
        <f t="shared" si="9"/>
        <v>0</v>
      </c>
    </row>
    <row r="74" spans="1:24" x14ac:dyDescent="0.3">
      <c r="A74" s="735">
        <v>18370</v>
      </c>
      <c r="B74" s="736">
        <v>3000</v>
      </c>
      <c r="C74" s="774" t="s">
        <v>2749</v>
      </c>
      <c r="D74" s="173" t="s">
        <v>339</v>
      </c>
      <c r="E74" s="740">
        <v>-2504168.59</v>
      </c>
      <c r="F74" s="742"/>
      <c r="G74" s="742">
        <v>0</v>
      </c>
      <c r="H74" s="742">
        <v>0</v>
      </c>
      <c r="I74" s="740">
        <v>-1019376.6399999999</v>
      </c>
      <c r="J74" s="740"/>
      <c r="K74" s="740"/>
      <c r="L74" s="740"/>
      <c r="M74" s="740"/>
      <c r="N74" s="742"/>
      <c r="O74" s="742"/>
      <c r="P74" s="742">
        <f t="shared" si="6"/>
        <v>-3523545.2299999995</v>
      </c>
      <c r="Q74" s="742">
        <v>0</v>
      </c>
      <c r="R74" s="740">
        <f t="shared" si="7"/>
        <v>-3523545.2299999995</v>
      </c>
      <c r="S74" s="740">
        <v>-3523545.23</v>
      </c>
      <c r="T74" s="776"/>
      <c r="U74" s="740">
        <v>-3523545.23</v>
      </c>
      <c r="V74" s="728"/>
      <c r="W74" s="722">
        <f t="shared" si="8"/>
        <v>0</v>
      </c>
      <c r="X74" s="722">
        <f t="shared" si="9"/>
        <v>0</v>
      </c>
    </row>
    <row r="75" spans="1:24" x14ac:dyDescent="0.3">
      <c r="A75" s="744" t="s">
        <v>2627</v>
      </c>
      <c r="B75" s="693"/>
      <c r="C75" s="777" t="s">
        <v>2750</v>
      </c>
      <c r="D75" s="777"/>
      <c r="E75" s="728">
        <f>SUM(E51:E74)</f>
        <v>-762836112.37</v>
      </c>
      <c r="F75" s="728"/>
      <c r="G75" s="728">
        <f t="shared" ref="G75:S75" si="10">SUM(G51:G74)</f>
        <v>0</v>
      </c>
      <c r="H75" s="728">
        <f t="shared" si="10"/>
        <v>0</v>
      </c>
      <c r="I75" s="728">
        <f t="shared" si="10"/>
        <v>-98974714.330000475</v>
      </c>
      <c r="J75" s="728">
        <f t="shared" si="10"/>
        <v>-71277.56</v>
      </c>
      <c r="K75" s="728">
        <f t="shared" si="10"/>
        <v>8568.66</v>
      </c>
      <c r="L75" s="728">
        <f t="shared" si="10"/>
        <v>0</v>
      </c>
      <c r="M75" s="728">
        <f t="shared" si="10"/>
        <v>0</v>
      </c>
      <c r="N75" s="728">
        <f t="shared" si="10"/>
        <v>0</v>
      </c>
      <c r="O75" s="728">
        <f t="shared" si="10"/>
        <v>0</v>
      </c>
      <c r="P75" s="728">
        <f t="shared" si="10"/>
        <v>-861873535.6000005</v>
      </c>
      <c r="Q75" s="728">
        <f t="shared" si="10"/>
        <v>7421053.1699999915</v>
      </c>
      <c r="R75" s="728">
        <f t="shared" si="10"/>
        <v>-854452482.43000042</v>
      </c>
      <c r="S75" s="758">
        <f t="shared" si="10"/>
        <v>-854452482.42999983</v>
      </c>
      <c r="T75" s="693"/>
      <c r="U75" s="758">
        <f>SUM(U51:U74)</f>
        <v>-854436252.93999994</v>
      </c>
      <c r="V75" s="722"/>
      <c r="W75" s="728">
        <f>SUM(W51:W74)</f>
        <v>-16229.489999960686</v>
      </c>
      <c r="X75" s="728">
        <f>SUM(X51:X74)</f>
        <v>-4.5678112314817554E-7</v>
      </c>
    </row>
    <row r="76" spans="1:24" x14ac:dyDescent="0.3">
      <c r="A76" s="735">
        <v>18342</v>
      </c>
      <c r="B76" s="774"/>
      <c r="C76" s="778" t="s">
        <v>2751</v>
      </c>
      <c r="D76" s="173" t="s">
        <v>337</v>
      </c>
      <c r="E76" s="738">
        <v>0</v>
      </c>
      <c r="F76" s="728"/>
      <c r="G76" s="728">
        <v>0</v>
      </c>
      <c r="H76" s="728">
        <v>0</v>
      </c>
      <c r="I76" s="728">
        <v>0</v>
      </c>
      <c r="J76" s="728"/>
      <c r="K76" s="728"/>
      <c r="L76" s="728"/>
      <c r="M76" s="728"/>
      <c r="N76" s="728">
        <v>0</v>
      </c>
      <c r="O76" s="728"/>
      <c r="P76" s="722">
        <f>SUM(E76:O76)</f>
        <v>0</v>
      </c>
      <c r="Q76" s="728">
        <v>0</v>
      </c>
      <c r="R76" s="722">
        <f>P76+Q76</f>
        <v>0</v>
      </c>
      <c r="S76" s="738">
        <v>0</v>
      </c>
      <c r="T76" s="728"/>
      <c r="U76" s="738">
        <v>0</v>
      </c>
      <c r="V76" s="728"/>
      <c r="W76" s="722">
        <f>S76-U76</f>
        <v>0</v>
      </c>
      <c r="X76" s="722">
        <f>R76-S76</f>
        <v>0</v>
      </c>
    </row>
    <row r="77" spans="1:24" x14ac:dyDescent="0.3">
      <c r="A77" s="726">
        <v>18367</v>
      </c>
      <c r="B77" s="693"/>
      <c r="C77" s="695" t="s">
        <v>2752</v>
      </c>
      <c r="D77" s="173" t="s">
        <v>337</v>
      </c>
      <c r="E77" s="721">
        <v>-3443190.35</v>
      </c>
      <c r="F77" s="693"/>
      <c r="G77" s="722">
        <v>0</v>
      </c>
      <c r="H77" s="722">
        <v>0</v>
      </c>
      <c r="I77" s="722">
        <v>-51121.760000000002</v>
      </c>
      <c r="J77" s="693"/>
      <c r="K77" s="693"/>
      <c r="L77" s="693"/>
      <c r="M77" s="693"/>
      <c r="N77" s="693"/>
      <c r="O77" s="693"/>
      <c r="P77" s="722">
        <f>SUM(E77:O77)</f>
        <v>-3494312.11</v>
      </c>
      <c r="Q77" s="695">
        <v>0</v>
      </c>
      <c r="R77" s="722">
        <f>P77+Q77</f>
        <v>-3494312.11</v>
      </c>
      <c r="S77" s="722">
        <v>-3494312.11</v>
      </c>
      <c r="T77" s="693"/>
      <c r="U77" s="722">
        <v>0</v>
      </c>
      <c r="V77" s="693"/>
      <c r="W77" s="722">
        <f>S77-U77</f>
        <v>-3494312.11</v>
      </c>
      <c r="X77" s="722">
        <f>R77-S77</f>
        <v>0</v>
      </c>
    </row>
    <row r="78" spans="1:24" x14ac:dyDescent="0.3">
      <c r="A78" s="726">
        <v>18399</v>
      </c>
      <c r="B78" s="693"/>
      <c r="C78" s="779" t="s">
        <v>2753</v>
      </c>
      <c r="D78" s="173" t="s">
        <v>337</v>
      </c>
      <c r="E78" s="740">
        <v>3443190.35</v>
      </c>
      <c r="F78" s="742"/>
      <c r="G78" s="742">
        <v>0</v>
      </c>
      <c r="H78" s="742">
        <v>0</v>
      </c>
      <c r="I78" s="742">
        <v>51121.77</v>
      </c>
      <c r="J78" s="742"/>
      <c r="K78" s="742"/>
      <c r="L78" s="742"/>
      <c r="M78" s="742"/>
      <c r="N78" s="742">
        <v>0</v>
      </c>
      <c r="O78" s="742"/>
      <c r="P78" s="722">
        <f>SUM(E78:O78)</f>
        <v>3494312.12</v>
      </c>
      <c r="Q78" s="742">
        <v>0</v>
      </c>
      <c r="R78" s="722">
        <f>P78+Q78</f>
        <v>3494312.12</v>
      </c>
      <c r="S78" s="740">
        <v>3494312.12</v>
      </c>
      <c r="T78" s="693"/>
      <c r="U78" s="740">
        <v>0</v>
      </c>
      <c r="V78" s="722"/>
      <c r="W78" s="722">
        <f>S78-U78</f>
        <v>3494312.12</v>
      </c>
      <c r="X78" s="722">
        <v>0</v>
      </c>
    </row>
    <row r="79" spans="1:24" x14ac:dyDescent="0.3">
      <c r="A79" s="693"/>
      <c r="B79" s="693"/>
      <c r="C79" s="780"/>
      <c r="D79" s="780"/>
      <c r="E79" s="781">
        <f t="shared" ref="E79:S79" si="11">SUM(E75:E78)</f>
        <v>-762836112.37</v>
      </c>
      <c r="F79" s="781">
        <f t="shared" si="11"/>
        <v>0</v>
      </c>
      <c r="G79" s="781">
        <f t="shared" si="11"/>
        <v>0</v>
      </c>
      <c r="H79" s="781">
        <f t="shared" si="11"/>
        <v>0</v>
      </c>
      <c r="I79" s="781">
        <f t="shared" si="11"/>
        <v>-98974714.320000485</v>
      </c>
      <c r="J79" s="781">
        <f t="shared" si="11"/>
        <v>-71277.56</v>
      </c>
      <c r="K79" s="781">
        <f t="shared" si="11"/>
        <v>8568.66</v>
      </c>
      <c r="L79" s="781">
        <f t="shared" si="11"/>
        <v>0</v>
      </c>
      <c r="M79" s="781">
        <f t="shared" si="11"/>
        <v>0</v>
      </c>
      <c r="N79" s="781">
        <f t="shared" si="11"/>
        <v>0</v>
      </c>
      <c r="O79" s="781">
        <f t="shared" si="11"/>
        <v>0</v>
      </c>
      <c r="P79" s="781">
        <f t="shared" si="11"/>
        <v>-861873535.59000051</v>
      </c>
      <c r="Q79" s="781">
        <f t="shared" si="11"/>
        <v>7421053.1699999915</v>
      </c>
      <c r="R79" s="781">
        <f t="shared" si="11"/>
        <v>-854452482.42000043</v>
      </c>
      <c r="S79" s="781">
        <f t="shared" si="11"/>
        <v>-854452482.41999984</v>
      </c>
      <c r="T79" s="693"/>
      <c r="U79" s="781">
        <f>SUM(U75:U78)</f>
        <v>-854436252.93999994</v>
      </c>
      <c r="V79" s="722"/>
      <c r="W79" s="781">
        <f>SUM(W75:W78)</f>
        <v>-16229.4799999604</v>
      </c>
      <c r="X79" s="781">
        <f>SUM(X75:X78)</f>
        <v>-4.5678112314817554E-7</v>
      </c>
    </row>
    <row r="80" spans="1:24" x14ac:dyDescent="0.3">
      <c r="A80" s="693"/>
      <c r="B80" s="693"/>
      <c r="C80" s="693"/>
      <c r="D80" s="693"/>
      <c r="E80" s="693"/>
      <c r="F80" s="693"/>
      <c r="G80" s="693"/>
      <c r="H80" s="693"/>
      <c r="I80" s="700" t="s">
        <v>2660</v>
      </c>
      <c r="J80" s="700" t="s">
        <v>2660</v>
      </c>
      <c r="K80" s="700" t="s">
        <v>2665</v>
      </c>
      <c r="L80" s="782" t="s">
        <v>2665</v>
      </c>
      <c r="M80" s="693"/>
      <c r="N80" s="693"/>
      <c r="O80" s="693"/>
      <c r="P80" s="693"/>
      <c r="Q80" s="722"/>
      <c r="R80" s="693"/>
      <c r="S80" s="721"/>
      <c r="T80" s="693"/>
      <c r="U80" s="738"/>
      <c r="V80" s="783"/>
      <c r="W80" s="693"/>
      <c r="X80" s="693"/>
    </row>
    <row r="81" spans="1:24" x14ac:dyDescent="0.3">
      <c r="A81" s="693"/>
      <c r="B81" s="693"/>
      <c r="C81" s="692" t="s">
        <v>2754</v>
      </c>
      <c r="D81" s="692"/>
      <c r="E81" s="759"/>
      <c r="F81" s="693"/>
      <c r="G81" s="693"/>
      <c r="H81" s="693"/>
      <c r="I81" s="784"/>
      <c r="J81" s="759"/>
      <c r="K81" s="759"/>
      <c r="L81" s="759"/>
      <c r="M81" s="759"/>
      <c r="N81" s="759" t="s">
        <v>2755</v>
      </c>
      <c r="O81" s="693"/>
      <c r="P81" s="693"/>
      <c r="Q81" s="722">
        <f>Q42+Q79</f>
        <v>-236363.18000000343</v>
      </c>
      <c r="R81" s="693"/>
      <c r="S81" s="721"/>
      <c r="T81" s="693"/>
      <c r="U81" s="738"/>
      <c r="V81" s="783"/>
      <c r="W81" s="693"/>
      <c r="X81" s="693"/>
    </row>
    <row r="82" spans="1:24" x14ac:dyDescent="0.3">
      <c r="A82" s="693"/>
      <c r="B82" s="693"/>
      <c r="C82" s="785"/>
      <c r="D82" s="785"/>
      <c r="E82" s="759"/>
      <c r="F82" s="728"/>
      <c r="G82" s="693"/>
      <c r="H82" s="693"/>
      <c r="I82" s="786">
        <f>I75+J79+K79</f>
        <v>-99037423.230000481</v>
      </c>
      <c r="J82" s="783"/>
      <c r="K82" s="783"/>
      <c r="L82" s="783"/>
      <c r="M82" s="783"/>
      <c r="N82" s="759"/>
      <c r="O82" s="693"/>
      <c r="P82" s="693"/>
      <c r="Q82" s="728"/>
      <c r="R82" s="722"/>
      <c r="S82" s="721"/>
      <c r="T82" s="693"/>
      <c r="U82" s="721"/>
      <c r="V82" s="757"/>
      <c r="W82" s="693"/>
      <c r="X82" s="693"/>
    </row>
    <row r="83" spans="1:24" x14ac:dyDescent="0.3">
      <c r="A83" s="693"/>
      <c r="B83" s="693"/>
      <c r="C83" s="787" t="s">
        <v>2756</v>
      </c>
      <c r="D83" s="787"/>
      <c r="E83" s="757"/>
      <c r="F83" s="738"/>
      <c r="G83" s="721"/>
      <c r="H83" s="721"/>
      <c r="I83" s="788">
        <v>2845225.08</v>
      </c>
      <c r="J83" s="783"/>
      <c r="K83" s="783"/>
      <c r="L83" s="783"/>
      <c r="M83" s="783"/>
      <c r="N83" s="757" t="s">
        <v>2757</v>
      </c>
      <c r="O83" s="789"/>
      <c r="P83" s="693"/>
      <c r="Q83" s="758">
        <f>3200+6000+2500</f>
        <v>11700</v>
      </c>
      <c r="R83" s="746"/>
      <c r="S83" s="721"/>
      <c r="T83" s="693"/>
      <c r="U83" s="721"/>
      <c r="V83" s="790"/>
      <c r="W83" s="790"/>
      <c r="X83" s="774"/>
    </row>
    <row r="84" spans="1:24" x14ac:dyDescent="0.3">
      <c r="A84" s="693"/>
      <c r="B84" s="693"/>
      <c r="I84" s="791"/>
      <c r="J84" s="792"/>
      <c r="K84" s="792"/>
      <c r="L84" s="792"/>
      <c r="M84" s="792"/>
      <c r="N84" s="751" t="s">
        <v>2758</v>
      </c>
      <c r="O84" s="773"/>
      <c r="P84" s="751"/>
      <c r="Q84" s="721">
        <v>1465.22</v>
      </c>
      <c r="R84" s="784"/>
      <c r="S84" s="721"/>
      <c r="T84" s="693"/>
      <c r="U84" s="728"/>
      <c r="V84" s="783"/>
      <c r="W84" s="728"/>
      <c r="X84" s="774"/>
    </row>
    <row r="85" spans="1:24" x14ac:dyDescent="0.3">
      <c r="A85" s="693"/>
      <c r="B85" s="693"/>
      <c r="C85" s="693"/>
      <c r="D85" s="693"/>
      <c r="E85" s="693"/>
      <c r="F85" s="693"/>
      <c r="G85" s="693"/>
      <c r="H85" s="693"/>
      <c r="I85" s="793"/>
      <c r="J85" s="792"/>
      <c r="K85" s="792"/>
      <c r="L85" s="792"/>
      <c r="M85" s="792"/>
      <c r="N85" s="757"/>
      <c r="O85" s="773"/>
      <c r="P85" s="693"/>
      <c r="Q85" s="738">
        <v>0</v>
      </c>
      <c r="R85" s="784"/>
      <c r="S85" s="721"/>
      <c r="T85" s="693"/>
      <c r="U85" s="728"/>
      <c r="V85" s="783"/>
      <c r="W85" s="728"/>
      <c r="X85" s="774"/>
    </row>
    <row r="86" spans="1:24" x14ac:dyDescent="0.3">
      <c r="A86" s="693"/>
      <c r="B86" s="693"/>
      <c r="C86" s="693"/>
      <c r="D86" s="693"/>
      <c r="E86" s="693"/>
      <c r="F86" s="693"/>
      <c r="G86" s="693"/>
      <c r="H86" s="693"/>
      <c r="I86" s="793"/>
      <c r="J86" s="792"/>
      <c r="K86" s="792"/>
      <c r="L86" s="792"/>
      <c r="M86" s="792"/>
      <c r="N86" s="757"/>
      <c r="O86" s="773"/>
      <c r="P86" s="693"/>
      <c r="Q86" s="738">
        <v>0</v>
      </c>
      <c r="R86" s="784"/>
      <c r="S86" s="721"/>
      <c r="T86" s="693"/>
      <c r="U86" s="728"/>
      <c r="V86" s="783"/>
      <c r="W86" s="728"/>
      <c r="X86" s="774"/>
    </row>
    <row r="87" spans="1:24" x14ac:dyDescent="0.3">
      <c r="A87" s="693"/>
      <c r="B87" s="693"/>
      <c r="C87" s="773"/>
      <c r="D87" s="773"/>
      <c r="E87" s="757"/>
      <c r="F87" s="738"/>
      <c r="G87" s="751"/>
      <c r="H87" s="751"/>
      <c r="I87" s="788"/>
      <c r="J87" s="792"/>
      <c r="K87" s="792"/>
      <c r="L87" s="792"/>
      <c r="M87" s="792"/>
      <c r="N87" s="794"/>
      <c r="O87" s="757"/>
      <c r="P87" s="773"/>
      <c r="Q87" s="738">
        <v>0</v>
      </c>
      <c r="R87" s="784"/>
      <c r="S87" s="721"/>
      <c r="T87" s="693"/>
      <c r="U87" s="728"/>
      <c r="V87" s="783"/>
      <c r="W87" s="728"/>
      <c r="X87" s="774"/>
    </row>
    <row r="88" spans="1:24" x14ac:dyDescent="0.3">
      <c r="A88" s="693"/>
      <c r="B88" s="693"/>
      <c r="C88" s="693"/>
      <c r="D88" s="693"/>
      <c r="E88" s="693"/>
      <c r="F88" s="693"/>
      <c r="G88" s="693"/>
      <c r="H88" s="693"/>
      <c r="I88" s="795"/>
      <c r="J88" s="783"/>
      <c r="K88" s="759"/>
      <c r="L88" s="759"/>
      <c r="M88" s="759"/>
      <c r="N88" s="759"/>
      <c r="O88" s="693"/>
      <c r="P88" s="693"/>
      <c r="Q88" s="722">
        <v>0</v>
      </c>
      <c r="R88" s="784"/>
      <c r="S88" s="721"/>
      <c r="T88" s="693"/>
      <c r="U88" s="693"/>
      <c r="V88" s="783"/>
      <c r="W88" s="728"/>
      <c r="X88" s="774"/>
    </row>
    <row r="89" spans="1:24" x14ac:dyDescent="0.3">
      <c r="A89" s="796"/>
      <c r="B89" s="777"/>
      <c r="C89" s="695" t="s">
        <v>2759</v>
      </c>
      <c r="D89" s="695"/>
      <c r="E89" s="759"/>
      <c r="F89" s="728"/>
      <c r="G89" s="693"/>
      <c r="H89" s="722" t="s">
        <v>2760</v>
      </c>
      <c r="I89" s="797">
        <f>SUM(I82:I88)</f>
        <v>-96192198.150000483</v>
      </c>
      <c r="J89" s="783"/>
      <c r="K89" s="783"/>
      <c r="L89" s="783"/>
      <c r="M89" s="783"/>
      <c r="N89" s="759"/>
      <c r="O89" s="798" t="s">
        <v>2761</v>
      </c>
      <c r="P89" s="693"/>
      <c r="Q89" s="746">
        <f>SUM(Q81:Q88)</f>
        <v>-223197.96000000343</v>
      </c>
      <c r="R89" s="784"/>
      <c r="S89" s="721"/>
      <c r="T89" s="693"/>
      <c r="U89" s="738"/>
      <c r="V89" s="792"/>
      <c r="W89" s="728"/>
      <c r="X89" s="774"/>
    </row>
    <row r="90" spans="1:24" x14ac:dyDescent="0.3">
      <c r="A90" s="693"/>
      <c r="B90" s="693"/>
      <c r="C90" s="695" t="s">
        <v>2762</v>
      </c>
      <c r="D90" s="695"/>
      <c r="E90" s="693"/>
      <c r="F90" s="693"/>
      <c r="G90" s="693"/>
      <c r="H90" s="693"/>
      <c r="I90" s="799">
        <f>81158900.47+210592.5+26815.54+14795889.65</f>
        <v>96192198.160000011</v>
      </c>
      <c r="J90" s="783"/>
      <c r="K90" s="783"/>
      <c r="L90" s="783"/>
      <c r="M90" s="783"/>
      <c r="N90" s="759"/>
      <c r="O90" s="759" t="s">
        <v>2763</v>
      </c>
      <c r="P90" s="693"/>
      <c r="Q90" s="800">
        <v>223197.96</v>
      </c>
      <c r="R90" s="693"/>
      <c r="S90" s="721"/>
      <c r="T90" s="693"/>
      <c r="U90" s="693"/>
      <c r="V90" s="774"/>
      <c r="W90" s="758"/>
      <c r="X90" s="774"/>
    </row>
    <row r="91" spans="1:24" x14ac:dyDescent="0.3">
      <c r="A91" s="693"/>
      <c r="B91" s="693"/>
      <c r="C91" s="692" t="s">
        <v>2764</v>
      </c>
      <c r="D91" s="692"/>
      <c r="E91" s="759"/>
      <c r="F91" s="728"/>
      <c r="G91" s="693"/>
      <c r="H91" s="693"/>
      <c r="I91" s="797">
        <f>I89+I90</f>
        <v>9.9995285272598267E-3</v>
      </c>
      <c r="J91" s="783"/>
      <c r="K91" s="783"/>
      <c r="L91" s="783"/>
      <c r="M91" s="783"/>
      <c r="N91" s="759"/>
      <c r="O91" s="759" t="s">
        <v>1954</v>
      </c>
      <c r="P91" s="693"/>
      <c r="Q91" s="728">
        <f>Q89+Q90</f>
        <v>-3.434251993894577E-9</v>
      </c>
      <c r="R91" s="693"/>
      <c r="S91" s="721"/>
      <c r="T91" s="693"/>
      <c r="U91" s="693"/>
      <c r="V91" s="693"/>
      <c r="W91" s="693"/>
      <c r="X91" s="693"/>
    </row>
    <row r="92" spans="1:24" ht="17.399999999999999" x14ac:dyDescent="0.3">
      <c r="A92" s="801" t="s">
        <v>1165</v>
      </c>
      <c r="B92" s="693"/>
      <c r="C92" s="693"/>
      <c r="D92" s="693"/>
      <c r="E92" s="926" t="s">
        <v>2610</v>
      </c>
      <c r="F92" s="926"/>
      <c r="G92" s="926"/>
      <c r="H92" s="693"/>
      <c r="I92" s="693"/>
      <c r="J92" s="693"/>
      <c r="K92" s="693"/>
      <c r="L92" s="693"/>
      <c r="M92" s="693"/>
      <c r="N92" s="693"/>
      <c r="O92" s="693"/>
      <c r="P92" s="693"/>
      <c r="Q92" s="693"/>
      <c r="R92" s="927" t="s">
        <v>1017</v>
      </c>
      <c r="S92" s="927"/>
      <c r="T92" s="927"/>
      <c r="U92" s="927"/>
      <c r="V92" s="693"/>
      <c r="W92" s="693"/>
      <c r="X92" s="693"/>
    </row>
    <row r="93" spans="1:24" x14ac:dyDescent="0.3">
      <c r="A93" s="802" t="s">
        <v>2765</v>
      </c>
      <c r="B93" s="693"/>
      <c r="C93" s="693"/>
      <c r="D93" s="693"/>
      <c r="E93" s="803" t="s">
        <v>2766</v>
      </c>
      <c r="F93" s="742"/>
      <c r="G93" s="804" t="s">
        <v>203</v>
      </c>
      <c r="H93" s="693"/>
      <c r="I93" s="759"/>
      <c r="J93" s="759"/>
      <c r="K93" s="759"/>
      <c r="L93" s="759"/>
      <c r="M93" s="759"/>
      <c r="N93" s="759"/>
      <c r="O93" s="759"/>
      <c r="P93" s="759"/>
      <c r="Q93" s="759"/>
      <c r="R93" s="805" t="s">
        <v>2766</v>
      </c>
      <c r="S93" s="806"/>
      <c r="T93" s="807"/>
      <c r="U93" s="808" t="s">
        <v>203</v>
      </c>
      <c r="V93" s="693"/>
      <c r="W93" s="693"/>
      <c r="X93" s="693"/>
    </row>
    <row r="94" spans="1:24" x14ac:dyDescent="0.3">
      <c r="A94" s="693"/>
      <c r="B94" s="693"/>
      <c r="C94" s="695" t="s">
        <v>2767</v>
      </c>
      <c r="D94" s="695"/>
      <c r="E94" s="759">
        <f>E13+E14+E15</f>
        <v>234113019.16999999</v>
      </c>
      <c r="F94" s="751"/>
      <c r="G94" s="722">
        <f>E94+F94</f>
        <v>234113019.16999999</v>
      </c>
      <c r="H94" s="693"/>
      <c r="I94" s="759"/>
      <c r="J94" s="759"/>
      <c r="K94" s="759"/>
      <c r="L94" s="759"/>
      <c r="M94" s="759"/>
      <c r="N94" s="759"/>
      <c r="O94" s="759"/>
      <c r="P94" s="759"/>
      <c r="Q94" s="759"/>
      <c r="R94" s="809">
        <f>R13+R14+R15</f>
        <v>235856743.19999999</v>
      </c>
      <c r="S94" s="810"/>
      <c r="T94" s="811"/>
      <c r="U94" s="811">
        <f>R94+S94</f>
        <v>235856743.19999999</v>
      </c>
      <c r="V94" s="693"/>
      <c r="W94" s="693"/>
      <c r="X94" s="693"/>
    </row>
    <row r="95" spans="1:24" x14ac:dyDescent="0.3">
      <c r="A95" s="693"/>
      <c r="B95" s="693"/>
      <c r="C95" s="695" t="s">
        <v>2768</v>
      </c>
      <c r="D95" s="695"/>
      <c r="E95" s="759">
        <f>E16+E17+E18+E22+E23+E24+E25+E37+E38</f>
        <v>1020434894.1899999</v>
      </c>
      <c r="F95" s="738"/>
      <c r="G95" s="722">
        <f>E95+F95</f>
        <v>1020434894.1899999</v>
      </c>
      <c r="H95" s="693"/>
      <c r="I95" s="759"/>
      <c r="J95" s="759"/>
      <c r="K95" s="759"/>
      <c r="L95" s="759"/>
      <c r="M95" s="759"/>
      <c r="N95" s="759"/>
      <c r="O95" s="759"/>
      <c r="P95" s="759"/>
      <c r="Q95" s="759"/>
      <c r="R95" s="809">
        <f>R16+R17+R18+R22+R23+R24+R25+R37+R38</f>
        <v>1335529649.1300001</v>
      </c>
      <c r="S95" s="810"/>
      <c r="T95" s="811"/>
      <c r="U95" s="811">
        <f>R95+S95</f>
        <v>1335529649.1300001</v>
      </c>
      <c r="V95" s="693"/>
      <c r="W95" s="693"/>
      <c r="X95" s="693"/>
    </row>
    <row r="96" spans="1:24" x14ac:dyDescent="0.3">
      <c r="A96" s="693"/>
      <c r="B96" s="693"/>
      <c r="C96" s="695" t="s">
        <v>2769</v>
      </c>
      <c r="D96" s="695"/>
      <c r="E96" s="759">
        <f>E9+E10+E11+E12+E19+E20+E21+E26+E27+E28+E29+E30+E31+E32+E33+E34+E35+E36+E40+E41</f>
        <v>543129638.37</v>
      </c>
      <c r="F96" s="738"/>
      <c r="G96" s="722">
        <f>E96+F96</f>
        <v>543129638.37</v>
      </c>
      <c r="H96" s="693"/>
      <c r="I96" s="759"/>
      <c r="J96" s="759"/>
      <c r="K96" s="759"/>
      <c r="L96" s="759"/>
      <c r="M96" s="759"/>
      <c r="N96" s="759"/>
      <c r="O96" s="759"/>
      <c r="P96" s="759"/>
      <c r="Q96" s="759"/>
      <c r="R96" s="809">
        <f>R9+R10+R11+R12+R19+R20+R21+R26+R27+R28+R29+R30+R31+R32+R33+R34+R35+R36+R40+R41</f>
        <v>617614252.05000007</v>
      </c>
      <c r="S96" s="810"/>
      <c r="T96" s="811"/>
      <c r="U96" s="811">
        <f>R96+S96</f>
        <v>617614252.05000007</v>
      </c>
      <c r="V96" s="693"/>
      <c r="W96" s="693"/>
      <c r="X96" s="693"/>
    </row>
    <row r="97" spans="1:24" x14ac:dyDescent="0.3">
      <c r="A97" s="693"/>
      <c r="B97" s="693"/>
      <c r="C97" s="695" t="s">
        <v>2770</v>
      </c>
      <c r="D97" s="695"/>
      <c r="E97" s="812">
        <v>245531870.44999999</v>
      </c>
      <c r="F97" s="740"/>
      <c r="G97" s="742">
        <f>E97+F97</f>
        <v>245531870.44999999</v>
      </c>
      <c r="H97" s="693"/>
      <c r="I97" s="759"/>
      <c r="J97" s="759"/>
      <c r="K97" s="759"/>
      <c r="L97" s="759"/>
      <c r="M97" s="759"/>
      <c r="N97" s="759"/>
      <c r="O97" s="759"/>
      <c r="P97" s="759"/>
      <c r="Q97" s="759"/>
      <c r="R97" s="812">
        <v>195531702.59999999</v>
      </c>
      <c r="S97" s="813"/>
      <c r="T97" s="811"/>
      <c r="U97" s="813">
        <f>R97+S97</f>
        <v>195531702.59999999</v>
      </c>
      <c r="V97" s="693"/>
      <c r="W97" s="693"/>
      <c r="X97" s="693"/>
    </row>
    <row r="98" spans="1:24" x14ac:dyDescent="0.3">
      <c r="A98" s="693"/>
      <c r="B98" s="693"/>
      <c r="C98" s="693"/>
      <c r="D98" s="693"/>
      <c r="E98" s="759">
        <f>SUM(E94:E97)</f>
        <v>2043209422.1800001</v>
      </c>
      <c r="F98" s="757"/>
      <c r="G98" s="759">
        <f>SUM(G94:G97)</f>
        <v>2043209422.1800001</v>
      </c>
      <c r="H98" s="693"/>
      <c r="I98" s="759"/>
      <c r="J98" s="759"/>
      <c r="K98" s="759"/>
      <c r="L98" s="759"/>
      <c r="M98" s="759"/>
      <c r="N98" s="759"/>
      <c r="O98" s="759"/>
      <c r="P98" s="759"/>
      <c r="Q98" s="759"/>
      <c r="R98" s="809">
        <f>SUM(R94:R97)</f>
        <v>2384532346.98</v>
      </c>
      <c r="S98" s="809"/>
      <c r="T98" s="814"/>
      <c r="U98" s="809">
        <f>SUM(U94:U97)</f>
        <v>2384532346.98</v>
      </c>
      <c r="V98" s="693"/>
      <c r="W98" s="693"/>
      <c r="X98" s="693"/>
    </row>
    <row r="99" spans="1:24" x14ac:dyDescent="0.3">
      <c r="A99" s="693"/>
      <c r="B99" s="693"/>
      <c r="C99" s="695" t="s">
        <v>2771</v>
      </c>
      <c r="D99" s="695"/>
      <c r="E99" s="815">
        <f>E79</f>
        <v>-762836112.37</v>
      </c>
      <c r="F99" s="740"/>
      <c r="G99" s="742">
        <f>E99+F99</f>
        <v>-762836112.37</v>
      </c>
      <c r="H99" s="693"/>
      <c r="I99" s="759"/>
      <c r="J99" s="759"/>
      <c r="K99" s="759"/>
      <c r="L99" s="759"/>
      <c r="M99" s="759"/>
      <c r="N99" s="759"/>
      <c r="O99" s="759"/>
      <c r="P99" s="759"/>
      <c r="Q99" s="759"/>
      <c r="R99" s="816">
        <f>R79</f>
        <v>-854452482.42000043</v>
      </c>
      <c r="S99" s="813"/>
      <c r="T99" s="809"/>
      <c r="U99" s="811">
        <f>R99+S99</f>
        <v>-854452482.42000043</v>
      </c>
      <c r="V99" s="693"/>
      <c r="W99" s="693"/>
      <c r="X99" s="693"/>
    </row>
    <row r="100" spans="1:24" x14ac:dyDescent="0.3">
      <c r="A100" s="693"/>
      <c r="B100" s="693"/>
      <c r="C100" s="695" t="s">
        <v>2772</v>
      </c>
      <c r="D100" s="695"/>
      <c r="E100" s="798">
        <f>SUM(E98:E99)</f>
        <v>1280373309.8099999</v>
      </c>
      <c r="F100" s="798"/>
      <c r="G100" s="798">
        <f>SUM(G98:G99)</f>
        <v>1280373309.8099999</v>
      </c>
      <c r="H100" s="693"/>
      <c r="I100" s="759"/>
      <c r="J100" s="759"/>
      <c r="K100" s="759"/>
      <c r="L100" s="759"/>
      <c r="M100" s="759"/>
      <c r="N100" s="759"/>
      <c r="O100" s="759"/>
      <c r="P100" s="759"/>
      <c r="Q100" s="759"/>
      <c r="R100" s="817">
        <f>SUM(R98:R99)</f>
        <v>1530079864.5599995</v>
      </c>
      <c r="S100" s="817"/>
      <c r="T100" s="817"/>
      <c r="U100" s="817">
        <f>SUM(U98:U99)</f>
        <v>1530079864.5599995</v>
      </c>
      <c r="V100" s="693"/>
      <c r="W100" s="693"/>
      <c r="X100" s="693"/>
    </row>
    <row r="101" spans="1:24" x14ac:dyDescent="0.3">
      <c r="A101" s="693"/>
      <c r="B101" s="693"/>
      <c r="C101" s="693"/>
      <c r="D101" s="693"/>
      <c r="E101" s="693"/>
      <c r="F101" s="693"/>
      <c r="G101" s="693"/>
      <c r="H101" s="693"/>
      <c r="I101" s="693"/>
      <c r="J101" s="693"/>
      <c r="K101" s="693"/>
      <c r="L101" s="693"/>
      <c r="M101" s="693"/>
      <c r="N101" s="693"/>
      <c r="O101" s="693"/>
      <c r="P101" s="693"/>
      <c r="Q101" s="693"/>
      <c r="R101" s="693"/>
      <c r="S101" s="721"/>
      <c r="T101" s="693"/>
      <c r="U101" s="693"/>
      <c r="V101" s="693"/>
      <c r="W101" s="693"/>
      <c r="X101" s="693"/>
    </row>
    <row r="102" spans="1:24" x14ac:dyDescent="0.3">
      <c r="A102" s="693"/>
      <c r="B102" s="693"/>
      <c r="C102" s="693"/>
      <c r="D102" s="693"/>
      <c r="E102" s="693"/>
      <c r="F102" s="693"/>
      <c r="G102" s="693"/>
      <c r="H102" s="693"/>
      <c r="I102" s="693"/>
      <c r="J102" s="693"/>
      <c r="K102" s="693"/>
      <c r="L102" s="693"/>
      <c r="M102" s="693"/>
      <c r="N102" s="693"/>
      <c r="O102" s="693"/>
      <c r="P102" s="693"/>
      <c r="Q102" s="693"/>
      <c r="R102" s="693"/>
      <c r="S102" s="721"/>
      <c r="T102" s="693"/>
      <c r="U102" s="693"/>
      <c r="V102" s="693"/>
      <c r="W102" s="693"/>
      <c r="X102" s="693"/>
    </row>
    <row r="103" spans="1:24" x14ac:dyDescent="0.3">
      <c r="A103" s="693"/>
      <c r="B103" s="693"/>
      <c r="C103" s="693"/>
      <c r="D103" s="693"/>
      <c r="E103" s="693"/>
      <c r="F103" s="693"/>
      <c r="G103" s="693"/>
      <c r="H103" s="693"/>
      <c r="I103" s="693"/>
      <c r="J103" s="693"/>
      <c r="K103" s="693"/>
      <c r="L103" s="693"/>
      <c r="M103" s="693"/>
      <c r="N103" s="693"/>
      <c r="O103" s="693"/>
      <c r="P103" s="693"/>
      <c r="Q103" s="693"/>
      <c r="R103" s="693"/>
      <c r="S103" s="721"/>
      <c r="T103" s="693"/>
      <c r="U103" s="693"/>
      <c r="V103" s="693"/>
      <c r="W103" s="693"/>
      <c r="X103" s="693"/>
    </row>
    <row r="104" spans="1:24" x14ac:dyDescent="0.3">
      <c r="A104" s="693"/>
      <c r="B104" s="693"/>
      <c r="C104" s="693"/>
      <c r="D104" s="693"/>
      <c r="E104" s="824" t="s">
        <v>2610</v>
      </c>
      <c r="F104" s="824" t="s">
        <v>2773</v>
      </c>
      <c r="G104" s="824" t="s">
        <v>2774</v>
      </c>
      <c r="H104" s="824" t="s">
        <v>1017</v>
      </c>
      <c r="I104" s="693"/>
      <c r="J104" s="693"/>
      <c r="K104" s="693"/>
      <c r="L104" s="693"/>
      <c r="M104" s="693"/>
      <c r="N104" s="693"/>
      <c r="O104" s="693"/>
      <c r="P104" s="693"/>
      <c r="Q104" s="693"/>
      <c r="R104" s="693"/>
      <c r="S104" s="721"/>
      <c r="T104" s="693"/>
      <c r="U104" s="693"/>
      <c r="V104" s="693"/>
      <c r="W104" s="693"/>
      <c r="X104" s="693"/>
    </row>
    <row r="105" spans="1:24" x14ac:dyDescent="0.3">
      <c r="A105" s="693"/>
      <c r="B105" s="693"/>
      <c r="C105" s="821"/>
      <c r="D105" s="173" t="s">
        <v>332</v>
      </c>
      <c r="E105" s="821">
        <f>SUMIF($D$9:$D$42,D105,$E$9:$E$42)</f>
        <v>219455313.39999998</v>
      </c>
      <c r="F105" s="821">
        <f>H105-G105-E105</f>
        <v>1711000</v>
      </c>
      <c r="G105" s="821">
        <f>SUMIF($D$9:$D$42,D105,$Q$9:$Q$42)</f>
        <v>0</v>
      </c>
      <c r="H105" s="821">
        <f>SUMIF($D$9:$D$42,D105,$S$9:$S$42)</f>
        <v>221166313.39999998</v>
      </c>
      <c r="I105" s="693"/>
      <c r="J105" s="693"/>
      <c r="K105" s="693"/>
      <c r="L105" s="693"/>
      <c r="M105" s="693"/>
      <c r="N105" s="693"/>
      <c r="O105" s="693"/>
      <c r="P105" s="693"/>
      <c r="Q105" s="693"/>
      <c r="R105" s="693"/>
      <c r="S105" s="721"/>
      <c r="T105" s="693"/>
      <c r="U105" s="693"/>
      <c r="V105" s="693"/>
      <c r="W105" s="693"/>
      <c r="X105" s="693"/>
    </row>
    <row r="106" spans="1:24" x14ac:dyDescent="0.3">
      <c r="C106" s="822"/>
      <c r="D106" s="173" t="s">
        <v>333</v>
      </c>
      <c r="E106" s="821">
        <f t="shared" ref="E106:E112" si="12">SUMIF($D$9:$D$42,D106,$E$9:$E$42)</f>
        <v>14657705.77</v>
      </c>
      <c r="F106" s="821">
        <f t="shared" ref="F106:F113" si="13">H106-G106-E106</f>
        <v>32724.030000001192</v>
      </c>
      <c r="G106" s="821">
        <f t="shared" ref="G106:G112" si="14">SUMIF($D$9:$D$42,D106,$Q$9:$Q$42)</f>
        <v>0</v>
      </c>
      <c r="H106" s="821">
        <f t="shared" ref="H106:H112" si="15">SUMIF($D$9:$D$42,D106,$S$9:$S$42)</f>
        <v>14690429.800000001</v>
      </c>
      <c r="S106" s="721"/>
    </row>
    <row r="107" spans="1:24" x14ac:dyDescent="0.3">
      <c r="C107" s="822"/>
      <c r="D107" s="173" t="s">
        <v>334</v>
      </c>
      <c r="E107" s="821">
        <f t="shared" si="12"/>
        <v>961783604.61000001</v>
      </c>
      <c r="F107" s="821">
        <f t="shared" si="13"/>
        <v>301503133.79000008</v>
      </c>
      <c r="G107" s="821">
        <f t="shared" si="14"/>
        <v>-149282.17000000001</v>
      </c>
      <c r="H107" s="821">
        <f t="shared" si="15"/>
        <v>1263137456.23</v>
      </c>
    </row>
    <row r="108" spans="1:24" x14ac:dyDescent="0.3">
      <c r="C108" s="822"/>
      <c r="D108" s="173" t="s">
        <v>335</v>
      </c>
      <c r="E108" s="821">
        <f t="shared" si="12"/>
        <v>0</v>
      </c>
      <c r="F108" s="821">
        <f t="shared" si="13"/>
        <v>0</v>
      </c>
      <c r="G108" s="821">
        <f t="shared" si="14"/>
        <v>0</v>
      </c>
      <c r="H108" s="821">
        <f t="shared" si="15"/>
        <v>0</v>
      </c>
    </row>
    <row r="109" spans="1:24" x14ac:dyDescent="0.3">
      <c r="C109" s="822"/>
      <c r="D109" s="173" t="s">
        <v>336</v>
      </c>
      <c r="E109" s="821">
        <f t="shared" si="12"/>
        <v>44738075.669999994</v>
      </c>
      <c r="F109" s="821">
        <f t="shared" si="13"/>
        <v>19265417.780000001</v>
      </c>
      <c r="G109" s="821">
        <f t="shared" si="14"/>
        <v>0</v>
      </c>
      <c r="H109" s="821">
        <f t="shared" si="15"/>
        <v>64003493.449999996</v>
      </c>
    </row>
    <row r="110" spans="1:24" x14ac:dyDescent="0.3">
      <c r="C110" s="822"/>
      <c r="D110" s="173" t="s">
        <v>337</v>
      </c>
      <c r="E110" s="821">
        <f t="shared" si="12"/>
        <v>498391562.69999993</v>
      </c>
      <c r="F110" s="821">
        <f t="shared" si="13"/>
        <v>62321942.550000191</v>
      </c>
      <c r="G110" s="821">
        <f t="shared" si="14"/>
        <v>-7102746.6299999952</v>
      </c>
      <c r="H110" s="821">
        <f t="shared" si="15"/>
        <v>553610758.62000012</v>
      </c>
    </row>
    <row r="111" spans="1:24" x14ac:dyDescent="0.3">
      <c r="C111" s="822"/>
      <c r="D111" s="173" t="s">
        <v>338</v>
      </c>
      <c r="E111" s="821">
        <f t="shared" si="12"/>
        <v>0</v>
      </c>
      <c r="F111" s="821">
        <f t="shared" si="13"/>
        <v>0</v>
      </c>
      <c r="G111" s="821">
        <f t="shared" si="14"/>
        <v>0</v>
      </c>
      <c r="H111" s="821">
        <f t="shared" si="15"/>
        <v>0</v>
      </c>
    </row>
    <row r="112" spans="1:24" x14ac:dyDescent="0.3">
      <c r="C112" s="822"/>
      <c r="D112" s="173" t="s">
        <v>339</v>
      </c>
      <c r="E112" s="821">
        <f t="shared" si="12"/>
        <v>58651289.579999998</v>
      </c>
      <c r="F112" s="821">
        <f t="shared" si="13"/>
        <v>14146290.870000005</v>
      </c>
      <c r="G112" s="821">
        <f t="shared" si="14"/>
        <v>-405387.55</v>
      </c>
      <c r="H112" s="821">
        <f t="shared" si="15"/>
        <v>72392192.900000006</v>
      </c>
    </row>
    <row r="113" spans="3:10" x14ac:dyDescent="0.3">
      <c r="C113" s="822"/>
      <c r="D113" s="173" t="s">
        <v>340</v>
      </c>
      <c r="E113" s="821">
        <f>'802 SCH 2019 '!C19</f>
        <v>245531870.44999999</v>
      </c>
      <c r="F113" s="821">
        <f t="shared" si="13"/>
        <v>348063188.68001431</v>
      </c>
      <c r="G113" s="821">
        <f>'802 SCH 2019 '!G19</f>
        <v>-398063356.53000093</v>
      </c>
      <c r="H113" s="821">
        <f>'802 SCH 2019 '!Q19</f>
        <v>195531702.60001341</v>
      </c>
    </row>
    <row r="114" spans="3:10" ht="15" thickBot="1" x14ac:dyDescent="0.35">
      <c r="C114" s="822"/>
      <c r="D114" s="173" t="s">
        <v>203</v>
      </c>
      <c r="E114" s="825">
        <f>SUM(E105:E113)</f>
        <v>2043209422.1800001</v>
      </c>
      <c r="F114" s="825">
        <f t="shared" ref="F114:J114" si="16">SUM(F105:F113)</f>
        <v>747043697.70001459</v>
      </c>
      <c r="G114" s="825">
        <f t="shared" si="16"/>
        <v>-405720772.88000095</v>
      </c>
      <c r="H114" s="825">
        <f t="shared" si="16"/>
        <v>2384532347.0000134</v>
      </c>
      <c r="I114" s="822">
        <f t="shared" si="16"/>
        <v>0</v>
      </c>
      <c r="J114" s="822">
        <f t="shared" si="16"/>
        <v>0</v>
      </c>
    </row>
    <row r="115" spans="3:10" ht="15" thickTop="1" x14ac:dyDescent="0.3">
      <c r="C115" s="822"/>
      <c r="D115" s="194"/>
      <c r="G115" s="823"/>
    </row>
    <row r="116" spans="3:10" x14ac:dyDescent="0.3">
      <c r="C116" s="822"/>
      <c r="D116" s="826" t="s">
        <v>341</v>
      </c>
    </row>
    <row r="117" spans="3:10" x14ac:dyDescent="0.3">
      <c r="C117" s="822"/>
      <c r="D117" s="827"/>
      <c r="E117" s="824" t="s">
        <v>2610</v>
      </c>
      <c r="F117" s="824" t="s">
        <v>2773</v>
      </c>
      <c r="G117" s="824" t="s">
        <v>2774</v>
      </c>
      <c r="H117" s="824" t="s">
        <v>1017</v>
      </c>
    </row>
    <row r="118" spans="3:10" x14ac:dyDescent="0.3">
      <c r="C118" s="822"/>
      <c r="D118" s="173" t="s">
        <v>332</v>
      </c>
      <c r="E118" s="821">
        <f>SUMIF($D$51:$D$79,D118,$E$51:$E$79)</f>
        <v>0</v>
      </c>
      <c r="F118" s="821">
        <f t="shared" ref="F118:F126" si="17">H118-G118-E118</f>
        <v>0</v>
      </c>
      <c r="G118" s="821">
        <f>SUMIF($D$51:$D$79,D118,$Q$51:$Q$79)</f>
        <v>0</v>
      </c>
      <c r="H118" s="821">
        <f>SUMIF($D$51:$D$79,D118,$S$51:$S$79)</f>
        <v>0</v>
      </c>
    </row>
    <row r="119" spans="3:10" x14ac:dyDescent="0.3">
      <c r="C119" s="822"/>
      <c r="D119" s="173" t="s">
        <v>333</v>
      </c>
      <c r="E119" s="821">
        <f t="shared" ref="E119:E126" si="18">SUMIF($D$51:$D$79,D119,$E$51:$E$79)</f>
        <v>-7431883.9000000004</v>
      </c>
      <c r="F119" s="821">
        <f t="shared" si="17"/>
        <v>-793219.71999999974</v>
      </c>
      <c r="G119" s="821">
        <f t="shared" ref="G119:G125" si="19">SUMIF($D$51:$D$79,D119,$Q$51:$Q$79)</f>
        <v>0</v>
      </c>
      <c r="H119" s="821">
        <f t="shared" ref="H119:H125" si="20">SUMIF($D$51:$D$79,D119,$S$51:$S$79)</f>
        <v>-8225103.6200000001</v>
      </c>
    </row>
    <row r="120" spans="3:10" x14ac:dyDescent="0.3">
      <c r="C120" s="822"/>
      <c r="D120" s="173" t="s">
        <v>334</v>
      </c>
      <c r="E120" s="821">
        <f t="shared" si="18"/>
        <v>-373579471.68000001</v>
      </c>
      <c r="F120" s="821">
        <f t="shared" si="17"/>
        <v>-37928225.899999917</v>
      </c>
      <c r="G120" s="821">
        <f t="shared" si="19"/>
        <v>142377.01</v>
      </c>
      <c r="H120" s="821">
        <f t="shared" si="20"/>
        <v>-411365320.56999993</v>
      </c>
    </row>
    <row r="121" spans="3:10" x14ac:dyDescent="0.3">
      <c r="C121" s="822"/>
      <c r="D121" s="173" t="s">
        <v>335</v>
      </c>
      <c r="E121" s="821">
        <f t="shared" si="18"/>
        <v>0</v>
      </c>
      <c r="F121" s="821">
        <f t="shared" si="17"/>
        <v>0</v>
      </c>
      <c r="G121" s="821">
        <f t="shared" si="19"/>
        <v>0</v>
      </c>
      <c r="H121" s="821">
        <f t="shared" si="20"/>
        <v>0</v>
      </c>
    </row>
    <row r="122" spans="3:10" x14ac:dyDescent="0.3">
      <c r="C122" s="822"/>
      <c r="D122" s="173" t="s">
        <v>336</v>
      </c>
      <c r="E122" s="821">
        <f t="shared" si="18"/>
        <v>-25077043.360000003</v>
      </c>
      <c r="F122" s="821">
        <f t="shared" si="17"/>
        <v>-2616125.6599999964</v>
      </c>
      <c r="G122" s="821">
        <f t="shared" si="19"/>
        <v>0</v>
      </c>
      <c r="H122" s="821">
        <f t="shared" si="20"/>
        <v>-27693169.02</v>
      </c>
    </row>
    <row r="123" spans="3:10" x14ac:dyDescent="0.3">
      <c r="C123" s="822"/>
      <c r="D123" s="173" t="s">
        <v>337</v>
      </c>
      <c r="E123" s="821">
        <f t="shared" si="18"/>
        <v>-339961016.86000001</v>
      </c>
      <c r="F123" s="821">
        <f t="shared" si="17"/>
        <v>-52692738.709999979</v>
      </c>
      <c r="G123" s="821">
        <f t="shared" si="19"/>
        <v>6873288.609999992</v>
      </c>
      <c r="H123" s="821">
        <f t="shared" si="20"/>
        <v>-385780466.95999998</v>
      </c>
    </row>
    <row r="124" spans="3:10" x14ac:dyDescent="0.3">
      <c r="C124" s="822"/>
      <c r="D124" s="173" t="s">
        <v>338</v>
      </c>
      <c r="E124" s="821">
        <f t="shared" si="18"/>
        <v>0</v>
      </c>
      <c r="F124" s="821">
        <f t="shared" si="17"/>
        <v>0</v>
      </c>
      <c r="G124" s="821">
        <f t="shared" si="19"/>
        <v>0</v>
      </c>
      <c r="H124" s="821">
        <f t="shared" si="20"/>
        <v>0</v>
      </c>
    </row>
    <row r="125" spans="3:10" x14ac:dyDescent="0.3">
      <c r="C125" s="822"/>
      <c r="D125" s="173" t="s">
        <v>339</v>
      </c>
      <c r="E125" s="821">
        <f t="shared" si="18"/>
        <v>-16786696.57</v>
      </c>
      <c r="F125" s="821">
        <f t="shared" si="17"/>
        <v>-5007113.2300000004</v>
      </c>
      <c r="G125" s="821">
        <f t="shared" si="19"/>
        <v>405387.55</v>
      </c>
      <c r="H125" s="821">
        <f t="shared" si="20"/>
        <v>-21388422.25</v>
      </c>
    </row>
    <row r="126" spans="3:10" x14ac:dyDescent="0.3">
      <c r="C126" s="822"/>
      <c r="D126" s="173" t="s">
        <v>340</v>
      </c>
      <c r="E126" s="821">
        <f t="shared" si="18"/>
        <v>0</v>
      </c>
      <c r="F126" s="821">
        <f t="shared" si="17"/>
        <v>0</v>
      </c>
    </row>
    <row r="127" spans="3:10" ht="15" thickBot="1" x14ac:dyDescent="0.35">
      <c r="C127" s="822"/>
      <c r="D127" s="173" t="s">
        <v>203</v>
      </c>
      <c r="E127" s="825">
        <f>SUM(E118:E126)</f>
        <v>-762836112.37</v>
      </c>
      <c r="F127" s="825">
        <f t="shared" ref="F127:J127" si="21">SUM(F118:F126)</f>
        <v>-99037423.219999894</v>
      </c>
      <c r="G127" s="825">
        <f t="shared" si="21"/>
        <v>7421053.1699999915</v>
      </c>
      <c r="H127" s="825">
        <f t="shared" si="21"/>
        <v>-854452482.41999984</v>
      </c>
      <c r="I127" s="822">
        <f t="shared" si="21"/>
        <v>0</v>
      </c>
      <c r="J127" s="822">
        <f t="shared" si="21"/>
        <v>0</v>
      </c>
    </row>
    <row r="128" spans="3:10" ht="15" thickTop="1" x14ac:dyDescent="0.3"/>
  </sheetData>
  <mergeCells count="2">
    <mergeCell ref="E92:G92"/>
    <mergeCell ref="R92:U92"/>
  </mergeCells>
  <pageMargins left="1" right="1" top="0" bottom="0" header="0.3" footer="0.3"/>
  <pageSetup paperSize="17" scale="50" orientation="landscape" r:id="rId1"/>
  <headerFooter>
    <oddFooter>&amp;L&amp;Z&amp;F</oddFoot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1"/>
  </sheetPr>
  <dimension ref="A1:W76"/>
  <sheetViews>
    <sheetView zoomScaleNormal="100" workbookViewId="0">
      <selection activeCell="B23" sqref="B23"/>
    </sheetView>
  </sheetViews>
  <sheetFormatPr defaultColWidth="8.9140625" defaultRowHeight="14.4" x14ac:dyDescent="0.3"/>
  <cols>
    <col min="1" max="1" width="4.75" style="624" customWidth="1"/>
    <col min="2" max="2" width="21.58203125" style="624" customWidth="1"/>
    <col min="3" max="3" width="10.9140625" style="624" customWidth="1"/>
    <col min="4" max="4" width="4.08203125" style="624" customWidth="1"/>
    <col min="5" max="5" width="11.25" style="624" customWidth="1"/>
    <col min="6" max="6" width="4" style="624" customWidth="1"/>
    <col min="7" max="7" width="12.08203125" style="624" customWidth="1"/>
    <col min="8" max="8" width="4.58203125" style="624" customWidth="1"/>
    <col min="9" max="9" width="8.33203125" style="624" customWidth="1"/>
    <col min="10" max="10" width="4.75" style="624" customWidth="1"/>
    <col min="11" max="11" width="12.33203125" style="624" customWidth="1"/>
    <col min="12" max="12" width="4.58203125" style="624" customWidth="1"/>
    <col min="13" max="13" width="8.33203125" style="624" customWidth="1"/>
    <col min="14" max="14" width="8.58203125" style="624" customWidth="1"/>
    <col min="15" max="15" width="7.33203125" style="624" bestFit="1" customWidth="1"/>
    <col min="16" max="16" width="4.33203125" style="624" customWidth="1"/>
    <col min="17" max="17" width="12.08203125" style="624" customWidth="1"/>
    <col min="18" max="19" width="8.9140625" style="624"/>
    <col min="20" max="20" width="10.33203125" style="624" customWidth="1"/>
    <col min="21" max="21" width="10.25" style="624" customWidth="1"/>
    <col min="22" max="22" width="10" style="624" customWidth="1"/>
    <col min="23" max="23" width="9.75" style="624" customWidth="1"/>
    <col min="24" max="16384" width="8.9140625" style="624"/>
  </cols>
  <sheetData>
    <row r="1" spans="1:23" ht="24.6" x14ac:dyDescent="0.4">
      <c r="A1" s="620" t="s">
        <v>2597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  <c r="N1" s="621"/>
      <c r="O1" s="621"/>
      <c r="P1" s="621"/>
      <c r="Q1" s="622" t="s">
        <v>2598</v>
      </c>
      <c r="R1" s="623"/>
      <c r="S1" s="621"/>
      <c r="T1" s="621"/>
      <c r="U1" s="621"/>
      <c r="V1" s="621"/>
      <c r="W1" s="621"/>
    </row>
    <row r="2" spans="1:23" x14ac:dyDescent="0.3">
      <c r="A2" s="621"/>
      <c r="B2" s="621"/>
      <c r="C2" s="621"/>
      <c r="D2" s="621"/>
      <c r="E2" s="621"/>
      <c r="F2" s="621"/>
      <c r="G2" s="621"/>
      <c r="H2" s="621"/>
      <c r="I2" s="621"/>
      <c r="J2" s="621"/>
      <c r="K2" s="621"/>
      <c r="L2" s="621"/>
      <c r="M2" s="621"/>
      <c r="N2" s="621"/>
      <c r="O2" s="621"/>
      <c r="P2" s="625" t="s">
        <v>2599</v>
      </c>
      <c r="Q2" s="626" t="s">
        <v>2600</v>
      </c>
      <c r="R2" s="621"/>
      <c r="S2" s="621"/>
      <c r="T2" s="621"/>
      <c r="U2" s="621"/>
      <c r="V2" s="621"/>
      <c r="W2" s="621"/>
    </row>
    <row r="3" spans="1:23" x14ac:dyDescent="0.3">
      <c r="A3" s="621" t="s">
        <v>1014</v>
      </c>
      <c r="B3" s="621"/>
      <c r="C3" s="621"/>
      <c r="D3" s="621"/>
      <c r="E3" s="621"/>
      <c r="F3" s="621"/>
      <c r="G3" s="621"/>
      <c r="H3" s="621"/>
      <c r="I3" s="621"/>
      <c r="J3" s="621"/>
      <c r="K3" s="621"/>
      <c r="L3" s="621"/>
      <c r="M3" s="621"/>
      <c r="N3" s="621"/>
      <c r="O3" s="621"/>
      <c r="P3" s="625" t="s">
        <v>2601</v>
      </c>
      <c r="Q3" s="627">
        <f ca="1">NOW()</f>
        <v>44155.574543981478</v>
      </c>
      <c r="R3" s="621"/>
      <c r="S3" s="621"/>
      <c r="T3" s="621"/>
      <c r="U3" s="621"/>
      <c r="V3" s="621"/>
      <c r="W3" s="621"/>
    </row>
    <row r="4" spans="1:23" x14ac:dyDescent="0.3">
      <c r="A4" s="628" t="s">
        <v>2602</v>
      </c>
      <c r="B4" s="621"/>
      <c r="C4" s="621"/>
      <c r="D4" s="621"/>
      <c r="E4" s="625"/>
      <c r="F4" s="629"/>
      <c r="G4" s="621"/>
      <c r="H4" s="621"/>
      <c r="I4" s="621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621"/>
    </row>
    <row r="5" spans="1:23" ht="15.6" x14ac:dyDescent="0.3">
      <c r="A5" s="621"/>
      <c r="B5" s="621"/>
      <c r="C5" s="621"/>
      <c r="D5" s="621"/>
      <c r="E5" s="625"/>
      <c r="F5" s="629"/>
      <c r="G5" s="621"/>
      <c r="H5" s="621"/>
      <c r="I5" s="621"/>
      <c r="J5" s="621"/>
      <c r="K5" s="621"/>
      <c r="L5" s="621"/>
      <c r="M5" s="621"/>
      <c r="N5" s="621"/>
      <c r="O5" s="621"/>
      <c r="P5" s="630"/>
      <c r="Q5" s="621"/>
      <c r="R5" s="621"/>
      <c r="S5" s="621"/>
      <c r="T5" s="621"/>
      <c r="U5" s="621"/>
      <c r="V5" s="621"/>
      <c r="W5" s="621"/>
    </row>
    <row r="6" spans="1:23" x14ac:dyDescent="0.3">
      <c r="A6" s="621"/>
      <c r="B6" s="621"/>
      <c r="C6" s="621"/>
      <c r="D6" s="621"/>
      <c r="E6" s="625"/>
      <c r="F6" s="629"/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621"/>
    </row>
    <row r="7" spans="1:23" x14ac:dyDescent="0.3">
      <c r="A7" s="621"/>
      <c r="B7" s="621"/>
      <c r="C7" s="621"/>
      <c r="D7" s="621"/>
      <c r="E7" s="625"/>
      <c r="F7" s="629"/>
      <c r="G7" s="621"/>
      <c r="H7" s="621"/>
      <c r="I7" s="621"/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621"/>
    </row>
    <row r="8" spans="1:23" x14ac:dyDescent="0.3">
      <c r="A8" s="631"/>
      <c r="B8" s="631"/>
      <c r="C8" s="631"/>
      <c r="D8" s="631"/>
      <c r="E8" s="632" t="s">
        <v>2603</v>
      </c>
      <c r="F8" s="632"/>
      <c r="G8" s="633" t="s">
        <v>2603</v>
      </c>
      <c r="H8" s="633"/>
      <c r="I8" s="633" t="s">
        <v>2604</v>
      </c>
      <c r="J8" s="633"/>
      <c r="K8" s="633" t="s">
        <v>2604</v>
      </c>
      <c r="L8" s="633"/>
      <c r="M8" s="633" t="s">
        <v>2604</v>
      </c>
      <c r="N8" s="633" t="s">
        <v>2604</v>
      </c>
      <c r="O8" s="633"/>
      <c r="P8" s="633"/>
      <c r="Q8" s="625"/>
      <c r="R8" s="631"/>
      <c r="S8" s="631"/>
      <c r="T8" s="625"/>
      <c r="U8" s="625"/>
      <c r="V8" s="631"/>
      <c r="W8" s="631"/>
    </row>
    <row r="9" spans="1:23" x14ac:dyDescent="0.3">
      <c r="A9" s="631"/>
      <c r="B9" s="631"/>
      <c r="C9" s="631"/>
      <c r="D9" s="631"/>
      <c r="E9" s="632"/>
      <c r="F9" s="632"/>
      <c r="G9" s="633" t="s">
        <v>2605</v>
      </c>
      <c r="H9" s="633"/>
      <c r="I9" s="633" t="s">
        <v>2606</v>
      </c>
      <c r="J9" s="633"/>
      <c r="K9" s="633" t="s">
        <v>2607</v>
      </c>
      <c r="L9" s="633"/>
      <c r="M9" s="633" t="s">
        <v>2606</v>
      </c>
      <c r="N9" s="633" t="s">
        <v>2607</v>
      </c>
      <c r="O9" s="633" t="s">
        <v>2608</v>
      </c>
      <c r="P9" s="633"/>
      <c r="Q9" s="625"/>
      <c r="R9" s="631"/>
      <c r="S9" s="631"/>
      <c r="T9" s="625"/>
      <c r="U9" s="625"/>
      <c r="V9" s="631"/>
      <c r="W9" s="631" t="s">
        <v>2609</v>
      </c>
    </row>
    <row r="10" spans="1:23" x14ac:dyDescent="0.3">
      <c r="A10" s="631"/>
      <c r="B10" s="631"/>
      <c r="C10" s="632" t="s">
        <v>2610</v>
      </c>
      <c r="D10" s="631"/>
      <c r="E10" s="632" t="s">
        <v>2611</v>
      </c>
      <c r="F10" s="632"/>
      <c r="G10" s="633" t="s">
        <v>2612</v>
      </c>
      <c r="H10" s="633"/>
      <c r="I10" s="633" t="s">
        <v>2613</v>
      </c>
      <c r="J10" s="633"/>
      <c r="K10" s="633" t="s">
        <v>2613</v>
      </c>
      <c r="L10" s="633"/>
      <c r="M10" s="633" t="s">
        <v>2613</v>
      </c>
      <c r="N10" s="633" t="s">
        <v>2613</v>
      </c>
      <c r="O10" s="633" t="s">
        <v>2614</v>
      </c>
      <c r="P10" s="633"/>
      <c r="Q10" s="625"/>
      <c r="R10" s="631"/>
      <c r="S10" s="631"/>
      <c r="T10" s="625"/>
      <c r="U10" s="625" t="s">
        <v>2615</v>
      </c>
      <c r="V10" s="631" t="s">
        <v>2616</v>
      </c>
      <c r="W10" s="634" t="s">
        <v>2617</v>
      </c>
    </row>
    <row r="11" spans="1:23" ht="15" thickBot="1" x14ac:dyDescent="0.35">
      <c r="A11" s="635" t="s">
        <v>840</v>
      </c>
      <c r="B11" s="636"/>
      <c r="C11" s="637" t="s">
        <v>818</v>
      </c>
      <c r="D11" s="636"/>
      <c r="E11" s="638" t="s">
        <v>2618</v>
      </c>
      <c r="F11" s="639"/>
      <c r="G11" s="638" t="s">
        <v>2618</v>
      </c>
      <c r="H11" s="637"/>
      <c r="I11" s="637">
        <v>2018</v>
      </c>
      <c r="J11" s="637"/>
      <c r="K11" s="637">
        <v>2018</v>
      </c>
      <c r="L11" s="637"/>
      <c r="M11" s="637">
        <v>2019</v>
      </c>
      <c r="N11" s="637">
        <v>2019</v>
      </c>
      <c r="O11" s="637" t="s">
        <v>2619</v>
      </c>
      <c r="P11" s="637"/>
      <c r="Q11" s="640" t="s">
        <v>2620</v>
      </c>
      <c r="R11" s="636"/>
      <c r="S11" s="636"/>
      <c r="T11" s="641" t="s">
        <v>2621</v>
      </c>
      <c r="U11" s="641" t="s">
        <v>2622</v>
      </c>
      <c r="V11" s="636" t="s">
        <v>2623</v>
      </c>
      <c r="W11" s="642" t="s">
        <v>2624</v>
      </c>
    </row>
    <row r="12" spans="1:23" x14ac:dyDescent="0.3">
      <c r="A12" s="643"/>
      <c r="B12" s="621"/>
      <c r="C12" s="632"/>
      <c r="D12" s="631"/>
      <c r="E12" s="632"/>
      <c r="F12" s="631"/>
      <c r="G12" s="633"/>
      <c r="H12" s="632"/>
      <c r="I12" s="632"/>
      <c r="J12" s="632"/>
      <c r="K12" s="632"/>
      <c r="L12" s="632"/>
      <c r="M12" s="632"/>
      <c r="N12" s="632"/>
      <c r="O12" s="632"/>
      <c r="P12" s="632"/>
      <c r="Q12" s="633"/>
      <c r="R12" s="621"/>
      <c r="S12" s="621"/>
      <c r="T12" s="621"/>
      <c r="U12" s="625"/>
      <c r="V12" s="621"/>
      <c r="W12" s="631"/>
    </row>
    <row r="14" spans="1:23" x14ac:dyDescent="0.3">
      <c r="A14" s="644">
        <v>18548</v>
      </c>
      <c r="B14" s="628" t="s">
        <v>2625</v>
      </c>
      <c r="C14" s="645">
        <v>14360936.85</v>
      </c>
      <c r="D14" s="645"/>
      <c r="E14" s="646">
        <v>56988381.090002365</v>
      </c>
      <c r="F14" s="646"/>
      <c r="G14" s="646">
        <v>-25530669.169999994</v>
      </c>
      <c r="H14" s="647"/>
      <c r="I14" s="646">
        <v>-38966.559999999998</v>
      </c>
      <c r="J14" s="647"/>
      <c r="K14" s="647">
        <v>-64502.92</v>
      </c>
      <c r="L14" s="647"/>
      <c r="M14" s="646">
        <v>135135.6</v>
      </c>
      <c r="N14" s="647">
        <v>290379.05</v>
      </c>
      <c r="O14" s="648">
        <v>0</v>
      </c>
      <c r="P14" s="647"/>
      <c r="Q14" s="646">
        <f>SUM(C14:P14)</f>
        <v>46140693.940002367</v>
      </c>
      <c r="R14" s="645"/>
      <c r="S14" s="645"/>
      <c r="T14" s="645">
        <v>46140693.939999998</v>
      </c>
      <c r="U14" s="645">
        <v>45715217.130000003</v>
      </c>
      <c r="V14" s="645">
        <f>T14-U14</f>
        <v>425476.80999999493</v>
      </c>
      <c r="W14" s="645">
        <f>Q14-T14</f>
        <v>2.3692846298217773E-6</v>
      </c>
    </row>
    <row r="15" spans="1:23" x14ac:dyDescent="0.3">
      <c r="A15" s="644">
        <v>18550</v>
      </c>
      <c r="B15" s="628" t="s">
        <v>2626</v>
      </c>
      <c r="C15" s="645">
        <v>237531.27</v>
      </c>
      <c r="D15" s="645"/>
      <c r="E15" s="646">
        <v>2074289.5299999998</v>
      </c>
      <c r="F15" s="646"/>
      <c r="G15" s="646">
        <v>-1325222.6599999999</v>
      </c>
      <c r="H15" s="647"/>
      <c r="I15" s="646">
        <v>0</v>
      </c>
      <c r="J15" s="646"/>
      <c r="K15" s="646">
        <v>-4654.79</v>
      </c>
      <c r="L15" s="647"/>
      <c r="M15" s="646">
        <v>0</v>
      </c>
      <c r="N15" s="646">
        <v>282.14999999999998</v>
      </c>
      <c r="O15" s="649">
        <v>0</v>
      </c>
      <c r="P15" s="647"/>
      <c r="Q15" s="646">
        <f>SUM(C15:P15)</f>
        <v>982225.49999999988</v>
      </c>
      <c r="R15" s="645"/>
      <c r="S15" s="645"/>
      <c r="T15" s="645">
        <v>982225.5</v>
      </c>
      <c r="U15" s="645">
        <v>981943.37</v>
      </c>
      <c r="V15" s="645">
        <f>T15-U15</f>
        <v>282.13000000000466</v>
      </c>
      <c r="W15" s="645">
        <f>Q15-T15</f>
        <v>0</v>
      </c>
    </row>
    <row r="16" spans="1:23" x14ac:dyDescent="0.3">
      <c r="A16" s="644">
        <v>18590</v>
      </c>
      <c r="B16" s="628" t="s">
        <v>2143</v>
      </c>
      <c r="C16" s="645">
        <v>57112170.899999999</v>
      </c>
      <c r="D16" s="650"/>
      <c r="E16" s="646">
        <v>160667940.76001194</v>
      </c>
      <c r="F16" s="651"/>
      <c r="G16" s="652">
        <v>-74543588.140000015</v>
      </c>
      <c r="H16" s="653"/>
      <c r="I16" s="646">
        <v>-295835.48</v>
      </c>
      <c r="J16" s="646"/>
      <c r="K16" s="646">
        <v>-53524.31</v>
      </c>
      <c r="L16" s="653"/>
      <c r="M16" s="646">
        <v>65408.909999999989</v>
      </c>
      <c r="N16" s="646">
        <v>49417.659999999996</v>
      </c>
      <c r="O16" s="649">
        <v>0</v>
      </c>
      <c r="P16" s="653"/>
      <c r="Q16" s="646">
        <f>SUM(C16:P16)</f>
        <v>143001990.30001193</v>
      </c>
      <c r="R16" s="650"/>
      <c r="S16" s="650"/>
      <c r="T16" s="645">
        <v>143001990.30000001</v>
      </c>
      <c r="U16" s="645">
        <v>142887044.84</v>
      </c>
      <c r="V16" s="645">
        <f>T16-U16</f>
        <v>114945.46000000834</v>
      </c>
      <c r="W16" s="645">
        <f>Q16-T16</f>
        <v>1.1920928955078125E-5</v>
      </c>
    </row>
    <row r="17" spans="1:23" x14ac:dyDescent="0.3">
      <c r="A17" s="644">
        <v>18595</v>
      </c>
      <c r="B17" s="628" t="s">
        <v>2144</v>
      </c>
      <c r="C17" s="645">
        <v>173821231.43000001</v>
      </c>
      <c r="D17" s="650"/>
      <c r="E17" s="651">
        <v>128137424.46999997</v>
      </c>
      <c r="F17" s="651"/>
      <c r="G17" s="654">
        <v>-296663876.5600009</v>
      </c>
      <c r="H17" s="653"/>
      <c r="I17" s="646">
        <v>0</v>
      </c>
      <c r="J17" s="646"/>
      <c r="K17" s="646">
        <v>-9055.61</v>
      </c>
      <c r="L17" s="653"/>
      <c r="M17" s="646">
        <v>107676.55999999998</v>
      </c>
      <c r="N17" s="646">
        <v>13392.599999999999</v>
      </c>
      <c r="O17" s="655">
        <v>-0.03</v>
      </c>
      <c r="P17" s="653"/>
      <c r="Q17" s="646">
        <f>SUM(C17:P17)</f>
        <v>5406792.8599990783</v>
      </c>
      <c r="R17" s="645"/>
      <c r="S17" s="645"/>
      <c r="T17" s="645">
        <v>5406792.8600000003</v>
      </c>
      <c r="U17" s="645">
        <v>5285723.7300000004</v>
      </c>
      <c r="V17" s="645">
        <f>T17-U17</f>
        <v>121069.12999999989</v>
      </c>
      <c r="W17" s="645">
        <f>Q17-T17</f>
        <v>-9.2200934886932373E-7</v>
      </c>
    </row>
    <row r="18" spans="1:23" x14ac:dyDescent="0.3">
      <c r="A18" s="644"/>
      <c r="B18" s="628"/>
      <c r="C18" s="656"/>
      <c r="D18" s="656"/>
      <c r="E18" s="657"/>
      <c r="F18" s="657"/>
      <c r="G18" s="658"/>
      <c r="H18" s="657"/>
      <c r="I18" s="657"/>
      <c r="J18" s="659"/>
      <c r="K18" s="657"/>
      <c r="L18" s="657"/>
      <c r="M18" s="657"/>
      <c r="N18" s="657"/>
      <c r="O18" s="657"/>
      <c r="P18" s="657"/>
      <c r="Q18" s="657"/>
      <c r="R18" s="660"/>
      <c r="S18" s="660"/>
      <c r="T18" s="656"/>
      <c r="U18" s="656"/>
      <c r="V18" s="656"/>
      <c r="W18" s="656"/>
    </row>
    <row r="19" spans="1:23" ht="15" thickBot="1" x14ac:dyDescent="0.35">
      <c r="A19" s="628" t="s">
        <v>2627</v>
      </c>
      <c r="B19" s="620" t="s">
        <v>2628</v>
      </c>
      <c r="C19" s="661">
        <f>SUM(C14:C18)</f>
        <v>245531870.44999999</v>
      </c>
      <c r="D19" s="661"/>
      <c r="E19" s="661">
        <f>SUM(E14:E18)</f>
        <v>347868035.85001427</v>
      </c>
      <c r="F19" s="662"/>
      <c r="G19" s="663">
        <f>SUM(G14:G18)</f>
        <v>-398063356.53000093</v>
      </c>
      <c r="H19" s="664"/>
      <c r="I19" s="663">
        <f>SUM(I14:I18)</f>
        <v>-334802.03999999998</v>
      </c>
      <c r="J19" s="663"/>
      <c r="K19" s="663">
        <f>SUM(K14:K18)</f>
        <v>-131737.63</v>
      </c>
      <c r="L19" s="663"/>
      <c r="M19" s="663">
        <f>SUM(M14:M18)</f>
        <v>308221.07</v>
      </c>
      <c r="N19" s="663">
        <f>SUM(N14:N18)</f>
        <v>353471.45999999996</v>
      </c>
      <c r="O19" s="663">
        <f>SUM(O14:O18)</f>
        <v>-0.03</v>
      </c>
      <c r="P19" s="664"/>
      <c r="Q19" s="664">
        <f>SUM(Q14:Q18)</f>
        <v>195531702.60001341</v>
      </c>
      <c r="R19" s="660"/>
      <c r="S19" s="660"/>
      <c r="T19" s="661">
        <f>SUM(T14:T18)</f>
        <v>195531702.60000002</v>
      </c>
      <c r="U19" s="660">
        <f>SUM(U14:U18)</f>
        <v>194869929.06999999</v>
      </c>
      <c r="V19" s="660">
        <f>SUM(V14:V18)</f>
        <v>661773.53000000317</v>
      </c>
      <c r="W19" s="660">
        <f>SUM(W14:W18)</f>
        <v>1.3368204236030579E-5</v>
      </c>
    </row>
    <row r="20" spans="1:23" ht="15" thickTop="1" x14ac:dyDescent="0.3">
      <c r="A20" s="628"/>
      <c r="B20" s="620"/>
      <c r="C20" s="665"/>
      <c r="D20" s="665"/>
      <c r="E20" s="666" t="s">
        <v>1019</v>
      </c>
      <c r="F20" s="665"/>
      <c r="G20" s="667" t="s">
        <v>2629</v>
      </c>
      <c r="H20" s="666"/>
      <c r="I20" s="666" t="s">
        <v>1020</v>
      </c>
      <c r="J20" s="666"/>
      <c r="K20" s="666" t="s">
        <v>1020</v>
      </c>
      <c r="L20" s="666"/>
      <c r="M20" s="666" t="s">
        <v>1020</v>
      </c>
      <c r="N20" s="666" t="s">
        <v>1020</v>
      </c>
      <c r="O20" s="666" t="s">
        <v>1020</v>
      </c>
      <c r="P20" s="666"/>
      <c r="Q20" s="665"/>
      <c r="R20" s="660"/>
      <c r="S20" s="660"/>
      <c r="T20" s="660"/>
      <c r="U20" s="660"/>
      <c r="V20" s="665"/>
      <c r="W20" s="660"/>
    </row>
    <row r="21" spans="1:23" x14ac:dyDescent="0.3">
      <c r="A21" s="628"/>
      <c r="B21" s="628"/>
      <c r="C21" s="660"/>
      <c r="D21" s="660"/>
      <c r="E21" s="668"/>
      <c r="F21" s="669"/>
      <c r="G21" s="670"/>
      <c r="H21" s="671"/>
      <c r="I21" s="671"/>
      <c r="J21" s="671"/>
      <c r="K21" s="671"/>
      <c r="L21" s="671"/>
      <c r="M21" s="671"/>
      <c r="N21" s="671"/>
      <c r="O21" s="671"/>
      <c r="P21" s="671"/>
      <c r="Q21" s="660"/>
      <c r="R21" s="660"/>
      <c r="S21" s="660"/>
      <c r="T21" s="660"/>
      <c r="U21" s="660"/>
      <c r="V21" s="665"/>
      <c r="W21" s="660"/>
    </row>
    <row r="22" spans="1:23" x14ac:dyDescent="0.3">
      <c r="A22" s="628"/>
      <c r="B22" s="628"/>
      <c r="C22" s="660"/>
      <c r="D22" s="660"/>
      <c r="E22" s="669" t="s">
        <v>2630</v>
      </c>
      <c r="F22" s="669"/>
      <c r="G22" s="672">
        <f>G19</f>
        <v>-398063356.53000093</v>
      </c>
      <c r="H22" s="668"/>
      <c r="I22" s="668"/>
      <c r="J22" s="668"/>
      <c r="K22" s="668"/>
      <c r="L22" s="668"/>
      <c r="M22" s="668"/>
      <c r="N22" s="660" t="s">
        <v>2631</v>
      </c>
      <c r="O22" s="660"/>
      <c r="P22" s="659"/>
      <c r="Q22" s="673">
        <f>Q19</f>
        <v>195531702.60001341</v>
      </c>
      <c r="R22" s="660"/>
      <c r="S22" s="660"/>
      <c r="T22" s="660" t="s">
        <v>2632</v>
      </c>
      <c r="U22" s="660"/>
      <c r="V22" s="660"/>
      <c r="W22" s="660"/>
    </row>
    <row r="23" spans="1:23" x14ac:dyDescent="0.3">
      <c r="A23" s="628"/>
      <c r="B23" s="628"/>
      <c r="C23" s="660"/>
      <c r="D23" s="660"/>
      <c r="E23" s="669" t="s">
        <v>2633</v>
      </c>
      <c r="F23" s="669"/>
      <c r="G23" s="672">
        <f>'801 SCH 2019 '!N42+'801 SCH 2019 '!O42</f>
        <v>377770955.70999998</v>
      </c>
      <c r="H23" s="668"/>
      <c r="I23" s="668"/>
      <c r="J23" s="668"/>
      <c r="K23" s="668"/>
      <c r="L23" s="668"/>
      <c r="M23" s="668"/>
      <c r="N23" s="660"/>
      <c r="O23" s="660"/>
      <c r="P23" s="659"/>
      <c r="Q23" s="660"/>
      <c r="R23" s="660"/>
      <c r="S23" s="660"/>
      <c r="T23" s="660"/>
      <c r="U23" s="660"/>
      <c r="V23" s="660"/>
      <c r="W23" s="660"/>
    </row>
    <row r="24" spans="1:23" x14ac:dyDescent="0.3">
      <c r="A24" s="628"/>
      <c r="B24" s="628"/>
      <c r="C24" s="660"/>
      <c r="D24" s="660"/>
      <c r="E24" s="674" t="s">
        <v>2634</v>
      </c>
      <c r="F24" s="669"/>
      <c r="G24" s="675">
        <f>20332312.03-77662.12</f>
        <v>20254649.91</v>
      </c>
      <c r="H24" s="668"/>
      <c r="I24" s="668"/>
      <c r="J24" s="668"/>
      <c r="K24" s="668"/>
      <c r="L24" s="668"/>
      <c r="M24" s="668"/>
      <c r="N24" s="673" t="s">
        <v>2635</v>
      </c>
      <c r="O24" s="673"/>
      <c r="P24" s="659"/>
      <c r="Q24" s="676">
        <v>195531702.59999999</v>
      </c>
      <c r="R24" s="660"/>
      <c r="S24" s="660"/>
      <c r="T24" s="660"/>
      <c r="U24" s="660"/>
      <c r="V24" s="660"/>
      <c r="W24" s="660"/>
    </row>
    <row r="25" spans="1:23" x14ac:dyDescent="0.3">
      <c r="A25" s="628"/>
      <c r="B25" s="628"/>
      <c r="C25" s="660"/>
      <c r="D25" s="660"/>
      <c r="E25" s="669" t="s">
        <v>2636</v>
      </c>
      <c r="F25" s="669"/>
      <c r="G25" s="677">
        <v>37750.910000000003</v>
      </c>
      <c r="H25" s="668"/>
      <c r="I25" s="668"/>
      <c r="J25" s="668"/>
      <c r="K25" s="668"/>
      <c r="L25" s="668"/>
      <c r="M25" s="668"/>
      <c r="N25" s="673"/>
      <c r="O25" s="673"/>
      <c r="P25" s="659"/>
      <c r="Q25" s="678"/>
      <c r="R25" s="660"/>
      <c r="S25" s="660"/>
      <c r="T25" s="660"/>
      <c r="U25" s="660"/>
      <c r="V25" s="660"/>
      <c r="W25" s="660"/>
    </row>
    <row r="26" spans="1:23" x14ac:dyDescent="0.3">
      <c r="A26" s="628"/>
      <c r="B26" s="628"/>
      <c r="C26" s="660"/>
      <c r="D26" s="660"/>
      <c r="E26" s="679"/>
      <c r="F26" s="669"/>
      <c r="G26" s="675"/>
      <c r="H26" s="668"/>
      <c r="I26" s="668"/>
      <c r="J26" s="668"/>
      <c r="K26" s="668"/>
      <c r="L26" s="668"/>
      <c r="M26" s="668"/>
      <c r="N26" s="673"/>
      <c r="O26" s="673"/>
      <c r="P26" s="659"/>
      <c r="Q26" s="678"/>
      <c r="R26" s="660"/>
      <c r="S26" s="660"/>
      <c r="T26" s="660"/>
      <c r="U26" s="660"/>
      <c r="V26" s="660"/>
      <c r="W26" s="660"/>
    </row>
    <row r="27" spans="1:23" x14ac:dyDescent="0.3">
      <c r="A27" s="628"/>
      <c r="B27" s="628"/>
      <c r="C27" s="660"/>
      <c r="D27" s="660"/>
      <c r="E27" s="669"/>
      <c r="F27" s="669"/>
      <c r="G27" s="680"/>
      <c r="H27" s="668"/>
      <c r="I27" s="668"/>
      <c r="J27" s="668"/>
      <c r="K27" s="668"/>
      <c r="L27" s="668"/>
      <c r="M27" s="668"/>
      <c r="N27" s="673"/>
      <c r="O27" s="673"/>
      <c r="P27" s="659"/>
      <c r="Q27" s="678"/>
      <c r="R27" s="660"/>
      <c r="S27" s="660"/>
      <c r="T27" s="660"/>
      <c r="U27" s="660"/>
      <c r="V27" s="660"/>
      <c r="W27" s="660"/>
    </row>
    <row r="28" spans="1:23" x14ac:dyDescent="0.3">
      <c r="A28" s="628"/>
      <c r="B28" s="628"/>
      <c r="C28" s="660"/>
      <c r="D28" s="660"/>
      <c r="E28" s="668"/>
      <c r="F28" s="669"/>
      <c r="G28" s="672">
        <f>SUM(G22:G27)</f>
        <v>-9.4636925496160984E-7</v>
      </c>
      <c r="H28" s="668"/>
      <c r="I28" s="668"/>
      <c r="J28" s="668"/>
      <c r="K28" s="668"/>
      <c r="L28" s="668"/>
      <c r="M28" s="668"/>
      <c r="N28" s="660"/>
      <c r="O28" s="660"/>
      <c r="P28" s="659"/>
      <c r="Q28" s="660"/>
      <c r="R28" s="660"/>
      <c r="S28" s="660"/>
      <c r="T28" s="660"/>
      <c r="U28" s="660"/>
      <c r="V28" s="660"/>
      <c r="W28" s="660"/>
    </row>
    <row r="29" spans="1:23" ht="15" thickBot="1" x14ac:dyDescent="0.35">
      <c r="A29" s="628"/>
      <c r="B29" s="628"/>
      <c r="C29" s="660"/>
      <c r="D29" s="660"/>
      <c r="E29" s="681" t="s">
        <v>1954</v>
      </c>
      <c r="F29" s="679"/>
      <c r="G29" s="682">
        <f>G28</f>
        <v>-9.4636925496160984E-7</v>
      </c>
      <c r="H29" s="668"/>
      <c r="I29" s="668"/>
      <c r="J29" s="668"/>
      <c r="K29" s="668"/>
      <c r="L29" s="668"/>
      <c r="M29" s="668"/>
      <c r="N29" s="673" t="s">
        <v>1954</v>
      </c>
      <c r="O29" s="673"/>
      <c r="P29" s="659"/>
      <c r="Q29" s="683">
        <f>Q24-Q22</f>
        <v>-1.3411045074462891E-5</v>
      </c>
      <c r="R29" s="660"/>
      <c r="S29" s="660"/>
      <c r="T29" s="660"/>
      <c r="U29" s="660"/>
      <c r="V29" s="660"/>
      <c r="W29" s="660"/>
    </row>
    <row r="30" spans="1:23" ht="15" thickTop="1" x14ac:dyDescent="0.3">
      <c r="A30" s="628"/>
      <c r="B30" s="628"/>
      <c r="C30" s="660"/>
      <c r="D30" s="660"/>
      <c r="E30" s="668"/>
      <c r="F30" s="669"/>
      <c r="G30" s="633">
        <f>G28-G29</f>
        <v>0</v>
      </c>
      <c r="H30" s="668"/>
      <c r="I30" s="668"/>
      <c r="J30" s="668"/>
      <c r="K30" s="668"/>
      <c r="L30" s="668"/>
      <c r="M30" s="668"/>
      <c r="N30" s="668"/>
      <c r="O30" s="668"/>
      <c r="P30" s="660"/>
      <c r="Q30" s="660"/>
      <c r="R30" s="660"/>
      <c r="S30" s="660"/>
      <c r="T30" s="660"/>
      <c r="U30" s="660"/>
      <c r="V30" s="660"/>
      <c r="W30" s="660"/>
    </row>
    <row r="31" spans="1:23" x14ac:dyDescent="0.3">
      <c r="A31" s="621"/>
      <c r="B31" s="621"/>
      <c r="C31" s="621"/>
      <c r="D31" s="621"/>
      <c r="E31" s="621"/>
      <c r="F31" s="621"/>
      <c r="G31" s="621"/>
      <c r="H31" s="621"/>
      <c r="I31" s="621"/>
      <c r="J31" s="621"/>
      <c r="K31" s="621"/>
      <c r="L31" s="621"/>
      <c r="M31" s="621"/>
      <c r="N31" s="621"/>
      <c r="O31" s="621"/>
      <c r="P31" s="621"/>
      <c r="Q31" s="684"/>
      <c r="R31" s="621"/>
      <c r="S31" s="621"/>
      <c r="T31" s="621"/>
      <c r="U31" s="621"/>
      <c r="V31" s="621"/>
      <c r="W31" s="621"/>
    </row>
    <row r="33" spans="3:21" x14ac:dyDescent="0.3">
      <c r="C33" s="620" t="s">
        <v>2637</v>
      </c>
      <c r="D33" s="628"/>
      <c r="E33" s="685"/>
      <c r="F33" s="686"/>
      <c r="G33" s="659"/>
      <c r="H33" s="659"/>
      <c r="I33" s="659"/>
      <c r="J33" s="659"/>
      <c r="K33" s="659"/>
      <c r="L33" s="659"/>
      <c r="M33" s="659"/>
      <c r="N33" s="659"/>
      <c r="O33" s="659"/>
      <c r="P33" s="659"/>
      <c r="Q33" s="645"/>
      <c r="R33" s="628"/>
      <c r="S33" s="628"/>
      <c r="T33" s="645"/>
      <c r="U33" s="645"/>
    </row>
    <row r="34" spans="3:21" x14ac:dyDescent="0.3">
      <c r="C34" s="628"/>
      <c r="D34" s="628"/>
      <c r="E34" s="685"/>
      <c r="F34" s="686"/>
      <c r="G34" s="659"/>
      <c r="H34" s="659"/>
      <c r="I34" s="659"/>
      <c r="J34" s="659"/>
      <c r="K34" s="659"/>
      <c r="L34" s="659"/>
      <c r="M34" s="659"/>
      <c r="N34" s="659"/>
      <c r="O34" s="659"/>
      <c r="P34" s="659"/>
      <c r="Q34" s="645"/>
      <c r="R34" s="628"/>
      <c r="S34" s="628"/>
      <c r="T34" s="645"/>
      <c r="U34" s="645"/>
    </row>
    <row r="35" spans="3:21" x14ac:dyDescent="0.3">
      <c r="C35" s="628" t="s">
        <v>2638</v>
      </c>
      <c r="D35" s="628"/>
      <c r="E35" s="685"/>
      <c r="F35" s="686"/>
      <c r="G35" s="687">
        <v>1280373309.8099999</v>
      </c>
      <c r="H35" s="659"/>
      <c r="I35" s="659"/>
      <c r="J35" s="659"/>
      <c r="K35" s="659"/>
      <c r="L35" s="659"/>
      <c r="M35" s="659"/>
      <c r="N35" s="659"/>
      <c r="O35" s="659"/>
      <c r="P35" s="659"/>
      <c r="Q35" s="645"/>
      <c r="R35" s="628"/>
      <c r="S35" s="628"/>
      <c r="T35" s="645"/>
      <c r="U35" s="645"/>
    </row>
    <row r="36" spans="3:21" x14ac:dyDescent="0.3">
      <c r="C36" s="620" t="s">
        <v>329</v>
      </c>
      <c r="D36" s="628"/>
      <c r="E36" s="685"/>
      <c r="F36" s="686"/>
      <c r="G36" s="659"/>
      <c r="H36" s="659"/>
      <c r="I36" s="659"/>
      <c r="J36" s="659"/>
      <c r="K36" s="659"/>
      <c r="L36" s="659"/>
      <c r="M36" s="659"/>
      <c r="N36" s="659"/>
      <c r="O36" s="659"/>
      <c r="P36" s="659"/>
      <c r="Q36" s="645"/>
      <c r="R36" s="628"/>
      <c r="S36" s="628"/>
      <c r="T36" s="645"/>
      <c r="U36" s="645"/>
    </row>
    <row r="37" spans="3:21" x14ac:dyDescent="0.3">
      <c r="C37" s="628"/>
      <c r="D37" s="628"/>
      <c r="E37" s="685"/>
      <c r="F37" s="686"/>
      <c r="G37" s="659"/>
      <c r="H37" s="659"/>
      <c r="I37" s="659"/>
      <c r="J37" s="659"/>
      <c r="K37" s="659"/>
      <c r="L37" s="659"/>
      <c r="M37" s="659"/>
      <c r="N37" s="659"/>
      <c r="O37" s="659"/>
      <c r="P37" s="659"/>
      <c r="Q37" s="645"/>
      <c r="R37" s="628"/>
      <c r="S37" s="628"/>
      <c r="T37" s="645"/>
      <c r="U37" s="645"/>
    </row>
    <row r="38" spans="3:21" x14ac:dyDescent="0.3">
      <c r="C38" s="628" t="s">
        <v>2639</v>
      </c>
      <c r="D38" s="628"/>
      <c r="E38" s="685"/>
      <c r="F38" s="686"/>
      <c r="G38" s="688">
        <f>E19</f>
        <v>347868035.85001427</v>
      </c>
      <c r="H38" s="659"/>
      <c r="I38" s="659" t="s">
        <v>1019</v>
      </c>
      <c r="J38" s="659"/>
      <c r="K38" s="659"/>
      <c r="L38" s="659"/>
      <c r="M38" s="659"/>
      <c r="N38" s="659"/>
      <c r="O38" s="659"/>
      <c r="P38" s="659"/>
      <c r="Q38" s="645"/>
      <c r="R38" s="628"/>
      <c r="S38" s="628"/>
      <c r="T38" s="645"/>
      <c r="U38" s="645"/>
    </row>
    <row r="39" spans="3:21" x14ac:dyDescent="0.3">
      <c r="C39" s="628" t="s">
        <v>2640</v>
      </c>
      <c r="D39" s="628"/>
      <c r="E39" s="685"/>
      <c r="F39" s="686"/>
      <c r="G39" s="688">
        <f>I19+K19+M19+N19+O19</f>
        <v>195152.83</v>
      </c>
      <c r="H39" s="659"/>
      <c r="I39" s="659" t="s">
        <v>1020</v>
      </c>
      <c r="J39" s="659"/>
      <c r="K39" s="659">
        <f>SUM(G38:G39)</f>
        <v>348063188.68001425</v>
      </c>
      <c r="L39" s="659"/>
      <c r="M39" s="659"/>
      <c r="N39" s="659"/>
      <c r="O39" s="659"/>
      <c r="P39" s="659"/>
      <c r="Q39" s="645"/>
      <c r="R39" s="628"/>
      <c r="S39" s="628"/>
      <c r="T39" s="645"/>
      <c r="U39" s="645"/>
    </row>
    <row r="40" spans="3:21" x14ac:dyDescent="0.3">
      <c r="C40" s="628" t="s">
        <v>2641</v>
      </c>
      <c r="D40" s="628"/>
      <c r="E40" s="685"/>
      <c r="F40" s="686"/>
      <c r="G40" s="659">
        <f>'801 SCH 2019 '!G42+'801 SCH 2019 '!H42</f>
        <v>-23707.669999999984</v>
      </c>
      <c r="H40" s="659"/>
      <c r="I40" s="659" t="s">
        <v>2642</v>
      </c>
      <c r="J40" s="659"/>
      <c r="K40" s="659"/>
      <c r="L40" s="659"/>
      <c r="M40" s="659"/>
      <c r="N40" s="659"/>
      <c r="O40" s="659"/>
      <c r="P40" s="659"/>
      <c r="Q40" s="645"/>
      <c r="R40" s="628"/>
      <c r="S40" s="628"/>
      <c r="T40" s="645"/>
      <c r="U40" s="645"/>
    </row>
    <row r="41" spans="3:21" x14ac:dyDescent="0.3">
      <c r="C41" s="628" t="s">
        <v>2643</v>
      </c>
      <c r="D41" s="628"/>
      <c r="E41" s="685"/>
      <c r="F41" s="686"/>
      <c r="G41" s="659">
        <f>'801 SCH 2019 '!I42+'801 SCH 2019 '!J42</f>
        <v>21596037.600000001</v>
      </c>
      <c r="H41" s="659"/>
      <c r="I41" s="659" t="s">
        <v>2644</v>
      </c>
      <c r="J41" s="659"/>
      <c r="K41" s="659"/>
      <c r="L41" s="659"/>
      <c r="M41" s="659"/>
      <c r="N41" s="659"/>
      <c r="O41" s="659"/>
      <c r="P41" s="659"/>
      <c r="Q41" s="645"/>
      <c r="R41" s="628"/>
      <c r="S41" s="628"/>
      <c r="T41" s="645"/>
      <c r="U41" s="645"/>
    </row>
    <row r="42" spans="3:21" x14ac:dyDescent="0.3">
      <c r="C42" s="628"/>
      <c r="D42" s="628"/>
      <c r="E42" s="685"/>
      <c r="F42" s="686"/>
      <c r="G42" s="659"/>
      <c r="H42" s="659"/>
      <c r="I42" s="659" t="s">
        <v>2645</v>
      </c>
      <c r="J42" s="659"/>
      <c r="K42" s="659"/>
      <c r="L42" s="659"/>
      <c r="M42" s="659"/>
      <c r="N42" s="659"/>
      <c r="O42" s="659"/>
      <c r="P42" s="659"/>
      <c r="Q42" s="645"/>
      <c r="R42" s="628"/>
      <c r="S42" s="628"/>
      <c r="T42" s="645"/>
      <c r="U42" s="645"/>
    </row>
    <row r="43" spans="3:21" x14ac:dyDescent="0.3">
      <c r="C43" s="628" t="s">
        <v>2646</v>
      </c>
      <c r="D43" s="628"/>
      <c r="E43" s="685"/>
      <c r="F43" s="686"/>
      <c r="G43" s="659">
        <f>'801 SCH 2019 '!F42</f>
        <v>-362776.64000000048</v>
      </c>
      <c r="H43" s="659"/>
      <c r="I43" s="659" t="s">
        <v>2647</v>
      </c>
      <c r="J43" s="659"/>
      <c r="K43" s="659"/>
      <c r="L43" s="659"/>
      <c r="M43" s="659"/>
      <c r="N43" s="659"/>
      <c r="O43" s="659"/>
      <c r="P43" s="659"/>
      <c r="Q43" s="645"/>
      <c r="R43" s="628"/>
      <c r="S43" s="628"/>
      <c r="T43" s="645"/>
      <c r="U43" s="645"/>
    </row>
    <row r="44" spans="3:21" x14ac:dyDescent="0.3">
      <c r="C44" s="620" t="s">
        <v>2648</v>
      </c>
      <c r="D44" s="628"/>
      <c r="E44" s="685"/>
      <c r="F44" s="686"/>
      <c r="G44" s="659"/>
      <c r="H44" s="659"/>
      <c r="I44" s="659"/>
      <c r="J44" s="659"/>
      <c r="K44" s="659"/>
      <c r="L44" s="659"/>
      <c r="M44" s="659"/>
      <c r="N44" s="659"/>
      <c r="O44" s="659"/>
      <c r="P44" s="659"/>
      <c r="Q44" s="645"/>
      <c r="R44" s="628"/>
      <c r="S44" s="628"/>
      <c r="T44" s="645"/>
      <c r="U44" s="645"/>
    </row>
    <row r="45" spans="3:21" x14ac:dyDescent="0.3">
      <c r="C45" s="628" t="s">
        <v>2649</v>
      </c>
      <c r="D45" s="628"/>
      <c r="E45" s="685"/>
      <c r="F45" s="686"/>
      <c r="G45" s="659">
        <f>G19</f>
        <v>-398063356.53000093</v>
      </c>
      <c r="H45" s="659"/>
      <c r="I45" s="659" t="s">
        <v>2629</v>
      </c>
      <c r="J45" s="659"/>
      <c r="K45" s="659">
        <f>SUM(G45)</f>
        <v>-398063356.53000093</v>
      </c>
      <c r="L45" s="659"/>
      <c r="M45" s="659"/>
      <c r="N45" s="659"/>
      <c r="O45" s="659"/>
      <c r="P45" s="659"/>
      <c r="Q45" s="645"/>
      <c r="R45" s="628"/>
      <c r="S45" s="628"/>
      <c r="T45" s="645"/>
      <c r="U45" s="645"/>
    </row>
    <row r="46" spans="3:21" x14ac:dyDescent="0.3">
      <c r="C46" s="628"/>
      <c r="D46" s="628"/>
      <c r="E46" s="685"/>
      <c r="F46" s="686"/>
      <c r="G46" s="659"/>
      <c r="H46" s="659"/>
      <c r="I46" s="659"/>
      <c r="J46" s="659"/>
      <c r="K46" s="659"/>
      <c r="L46" s="659"/>
      <c r="M46" s="659"/>
      <c r="N46" s="659"/>
      <c r="O46" s="659"/>
      <c r="P46" s="659"/>
      <c r="Q46" s="645"/>
      <c r="R46" s="628"/>
      <c r="S46" s="628"/>
      <c r="T46" s="645"/>
      <c r="U46" s="645"/>
    </row>
    <row r="47" spans="3:21" x14ac:dyDescent="0.3">
      <c r="C47" s="628" t="s">
        <v>2650</v>
      </c>
      <c r="D47" s="628"/>
      <c r="E47" s="685"/>
      <c r="F47" s="686"/>
      <c r="G47" s="659">
        <f>'801 SCH 2019 '!N42+'801 SCH 2019 '!O42</f>
        <v>377770955.70999998</v>
      </c>
      <c r="H47" s="659"/>
      <c r="I47" s="659" t="s">
        <v>2651</v>
      </c>
      <c r="J47" s="659"/>
      <c r="K47" s="659"/>
      <c r="L47" s="659"/>
      <c r="M47" s="659"/>
      <c r="N47" s="659"/>
      <c r="O47" s="659"/>
      <c r="P47" s="659"/>
      <c r="Q47" s="645"/>
      <c r="R47" s="628"/>
      <c r="S47" s="628"/>
      <c r="T47" s="645"/>
      <c r="U47" s="645"/>
    </row>
    <row r="48" spans="3:21" x14ac:dyDescent="0.3">
      <c r="C48" s="620" t="s">
        <v>2652</v>
      </c>
      <c r="D48" s="628"/>
      <c r="E48" s="685"/>
      <c r="F48" s="686"/>
      <c r="G48" s="659"/>
      <c r="H48" s="659"/>
      <c r="I48" s="659"/>
      <c r="J48" s="659"/>
      <c r="K48" s="659"/>
      <c r="L48" s="659"/>
      <c r="M48" s="659"/>
      <c r="N48" s="659"/>
      <c r="O48" s="659"/>
      <c r="P48" s="659"/>
      <c r="Q48" s="645"/>
      <c r="R48" s="628"/>
      <c r="S48" s="628"/>
      <c r="T48" s="645"/>
      <c r="U48" s="645"/>
    </row>
    <row r="49" spans="3:21" x14ac:dyDescent="0.3">
      <c r="C49" s="620" t="s">
        <v>2653</v>
      </c>
      <c r="D49" s="628"/>
      <c r="E49" s="685"/>
      <c r="F49" s="686"/>
      <c r="G49" s="659">
        <f>'801 SCH 2019 '!L42+'801 SCH 2019 '!M42</f>
        <v>0</v>
      </c>
      <c r="H49" s="659"/>
      <c r="I49" s="659" t="s">
        <v>2654</v>
      </c>
      <c r="J49" s="659"/>
      <c r="K49" s="659"/>
      <c r="L49" s="659"/>
      <c r="M49" s="659"/>
      <c r="N49" s="659"/>
      <c r="O49" s="659"/>
      <c r="P49" s="659"/>
      <c r="Q49" s="645"/>
      <c r="R49" s="628"/>
      <c r="S49" s="628"/>
      <c r="T49" s="645"/>
      <c r="U49" s="645"/>
    </row>
    <row r="50" spans="3:21" x14ac:dyDescent="0.3">
      <c r="C50" s="628" t="s">
        <v>2655</v>
      </c>
      <c r="D50" s="628"/>
      <c r="E50" s="685"/>
      <c r="F50" s="686"/>
      <c r="G50" s="659">
        <f>'801 SCH 2019 '!K42</f>
        <v>0</v>
      </c>
      <c r="H50" s="659"/>
      <c r="I50" s="659" t="s">
        <v>2656</v>
      </c>
      <c r="J50" s="659"/>
      <c r="K50" s="659"/>
      <c r="L50" s="659"/>
      <c r="M50" s="659"/>
      <c r="N50" s="659"/>
      <c r="O50" s="659"/>
      <c r="P50" s="659"/>
      <c r="Q50" s="645"/>
      <c r="R50" s="628"/>
      <c r="S50" s="628"/>
      <c r="T50" s="645"/>
      <c r="U50" s="645"/>
    </row>
    <row r="51" spans="3:21" x14ac:dyDescent="0.3">
      <c r="C51" s="628"/>
      <c r="D51" s="628"/>
      <c r="E51" s="685"/>
      <c r="F51" s="686"/>
      <c r="G51" s="659"/>
      <c r="H51" s="659"/>
      <c r="I51" s="659"/>
      <c r="J51" s="659"/>
      <c r="K51" s="659"/>
      <c r="L51" s="659"/>
      <c r="M51" s="659"/>
      <c r="N51" s="659"/>
      <c r="O51" s="659"/>
      <c r="P51" s="659"/>
      <c r="Q51" s="645"/>
      <c r="R51" s="628"/>
      <c r="S51" s="628"/>
      <c r="T51" s="645"/>
      <c r="U51" s="645"/>
    </row>
    <row r="52" spans="3:21" x14ac:dyDescent="0.3">
      <c r="C52" s="628" t="s">
        <v>2657</v>
      </c>
      <c r="D52" s="628"/>
      <c r="E52" s="685"/>
      <c r="F52" s="686"/>
      <c r="G52" s="659">
        <f>'801 SCH 2019 '!Q42+'801 SCH 2019 '!Q79</f>
        <v>-236363.18000000343</v>
      </c>
      <c r="H52" s="659"/>
      <c r="I52" s="659"/>
      <c r="J52" s="659"/>
      <c r="K52" s="659"/>
      <c r="L52" s="659"/>
      <c r="M52" s="659"/>
      <c r="N52" s="659"/>
      <c r="O52" s="659"/>
      <c r="P52" s="659"/>
      <c r="Q52" s="645"/>
      <c r="R52" s="628"/>
      <c r="S52" s="628"/>
      <c r="T52" s="645"/>
      <c r="U52" s="645"/>
    </row>
    <row r="53" spans="3:21" x14ac:dyDescent="0.3">
      <c r="C53" s="620" t="s">
        <v>2658</v>
      </c>
      <c r="D53" s="628"/>
      <c r="E53" s="685"/>
      <c r="F53" s="686"/>
      <c r="G53" s="659"/>
      <c r="H53" s="659"/>
      <c r="I53" s="659"/>
      <c r="J53" s="659"/>
      <c r="K53" s="659"/>
      <c r="L53" s="659"/>
      <c r="M53" s="659"/>
      <c r="N53" s="659"/>
      <c r="O53" s="659"/>
      <c r="P53" s="659"/>
      <c r="Q53" s="645"/>
      <c r="R53" s="628"/>
      <c r="S53" s="628"/>
      <c r="T53" s="645"/>
      <c r="U53" s="645"/>
    </row>
    <row r="54" spans="3:21" x14ac:dyDescent="0.3">
      <c r="C54" s="628" t="s">
        <v>2659</v>
      </c>
      <c r="D54" s="628"/>
      <c r="E54" s="685"/>
      <c r="F54" s="686"/>
      <c r="G54" s="659">
        <f>'801 SCH 2019 '!I79+'801 SCH 2019 '!J79</f>
        <v>-99045991.880000487</v>
      </c>
      <c r="H54" s="659"/>
      <c r="I54" s="659" t="s">
        <v>2660</v>
      </c>
      <c r="J54" s="659"/>
      <c r="K54" s="659"/>
      <c r="L54" s="659"/>
      <c r="M54" s="659"/>
      <c r="N54" s="659"/>
      <c r="O54" s="659"/>
      <c r="P54" s="659"/>
      <c r="Q54" s="645"/>
      <c r="R54" s="628"/>
      <c r="S54" s="628"/>
      <c r="T54" s="645"/>
      <c r="U54" s="645"/>
    </row>
    <row r="55" spans="3:21" x14ac:dyDescent="0.3">
      <c r="C55" s="628" t="s">
        <v>2661</v>
      </c>
      <c r="D55" s="628"/>
      <c r="E55" s="685"/>
      <c r="F55" s="686"/>
      <c r="G55" s="659">
        <f>'801 SCH 2019 '!O79</f>
        <v>0</v>
      </c>
      <c r="H55" s="659"/>
      <c r="I55" s="659" t="s">
        <v>2662</v>
      </c>
      <c r="J55" s="659"/>
      <c r="K55" s="659"/>
      <c r="L55" s="659"/>
      <c r="M55" s="659"/>
      <c r="N55" s="659"/>
      <c r="O55" s="659"/>
      <c r="P55" s="659"/>
      <c r="Q55" s="645"/>
      <c r="R55" s="628"/>
      <c r="S55" s="628"/>
      <c r="T55" s="645"/>
      <c r="U55" s="645"/>
    </row>
    <row r="56" spans="3:21" x14ac:dyDescent="0.3">
      <c r="C56" s="628"/>
      <c r="D56" s="628"/>
      <c r="E56" s="685"/>
      <c r="F56" s="686"/>
      <c r="G56" s="659"/>
      <c r="H56" s="659"/>
      <c r="I56" s="659"/>
      <c r="J56" s="659"/>
      <c r="K56" s="659"/>
      <c r="L56" s="659"/>
      <c r="M56" s="659"/>
      <c r="N56" s="659"/>
      <c r="O56" s="659"/>
      <c r="P56" s="659"/>
      <c r="Q56" s="645"/>
      <c r="R56" s="628"/>
      <c r="S56" s="628"/>
      <c r="T56" s="645"/>
      <c r="U56" s="645"/>
    </row>
    <row r="57" spans="3:21" x14ac:dyDescent="0.3">
      <c r="C57" s="620" t="s">
        <v>2663</v>
      </c>
      <c r="D57" s="628"/>
      <c r="E57" s="685"/>
      <c r="F57" s="686"/>
      <c r="G57" s="659"/>
      <c r="H57" s="659"/>
      <c r="I57" s="659"/>
      <c r="J57" s="659"/>
      <c r="K57" s="659"/>
      <c r="L57" s="659"/>
      <c r="M57" s="659"/>
      <c r="N57" s="659"/>
      <c r="O57" s="659"/>
      <c r="P57" s="659"/>
      <c r="Q57" s="645"/>
      <c r="R57" s="628"/>
      <c r="S57" s="628"/>
      <c r="T57" s="645"/>
      <c r="U57" s="645"/>
    </row>
    <row r="58" spans="3:21" x14ac:dyDescent="0.3">
      <c r="C58" s="628" t="s">
        <v>2664</v>
      </c>
      <c r="D58" s="628"/>
      <c r="E58" s="685"/>
      <c r="F58" s="686"/>
      <c r="G58" s="659">
        <f>'801 SCH 2019 '!K79+'801 SCH 2019 '!L79</f>
        <v>8568.66</v>
      </c>
      <c r="H58" s="659"/>
      <c r="I58" s="659" t="s">
        <v>2665</v>
      </c>
      <c r="J58" s="659"/>
      <c r="K58" s="659"/>
      <c r="L58" s="659"/>
      <c r="M58" s="659"/>
      <c r="N58" s="659"/>
      <c r="O58" s="659"/>
      <c r="P58" s="659"/>
      <c r="Q58" s="645"/>
      <c r="R58" s="628"/>
      <c r="S58" s="628"/>
      <c r="T58" s="645"/>
      <c r="U58" s="645"/>
    </row>
    <row r="59" spans="3:21" x14ac:dyDescent="0.3">
      <c r="C59" s="628"/>
      <c r="D59" s="628"/>
      <c r="E59" s="685"/>
      <c r="F59" s="686"/>
      <c r="G59" s="659"/>
      <c r="H59" s="659"/>
      <c r="I59" s="659"/>
      <c r="J59" s="659"/>
      <c r="K59" s="659"/>
      <c r="L59" s="659"/>
      <c r="M59" s="659"/>
      <c r="N59" s="659"/>
      <c r="O59" s="659"/>
      <c r="P59" s="659"/>
      <c r="Q59" s="645"/>
      <c r="R59" s="628"/>
      <c r="S59" s="628"/>
      <c r="T59" s="645"/>
      <c r="U59" s="645"/>
    </row>
    <row r="60" spans="3:21" ht="15" thickBot="1" x14ac:dyDescent="0.35">
      <c r="C60" s="628" t="s">
        <v>2666</v>
      </c>
      <c r="D60" s="628"/>
      <c r="E60" s="685"/>
      <c r="F60" s="686"/>
      <c r="G60" s="689">
        <f>SUM(G35:G59)</f>
        <v>1530079864.5600123</v>
      </c>
      <c r="H60" s="659"/>
      <c r="I60" s="659"/>
      <c r="J60" s="659"/>
      <c r="K60" s="659"/>
      <c r="L60" s="659"/>
      <c r="M60" s="659"/>
      <c r="N60" s="659"/>
      <c r="O60" s="659"/>
      <c r="P60" s="659"/>
      <c r="Q60" s="645"/>
      <c r="R60" s="628"/>
      <c r="S60" s="628"/>
      <c r="T60" s="645"/>
      <c r="U60" s="645"/>
    </row>
    <row r="61" spans="3:21" ht="15" thickTop="1" x14ac:dyDescent="0.3">
      <c r="C61" s="628"/>
      <c r="D61" s="628"/>
      <c r="E61" s="685"/>
      <c r="F61" s="686"/>
      <c r="G61" s="659"/>
      <c r="H61" s="659"/>
      <c r="I61" s="659"/>
      <c r="J61" s="659"/>
      <c r="K61" s="659"/>
      <c r="L61" s="659"/>
      <c r="M61" s="659"/>
      <c r="N61" s="659"/>
      <c r="O61" s="659"/>
      <c r="P61" s="659"/>
      <c r="Q61" s="645"/>
      <c r="R61" s="628"/>
      <c r="S61" s="628"/>
      <c r="T61" s="645"/>
      <c r="U61" s="645"/>
    </row>
    <row r="62" spans="3:21" x14ac:dyDescent="0.3">
      <c r="C62" s="628" t="s">
        <v>2667</v>
      </c>
      <c r="D62" s="628"/>
      <c r="E62" s="685"/>
      <c r="F62" s="686"/>
      <c r="G62" s="690">
        <v>1530079864.5699999</v>
      </c>
      <c r="H62" s="659"/>
      <c r="I62" s="659"/>
      <c r="J62" s="659"/>
      <c r="K62" s="659"/>
      <c r="L62" s="659"/>
      <c r="M62" s="659"/>
      <c r="N62" s="659"/>
      <c r="O62" s="659"/>
      <c r="P62" s="659"/>
      <c r="Q62" s="645"/>
      <c r="R62" s="628"/>
      <c r="S62" s="628"/>
      <c r="T62" s="645"/>
      <c r="U62" s="645"/>
    </row>
    <row r="63" spans="3:21" x14ac:dyDescent="0.3">
      <c r="C63" s="628"/>
      <c r="D63" s="628"/>
      <c r="E63" s="685"/>
      <c r="F63" s="686"/>
      <c r="G63" s="659"/>
      <c r="H63" s="659"/>
      <c r="I63" s="659"/>
      <c r="J63" s="659"/>
      <c r="K63" s="659"/>
      <c r="L63" s="659"/>
      <c r="M63" s="659"/>
      <c r="N63" s="659"/>
      <c r="O63" s="659"/>
      <c r="P63" s="659"/>
      <c r="Q63" s="645"/>
      <c r="R63" s="628"/>
      <c r="S63" s="628"/>
      <c r="T63" s="645"/>
      <c r="U63" s="645"/>
    </row>
    <row r="64" spans="3:21" x14ac:dyDescent="0.3">
      <c r="C64" s="628" t="s">
        <v>1954</v>
      </c>
      <c r="D64" s="628"/>
      <c r="E64" s="685"/>
      <c r="F64" s="686"/>
      <c r="G64" s="687">
        <f>G60-G62</f>
        <v>-9.9875926971435547E-3</v>
      </c>
      <c r="H64" s="659"/>
      <c r="I64" s="659"/>
      <c r="J64" s="659"/>
      <c r="K64" s="659"/>
      <c r="L64" s="659"/>
      <c r="M64" s="659"/>
      <c r="N64" s="659"/>
      <c r="O64" s="659"/>
      <c r="P64" s="659"/>
      <c r="Q64" s="645"/>
      <c r="R64" s="628"/>
      <c r="S64" s="628"/>
      <c r="T64" s="645"/>
      <c r="U64" s="645"/>
    </row>
    <row r="65" spans="3:21" x14ac:dyDescent="0.3">
      <c r="C65" s="628"/>
      <c r="D65" s="628"/>
      <c r="E65" s="685"/>
      <c r="F65" s="686"/>
      <c r="G65" s="659"/>
      <c r="H65" s="659"/>
      <c r="I65" s="659"/>
      <c r="J65" s="659"/>
      <c r="K65" s="659"/>
      <c r="L65" s="659"/>
      <c r="M65" s="659"/>
      <c r="N65" s="659"/>
      <c r="O65" s="659"/>
      <c r="P65" s="659"/>
      <c r="Q65" s="645"/>
      <c r="R65" s="628"/>
      <c r="S65" s="628"/>
      <c r="T65" s="645"/>
      <c r="U65" s="645"/>
    </row>
    <row r="66" spans="3:21" x14ac:dyDescent="0.3">
      <c r="C66" s="628"/>
      <c r="D66" s="628"/>
      <c r="E66" s="685"/>
      <c r="F66" s="686"/>
      <c r="G66" s="659"/>
      <c r="H66" s="659"/>
      <c r="I66" s="659"/>
      <c r="J66" s="659"/>
      <c r="K66" s="659"/>
      <c r="L66" s="659"/>
      <c r="M66" s="659"/>
      <c r="N66" s="659"/>
      <c r="O66" s="659"/>
      <c r="P66" s="659"/>
      <c r="Q66" s="645"/>
      <c r="R66" s="628"/>
      <c r="S66" s="628"/>
      <c r="T66" s="645"/>
      <c r="U66" s="645"/>
    </row>
    <row r="67" spans="3:21" x14ac:dyDescent="0.3">
      <c r="C67" s="628"/>
      <c r="D67" s="628"/>
      <c r="E67" s="685"/>
      <c r="F67" s="686"/>
      <c r="G67" s="659"/>
      <c r="H67" s="659"/>
      <c r="I67" s="659"/>
      <c r="J67" s="659"/>
      <c r="K67" s="659"/>
      <c r="L67" s="659"/>
      <c r="M67" s="659"/>
      <c r="N67" s="659"/>
      <c r="O67" s="659"/>
      <c r="P67" s="659"/>
      <c r="Q67" s="645"/>
      <c r="R67" s="628"/>
      <c r="S67" s="628"/>
      <c r="T67" s="645"/>
      <c r="U67" s="645"/>
    </row>
    <row r="68" spans="3:21" x14ac:dyDescent="0.3">
      <c r="C68" s="628"/>
      <c r="D68" s="628"/>
      <c r="E68" s="685"/>
      <c r="F68" s="686"/>
      <c r="G68" s="659"/>
      <c r="H68" s="659"/>
      <c r="I68" s="659"/>
      <c r="J68" s="659"/>
      <c r="K68" s="659"/>
      <c r="L68" s="659"/>
      <c r="M68" s="659"/>
      <c r="N68" s="659"/>
      <c r="O68" s="659"/>
      <c r="P68" s="659"/>
      <c r="Q68" s="645"/>
      <c r="R68" s="628"/>
      <c r="S68" s="628"/>
      <c r="T68" s="645"/>
      <c r="U68" s="645"/>
    </row>
    <row r="69" spans="3:21" x14ac:dyDescent="0.3">
      <c r="C69" s="628"/>
      <c r="D69" s="628"/>
      <c r="E69" s="685"/>
      <c r="F69" s="686"/>
      <c r="G69" s="659"/>
      <c r="H69" s="659"/>
      <c r="I69" s="659"/>
      <c r="J69" s="659"/>
      <c r="K69" s="659"/>
      <c r="L69" s="659"/>
      <c r="M69" s="659"/>
      <c r="N69" s="659"/>
      <c r="O69" s="659"/>
      <c r="P69" s="659"/>
      <c r="Q69" s="645"/>
      <c r="R69" s="628"/>
      <c r="S69" s="628"/>
      <c r="T69" s="645"/>
      <c r="U69" s="645"/>
    </row>
    <row r="70" spans="3:21" x14ac:dyDescent="0.3">
      <c r="C70" s="628"/>
      <c r="D70" s="628"/>
      <c r="E70" s="685"/>
      <c r="F70" s="686"/>
      <c r="G70" s="659"/>
      <c r="H70" s="659"/>
      <c r="I70" s="659"/>
      <c r="J70" s="659"/>
      <c r="K70" s="659"/>
      <c r="L70" s="659"/>
      <c r="M70" s="659"/>
      <c r="N70" s="659"/>
      <c r="O70" s="659"/>
      <c r="P70" s="659"/>
      <c r="Q70" s="645"/>
      <c r="R70" s="628"/>
      <c r="S70" s="628"/>
      <c r="T70" s="645"/>
      <c r="U70" s="645"/>
    </row>
    <row r="71" spans="3:21" x14ac:dyDescent="0.3">
      <c r="C71" s="628"/>
      <c r="D71" s="628"/>
      <c r="E71" s="685"/>
      <c r="F71" s="686"/>
      <c r="G71" s="659"/>
      <c r="H71" s="659"/>
      <c r="I71" s="659"/>
      <c r="J71" s="659"/>
      <c r="K71" s="659"/>
      <c r="L71" s="659"/>
      <c r="M71" s="659"/>
      <c r="N71" s="659"/>
      <c r="O71" s="659"/>
      <c r="P71" s="659"/>
      <c r="Q71" s="645"/>
      <c r="R71" s="628"/>
      <c r="S71" s="628"/>
      <c r="T71" s="645"/>
      <c r="U71" s="645"/>
    </row>
    <row r="72" spans="3:21" x14ac:dyDescent="0.3">
      <c r="C72" s="628"/>
      <c r="D72" s="628"/>
      <c r="E72" s="685"/>
      <c r="F72" s="686"/>
      <c r="G72" s="659"/>
      <c r="H72" s="659"/>
      <c r="I72" s="659"/>
      <c r="J72" s="659"/>
      <c r="K72" s="659"/>
      <c r="L72" s="659"/>
      <c r="M72" s="659"/>
      <c r="N72" s="659"/>
      <c r="O72" s="659"/>
      <c r="P72" s="659"/>
      <c r="Q72" s="645"/>
      <c r="R72" s="628"/>
      <c r="S72" s="628"/>
      <c r="T72" s="645"/>
      <c r="U72" s="645"/>
    </row>
    <row r="73" spans="3:21" x14ac:dyDescent="0.3">
      <c r="C73" s="628"/>
      <c r="D73" s="628"/>
      <c r="E73" s="685"/>
      <c r="F73" s="686"/>
      <c r="G73" s="659"/>
      <c r="H73" s="659"/>
      <c r="I73" s="659"/>
      <c r="J73" s="659"/>
      <c r="K73" s="659"/>
      <c r="L73" s="659"/>
      <c r="M73" s="659"/>
      <c r="N73" s="659"/>
      <c r="O73" s="659"/>
      <c r="P73" s="659"/>
      <c r="Q73" s="645"/>
      <c r="R73" s="628"/>
      <c r="S73" s="628"/>
      <c r="T73" s="645"/>
      <c r="U73" s="645"/>
    </row>
    <row r="74" spans="3:21" x14ac:dyDescent="0.3">
      <c r="C74" s="628"/>
      <c r="D74" s="628"/>
      <c r="E74" s="685"/>
      <c r="F74" s="686"/>
      <c r="G74" s="659"/>
      <c r="H74" s="659"/>
      <c r="I74" s="659"/>
      <c r="J74" s="659"/>
      <c r="K74" s="659"/>
      <c r="L74" s="659"/>
      <c r="M74" s="659"/>
      <c r="N74" s="659"/>
      <c r="O74" s="659"/>
      <c r="P74" s="659"/>
      <c r="Q74" s="645"/>
      <c r="R74" s="628"/>
      <c r="S74" s="628"/>
      <c r="T74" s="645"/>
      <c r="U74" s="645"/>
    </row>
    <row r="75" spans="3:21" x14ac:dyDescent="0.3">
      <c r="C75" s="628"/>
      <c r="D75" s="628"/>
      <c r="E75" s="685"/>
      <c r="F75" s="686"/>
      <c r="G75" s="659"/>
      <c r="H75" s="659"/>
      <c r="I75" s="659"/>
      <c r="J75" s="659"/>
      <c r="K75" s="659"/>
      <c r="L75" s="659"/>
      <c r="M75" s="659"/>
      <c r="N75" s="659"/>
      <c r="O75" s="659"/>
      <c r="P75" s="659"/>
      <c r="Q75" s="645"/>
      <c r="R75" s="628"/>
      <c r="S75" s="628"/>
      <c r="T75" s="645"/>
      <c r="U75" s="645"/>
    </row>
    <row r="76" spans="3:21" x14ac:dyDescent="0.3">
      <c r="C76" s="628"/>
      <c r="D76" s="628"/>
      <c r="E76" s="685"/>
      <c r="F76" s="686"/>
      <c r="G76" s="659"/>
      <c r="H76" s="659"/>
      <c r="I76" s="659"/>
      <c r="J76" s="659"/>
      <c r="K76" s="659"/>
      <c r="L76" s="659"/>
      <c r="M76" s="659"/>
      <c r="N76" s="659"/>
      <c r="O76" s="659"/>
      <c r="P76" s="659"/>
      <c r="Q76" s="645"/>
      <c r="R76" s="628"/>
      <c r="S76" s="628"/>
      <c r="T76" s="645"/>
      <c r="U76" s="645"/>
    </row>
  </sheetData>
  <pageMargins left="0" right="0" top="0.75" bottom="0.5" header="0.3" footer="0.3"/>
  <pageSetup paperSize="17" scale="70" orientation="landscape" r:id="rId1"/>
  <headerFooter>
    <oddFooter>&amp;L&amp;Z&amp;F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1"/>
    <pageSetUpPr fitToPage="1"/>
  </sheetPr>
  <dimension ref="A1:Y82"/>
  <sheetViews>
    <sheetView zoomScaleNormal="100" workbookViewId="0">
      <pane xSplit="5" ySplit="6" topLeftCell="F22" activePane="bottomRight" state="frozen"/>
      <selection activeCell="G30" sqref="G30"/>
      <selection pane="topRight" activeCell="G30" sqref="G30"/>
      <selection pane="bottomLeft" activeCell="G30" sqref="G30"/>
      <selection pane="bottomRight" activeCell="G41" sqref="G41"/>
    </sheetView>
  </sheetViews>
  <sheetFormatPr defaultColWidth="8.9140625" defaultRowHeight="13.2" x14ac:dyDescent="0.25"/>
  <cols>
    <col min="1" max="3" width="1.33203125" style="516" customWidth="1"/>
    <col min="4" max="4" width="29.75" style="516" customWidth="1"/>
    <col min="5" max="5" width="17.33203125" style="514" customWidth="1"/>
    <col min="6" max="6" width="12.25" style="515" customWidth="1"/>
    <col min="7" max="7" width="13.25" style="515" customWidth="1"/>
    <col min="8" max="9" width="12.25" style="515" customWidth="1"/>
    <col min="10" max="10" width="12.25" style="516" customWidth="1"/>
    <col min="11" max="11" width="10.75" style="516" customWidth="1"/>
    <col min="12" max="12" width="12.6640625" style="516" bestFit="1" customWidth="1"/>
    <col min="13" max="13" width="13.25" style="516" hidden="1" customWidth="1"/>
    <col min="14" max="14" width="12.08203125" style="516" hidden="1" customWidth="1"/>
    <col min="15" max="15" width="12.9140625" style="516" bestFit="1" customWidth="1"/>
    <col min="16" max="16" width="2.4140625" style="517" customWidth="1"/>
    <col min="17" max="17" width="12.9140625" style="518" bestFit="1" customWidth="1"/>
    <col min="18" max="18" width="12.4140625" style="516" hidden="1" customWidth="1"/>
    <col min="19" max="19" width="12.75" style="517" hidden="1" customWidth="1"/>
    <col min="20" max="20" width="13.33203125" style="519" hidden="1" customWidth="1"/>
    <col min="21" max="21" width="13.25" style="516" hidden="1" customWidth="1"/>
    <col min="22" max="22" width="4.58203125" style="520" bestFit="1" customWidth="1"/>
    <col min="23" max="23" width="12.33203125" style="520" customWidth="1"/>
    <col min="24" max="24" width="13" style="520" customWidth="1"/>
    <col min="25" max="25" width="11.6640625" style="520" bestFit="1" customWidth="1"/>
    <col min="26" max="16384" width="8.9140625" style="520"/>
  </cols>
  <sheetData>
    <row r="1" spans="1:25" ht="15.6" x14ac:dyDescent="0.3">
      <c r="A1" s="512" t="s">
        <v>2503</v>
      </c>
      <c r="B1" s="513"/>
      <c r="C1" s="513"/>
      <c r="D1" s="513"/>
    </row>
    <row r="2" spans="1:25" x14ac:dyDescent="0.25">
      <c r="A2" s="521" t="s">
        <v>2504</v>
      </c>
      <c r="B2" s="521"/>
      <c r="C2" s="521"/>
      <c r="D2" s="521"/>
    </row>
    <row r="3" spans="1:25" x14ac:dyDescent="0.25">
      <c r="A3" s="928" t="s">
        <v>2596</v>
      </c>
      <c r="B3" s="928"/>
      <c r="C3" s="928"/>
      <c r="D3" s="928"/>
    </row>
    <row r="4" spans="1:25" x14ac:dyDescent="0.25">
      <c r="A4" s="522"/>
      <c r="B4" s="523"/>
      <c r="C4" s="523"/>
      <c r="D4" s="523"/>
    </row>
    <row r="5" spans="1:25" x14ac:dyDescent="0.25">
      <c r="A5" s="524"/>
      <c r="B5" s="524"/>
      <c r="C5" s="524"/>
      <c r="D5" s="524"/>
      <c r="O5" s="525"/>
    </row>
    <row r="6" spans="1:25" s="530" customFormat="1" ht="38.25" customHeight="1" x14ac:dyDescent="0.25">
      <c r="A6" s="521" t="s">
        <v>2505</v>
      </c>
      <c r="B6" s="521"/>
      <c r="C6" s="521"/>
      <c r="D6" s="521"/>
      <c r="E6" s="526"/>
      <c r="F6" s="527" t="s">
        <v>2506</v>
      </c>
      <c r="G6" s="527" t="s">
        <v>2507</v>
      </c>
      <c r="H6" s="527" t="s">
        <v>2508</v>
      </c>
      <c r="I6" s="527" t="s">
        <v>2509</v>
      </c>
      <c r="J6" s="527" t="s">
        <v>2510</v>
      </c>
      <c r="K6" s="527" t="s">
        <v>2511</v>
      </c>
      <c r="L6" s="527" t="s">
        <v>2512</v>
      </c>
      <c r="M6" s="527" t="s">
        <v>2513</v>
      </c>
      <c r="N6" s="527" t="s">
        <v>2512</v>
      </c>
      <c r="O6" s="527" t="s">
        <v>2514</v>
      </c>
      <c r="P6" s="528"/>
      <c r="Q6" s="529" t="s">
        <v>2515</v>
      </c>
      <c r="R6" s="527" t="s">
        <v>2516</v>
      </c>
      <c r="S6" s="527" t="s">
        <v>2517</v>
      </c>
      <c r="T6" s="527" t="s">
        <v>2518</v>
      </c>
      <c r="U6" s="527" t="s">
        <v>2519</v>
      </c>
      <c r="X6" s="531" t="s">
        <v>2512</v>
      </c>
    </row>
    <row r="7" spans="1:25" x14ac:dyDescent="0.25">
      <c r="A7" s="524" t="s">
        <v>2520</v>
      </c>
      <c r="B7" s="524"/>
      <c r="C7" s="524"/>
      <c r="D7" s="524"/>
      <c r="E7" s="514">
        <v>100</v>
      </c>
      <c r="F7" s="515">
        <v>0</v>
      </c>
      <c r="G7" s="515">
        <v>68511822.88000001</v>
      </c>
      <c r="H7" s="515">
        <v>39465.589999999997</v>
      </c>
      <c r="I7" s="515">
        <v>0</v>
      </c>
      <c r="J7" s="515">
        <f>H7+I7</f>
        <v>39465.589999999997</v>
      </c>
      <c r="K7" s="515">
        <v>14594.95</v>
      </c>
      <c r="M7" s="515">
        <f>F7+G7+J7+K7+L7</f>
        <v>68565883.420000017</v>
      </c>
      <c r="O7" s="532">
        <f>SUM(M7:N7)</f>
        <v>68565883.420000017</v>
      </c>
      <c r="P7" s="533" t="s">
        <v>221</v>
      </c>
      <c r="Q7" s="532">
        <v>49721141.350000009</v>
      </c>
      <c r="R7" s="532">
        <v>17862153.949999996</v>
      </c>
      <c r="S7" s="534">
        <v>22548558.140000001</v>
      </c>
      <c r="T7" s="515">
        <v>8516075.9500000011</v>
      </c>
      <c r="U7" s="515">
        <v>10154070.58</v>
      </c>
      <c r="X7" s="535">
        <v>0</v>
      </c>
      <c r="Y7" s="536">
        <f t="shared" ref="Y7:Y21" si="0">L7-X7</f>
        <v>0</v>
      </c>
    </row>
    <row r="8" spans="1:25" x14ac:dyDescent="0.25">
      <c r="A8" s="524" t="s">
        <v>2521</v>
      </c>
      <c r="B8" s="524"/>
      <c r="C8" s="524"/>
      <c r="D8" s="524"/>
      <c r="E8" s="514" t="s">
        <v>2522</v>
      </c>
      <c r="F8" s="515">
        <v>0</v>
      </c>
      <c r="G8" s="515">
        <v>270779283.10000002</v>
      </c>
      <c r="H8" s="515">
        <v>0</v>
      </c>
      <c r="I8" s="515">
        <v>0</v>
      </c>
      <c r="J8" s="515">
        <f>H8+I8</f>
        <v>0</v>
      </c>
      <c r="K8" s="515">
        <v>0</v>
      </c>
      <c r="M8" s="515">
        <f>F8+G8+J8+K8+L8</f>
        <v>270779283.10000002</v>
      </c>
      <c r="O8" s="533">
        <f>SUM(M8:N8)</f>
        <v>270779283.10000002</v>
      </c>
      <c r="P8" s="533" t="s">
        <v>221</v>
      </c>
      <c r="Q8" s="533">
        <v>251969931.95999998</v>
      </c>
      <c r="R8" s="533">
        <v>117245201.15999995</v>
      </c>
      <c r="S8" s="537">
        <v>103536881.56000002</v>
      </c>
      <c r="T8" s="515">
        <v>87035346.169999957</v>
      </c>
      <c r="U8" s="515">
        <v>73511501.439999998</v>
      </c>
      <c r="X8" s="535">
        <v>0</v>
      </c>
      <c r="Y8" s="536">
        <f t="shared" si="0"/>
        <v>0</v>
      </c>
    </row>
    <row r="9" spans="1:25" x14ac:dyDescent="0.25">
      <c r="A9" s="524" t="s">
        <v>2523</v>
      </c>
      <c r="B9" s="524"/>
      <c r="C9" s="524"/>
      <c r="D9" s="524"/>
      <c r="E9" s="514">
        <v>118</v>
      </c>
      <c r="F9" s="533">
        <v>22351820.780000001</v>
      </c>
      <c r="G9" s="515">
        <v>0</v>
      </c>
      <c r="H9" s="515">
        <v>1995650.89</v>
      </c>
      <c r="I9" s="515">
        <v>212902.88</v>
      </c>
      <c r="J9" s="515">
        <f>H9+I9</f>
        <v>2208553.77</v>
      </c>
      <c r="K9" s="515">
        <v>153350.18</v>
      </c>
      <c r="L9" s="515">
        <f>L43</f>
        <v>-24713724.73</v>
      </c>
      <c r="M9" s="515">
        <f>F9+G9+J9+K9+L9</f>
        <v>0</v>
      </c>
      <c r="N9" s="515"/>
      <c r="O9" s="533">
        <f>SUM(M9:N9)</f>
        <v>0</v>
      </c>
      <c r="P9" s="533"/>
      <c r="Q9" s="533">
        <v>0</v>
      </c>
      <c r="R9" s="538">
        <v>0</v>
      </c>
      <c r="S9" s="537">
        <v>0</v>
      </c>
      <c r="T9" s="539">
        <v>0</v>
      </c>
      <c r="U9" s="515">
        <v>0</v>
      </c>
      <c r="V9" s="520" t="s">
        <v>2524</v>
      </c>
      <c r="X9" s="535">
        <v>-24713724.73</v>
      </c>
      <c r="Y9" s="536">
        <f t="shared" si="0"/>
        <v>0</v>
      </c>
    </row>
    <row r="10" spans="1:25" x14ac:dyDescent="0.25">
      <c r="A10" s="524"/>
      <c r="B10" s="524" t="s">
        <v>2525</v>
      </c>
      <c r="C10" s="524"/>
      <c r="D10" s="524"/>
      <c r="E10" s="514">
        <v>118.1</v>
      </c>
      <c r="F10" s="533">
        <v>0</v>
      </c>
      <c r="G10" s="515">
        <v>0</v>
      </c>
      <c r="H10" s="515">
        <v>0</v>
      </c>
      <c r="I10" s="515">
        <v>0</v>
      </c>
      <c r="J10" s="515">
        <f>H10+I10</f>
        <v>0</v>
      </c>
      <c r="K10" s="515">
        <v>0</v>
      </c>
      <c r="L10" s="515">
        <f>-F10-G10-J10-K10</f>
        <v>0</v>
      </c>
      <c r="M10" s="540">
        <f>F10+G10+J10+K10+L10</f>
        <v>0</v>
      </c>
      <c r="O10" s="533">
        <f>SUM(M10:N10)</f>
        <v>0</v>
      </c>
      <c r="P10" s="533"/>
      <c r="Q10" s="533">
        <v>0</v>
      </c>
      <c r="R10" s="538">
        <v>0</v>
      </c>
      <c r="S10" s="537">
        <v>0</v>
      </c>
      <c r="T10" s="539">
        <v>0</v>
      </c>
      <c r="U10" s="533">
        <v>0</v>
      </c>
      <c r="V10" s="520" t="s">
        <v>2524</v>
      </c>
      <c r="X10" s="535">
        <v>0</v>
      </c>
      <c r="Y10" s="536">
        <f t="shared" si="0"/>
        <v>0</v>
      </c>
    </row>
    <row r="11" spans="1:25" x14ac:dyDescent="0.25">
      <c r="A11" s="524" t="s">
        <v>2526</v>
      </c>
      <c r="B11" s="524"/>
      <c r="C11" s="524"/>
      <c r="D11" s="524"/>
      <c r="E11" s="514">
        <v>118.2</v>
      </c>
      <c r="F11" s="541">
        <v>0</v>
      </c>
      <c r="G11" s="541">
        <v>0</v>
      </c>
      <c r="H11" s="541">
        <v>0</v>
      </c>
      <c r="I11" s="541">
        <v>0</v>
      </c>
      <c r="J11" s="541">
        <f>H11+I11</f>
        <v>0</v>
      </c>
      <c r="K11" s="541"/>
      <c r="L11" s="541"/>
      <c r="M11" s="542">
        <f>F11+G11+J11+K11+L11</f>
        <v>0</v>
      </c>
      <c r="N11" s="543"/>
      <c r="O11" s="541">
        <f>SUM(M11:N11)</f>
        <v>0</v>
      </c>
      <c r="P11" s="533"/>
      <c r="Q11" s="541">
        <v>0</v>
      </c>
      <c r="R11" s="544">
        <v>0</v>
      </c>
      <c r="S11" s="545">
        <v>2717832</v>
      </c>
      <c r="T11" s="546">
        <v>0</v>
      </c>
      <c r="U11" s="541">
        <v>0</v>
      </c>
      <c r="V11" s="520" t="s">
        <v>2524</v>
      </c>
      <c r="X11" s="535">
        <v>0</v>
      </c>
      <c r="Y11" s="536">
        <f t="shared" si="0"/>
        <v>0</v>
      </c>
    </row>
    <row r="12" spans="1:25" x14ac:dyDescent="0.25">
      <c r="A12" s="524"/>
      <c r="B12" s="524"/>
      <c r="C12" s="524" t="s">
        <v>2527</v>
      </c>
      <c r="D12" s="524"/>
      <c r="F12" s="515">
        <f t="shared" ref="F12:K12" si="1">SUM(F9:F11)</f>
        <v>22351820.780000001</v>
      </c>
      <c r="G12" s="515">
        <f t="shared" si="1"/>
        <v>0</v>
      </c>
      <c r="H12" s="515">
        <f t="shared" si="1"/>
        <v>1995650.89</v>
      </c>
      <c r="I12" s="515">
        <f t="shared" si="1"/>
        <v>212902.88</v>
      </c>
      <c r="J12" s="515">
        <f t="shared" si="1"/>
        <v>2208553.77</v>
      </c>
      <c r="K12" s="515">
        <f t="shared" si="1"/>
        <v>153350.18</v>
      </c>
      <c r="L12" s="515">
        <f>SUM(L9:L11)</f>
        <v>-24713724.73</v>
      </c>
      <c r="M12" s="515">
        <f>SUM(M9:M11)</f>
        <v>0</v>
      </c>
      <c r="N12" s="515">
        <f>SUM(N9:N11)</f>
        <v>0</v>
      </c>
      <c r="O12" s="515">
        <f>SUM(O9:O11)</f>
        <v>0</v>
      </c>
      <c r="P12" s="533"/>
      <c r="Q12" s="515">
        <v>0</v>
      </c>
      <c r="R12" s="515">
        <v>0</v>
      </c>
      <c r="S12" s="547">
        <v>2717832</v>
      </c>
      <c r="T12" s="539">
        <v>0</v>
      </c>
      <c r="U12" s="533">
        <v>0</v>
      </c>
      <c r="X12" s="535">
        <f>SUM(X9:X11)</f>
        <v>-24713724.73</v>
      </c>
      <c r="Y12" s="536">
        <f t="shared" si="0"/>
        <v>0</v>
      </c>
    </row>
    <row r="13" spans="1:25" x14ac:dyDescent="0.25">
      <c r="A13" s="524" t="s">
        <v>2528</v>
      </c>
      <c r="B13" s="524"/>
      <c r="C13" s="524"/>
      <c r="D13" s="524"/>
      <c r="E13" s="514" t="s">
        <v>2529</v>
      </c>
      <c r="F13" s="515">
        <v>934965.24000000011</v>
      </c>
      <c r="G13" s="515">
        <v>130139233.89</v>
      </c>
      <c r="H13" s="515">
        <v>74173.3</v>
      </c>
      <c r="I13" s="515">
        <v>0</v>
      </c>
      <c r="J13" s="515">
        <f>H13+I13</f>
        <v>74173.3</v>
      </c>
      <c r="K13" s="515">
        <v>69015.14</v>
      </c>
      <c r="M13" s="515">
        <f>F13+G13+J13+K13+L13</f>
        <v>131217387.56999999</v>
      </c>
      <c r="O13" s="533">
        <f>SUM(M13:N13)</f>
        <v>131217387.56999999</v>
      </c>
      <c r="P13" s="533" t="s">
        <v>221</v>
      </c>
      <c r="Q13" s="533">
        <v>154390097.34999999</v>
      </c>
      <c r="R13" s="533">
        <v>37054530.880000003</v>
      </c>
      <c r="S13" s="537">
        <v>25676393.949999999</v>
      </c>
      <c r="T13" s="515">
        <v>32404083.449999999</v>
      </c>
      <c r="U13" s="533">
        <v>29645193.030000001</v>
      </c>
      <c r="X13" s="535">
        <v>0</v>
      </c>
      <c r="Y13" s="536">
        <f t="shared" si="0"/>
        <v>0</v>
      </c>
    </row>
    <row r="14" spans="1:25" x14ac:dyDescent="0.25">
      <c r="A14" s="524" t="s">
        <v>2530</v>
      </c>
      <c r="B14" s="524"/>
      <c r="C14" s="524"/>
      <c r="D14" s="524"/>
      <c r="E14" s="514">
        <v>136</v>
      </c>
      <c r="F14" s="515">
        <v>0</v>
      </c>
      <c r="G14" s="515">
        <v>49776202.670000002</v>
      </c>
      <c r="H14" s="515">
        <v>0</v>
      </c>
      <c r="I14" s="515">
        <v>0</v>
      </c>
      <c r="J14" s="515">
        <f>H14+I14</f>
        <v>0</v>
      </c>
      <c r="K14" s="515">
        <v>0</v>
      </c>
      <c r="M14" s="515">
        <f>F14+G14+J14+K14+L14</f>
        <v>49776202.670000002</v>
      </c>
      <c r="O14" s="533">
        <f>SUM(M14:N14)</f>
        <v>49776202.670000002</v>
      </c>
      <c r="Q14" s="543"/>
      <c r="R14" s="543"/>
      <c r="S14" s="548"/>
      <c r="T14" s="541">
        <v>0</v>
      </c>
      <c r="U14" s="541">
        <v>332347.17</v>
      </c>
      <c r="X14" s="535">
        <v>0</v>
      </c>
      <c r="Y14" s="536">
        <f t="shared" si="0"/>
        <v>0</v>
      </c>
    </row>
    <row r="15" spans="1:25" x14ac:dyDescent="0.25">
      <c r="A15" s="524"/>
      <c r="B15" s="524" t="s">
        <v>2531</v>
      </c>
      <c r="C15" s="524"/>
      <c r="D15" s="524"/>
      <c r="F15" s="515">
        <f>SUM(F13:F14)</f>
        <v>934965.24000000011</v>
      </c>
      <c r="G15" s="515">
        <f t="shared" ref="G15:L15" si="2">SUM(G13:G14)</f>
        <v>179915436.56</v>
      </c>
      <c r="H15" s="515">
        <f t="shared" si="2"/>
        <v>74173.3</v>
      </c>
      <c r="I15" s="515">
        <f t="shared" si="2"/>
        <v>0</v>
      </c>
      <c r="J15" s="515">
        <f t="shared" si="2"/>
        <v>74173.3</v>
      </c>
      <c r="K15" s="515">
        <f t="shared" si="2"/>
        <v>69015.14</v>
      </c>
      <c r="L15" s="515">
        <f t="shared" si="2"/>
        <v>0</v>
      </c>
      <c r="M15" s="515">
        <f>SUM(M13:M14)</f>
        <v>180993590.24000001</v>
      </c>
      <c r="N15" s="515">
        <f>SUM(N13:N14)</f>
        <v>0</v>
      </c>
      <c r="O15" s="515">
        <f>SUM(O13:O14)</f>
        <v>180993590.24000001</v>
      </c>
      <c r="P15" s="533"/>
      <c r="Q15" s="515">
        <v>154390097.34999999</v>
      </c>
      <c r="R15" s="515">
        <v>37054530.880000003</v>
      </c>
      <c r="S15" s="547">
        <v>25676393.949999999</v>
      </c>
      <c r="T15" s="515">
        <v>32404083.449999999</v>
      </c>
      <c r="U15" s="533">
        <v>29977540.200000003</v>
      </c>
      <c r="X15" s="535">
        <f>SUM(X13:X14)</f>
        <v>0</v>
      </c>
      <c r="Y15" s="536">
        <f t="shared" si="0"/>
        <v>0</v>
      </c>
    </row>
    <row r="16" spans="1:25" x14ac:dyDescent="0.25">
      <c r="A16" s="524" t="s">
        <v>2532</v>
      </c>
      <c r="B16" s="524"/>
      <c r="C16" s="524"/>
      <c r="D16" s="524"/>
      <c r="E16" s="514">
        <v>140</v>
      </c>
      <c r="F16" s="541">
        <v>0</v>
      </c>
      <c r="G16" s="541">
        <v>24856082.969999999</v>
      </c>
      <c r="H16" s="541">
        <v>0</v>
      </c>
      <c r="I16" s="541">
        <v>0</v>
      </c>
      <c r="J16" s="541">
        <f>H16+I16</f>
        <v>0</v>
      </c>
      <c r="K16" s="541">
        <v>0</v>
      </c>
      <c r="L16" s="543"/>
      <c r="M16" s="541">
        <f>F16+G16+J16+K16+L16</f>
        <v>24856082.969999999</v>
      </c>
      <c r="N16" s="543"/>
      <c r="O16" s="541">
        <f>SUM(M16:N16)</f>
        <v>24856082.969999999</v>
      </c>
      <c r="P16" s="533" t="s">
        <v>221</v>
      </c>
      <c r="Q16" s="541">
        <v>24570363.789999999</v>
      </c>
      <c r="R16" s="541">
        <v>10711765.800000001</v>
      </c>
      <c r="S16" s="545">
        <v>15498915.66</v>
      </c>
      <c r="T16" s="541">
        <v>9612475</v>
      </c>
      <c r="U16" s="541">
        <v>7338176</v>
      </c>
      <c r="X16" s="535">
        <v>0</v>
      </c>
      <c r="Y16" s="536">
        <f t="shared" si="0"/>
        <v>0</v>
      </c>
    </row>
    <row r="17" spans="1:25" x14ac:dyDescent="0.25">
      <c r="A17" s="549" t="s">
        <v>2533</v>
      </c>
      <c r="B17" s="549"/>
      <c r="C17" s="549"/>
      <c r="D17" s="549"/>
      <c r="F17" s="515">
        <f>F7+F8+F12+F15+F16</f>
        <v>23286786.02</v>
      </c>
      <c r="G17" s="515">
        <f t="shared" ref="G17:M17" si="3">G7+G8+G12+G15+G16</f>
        <v>544062625.50999999</v>
      </c>
      <c r="H17" s="515">
        <f t="shared" si="3"/>
        <v>2109289.7799999998</v>
      </c>
      <c r="I17" s="515">
        <f t="shared" si="3"/>
        <v>212902.88</v>
      </c>
      <c r="J17" s="515">
        <f t="shared" si="3"/>
        <v>2322192.6599999997</v>
      </c>
      <c r="K17" s="515">
        <f t="shared" si="3"/>
        <v>236960.27000000002</v>
      </c>
      <c r="L17" s="515">
        <f t="shared" si="3"/>
        <v>-24713724.73</v>
      </c>
      <c r="M17" s="515">
        <f t="shared" si="3"/>
        <v>545194839.73000002</v>
      </c>
      <c r="N17" s="515">
        <f>N7+N8+N12+N15+N16</f>
        <v>0</v>
      </c>
      <c r="O17" s="515">
        <f>O7+O8+O12+O15+O16</f>
        <v>545194839.73000002</v>
      </c>
      <c r="P17" s="533"/>
      <c r="Q17" s="515">
        <v>480651534.44999999</v>
      </c>
      <c r="R17" s="515">
        <v>182873651.78999996</v>
      </c>
      <c r="S17" s="547">
        <v>169978581.31</v>
      </c>
      <c r="T17" s="515">
        <v>137567980.56999996</v>
      </c>
      <c r="U17" s="515">
        <v>120981288.22</v>
      </c>
      <c r="X17" s="535">
        <f>X7+X8+X12+X15+X16</f>
        <v>-24713724.73</v>
      </c>
      <c r="Y17" s="536">
        <f t="shared" si="0"/>
        <v>0</v>
      </c>
    </row>
    <row r="18" spans="1:25" x14ac:dyDescent="0.25">
      <c r="A18" s="524" t="s">
        <v>2534</v>
      </c>
      <c r="B18" s="524"/>
      <c r="C18" s="524"/>
      <c r="D18" s="524"/>
      <c r="J18" s="515"/>
      <c r="K18" s="515"/>
      <c r="M18" s="515"/>
      <c r="Q18" s="516"/>
      <c r="S18" s="550"/>
      <c r="T18" s="515"/>
      <c r="U18" s="515"/>
      <c r="X18" s="535"/>
      <c r="Y18" s="536">
        <f t="shared" si="0"/>
        <v>0</v>
      </c>
    </row>
    <row r="19" spans="1:25" x14ac:dyDescent="0.25">
      <c r="A19" s="524"/>
      <c r="B19" s="524" t="s">
        <v>2535</v>
      </c>
      <c r="C19" s="524"/>
      <c r="D19" s="524"/>
      <c r="E19" s="514">
        <v>153</v>
      </c>
      <c r="F19" s="515">
        <v>-214209204.25</v>
      </c>
      <c r="G19" s="515">
        <v>0</v>
      </c>
      <c r="H19" s="515">
        <v>0</v>
      </c>
      <c r="I19" s="515">
        <v>0</v>
      </c>
      <c r="J19" s="515"/>
      <c r="K19" s="515">
        <v>0</v>
      </c>
      <c r="M19" s="515">
        <f t="shared" ref="M19:M27" si="4">F19+G19+J19+K19+L19</f>
        <v>-214209204.25</v>
      </c>
      <c r="O19" s="533">
        <f>SUM(M19:N19)</f>
        <v>-214209204.25</v>
      </c>
      <c r="P19" s="533" t="s">
        <v>221</v>
      </c>
      <c r="Q19" s="533">
        <v>-247220504.97999999</v>
      </c>
      <c r="R19" s="533">
        <v>-111863396.48</v>
      </c>
      <c r="S19" s="537">
        <v>-105188055.09999999</v>
      </c>
      <c r="T19" s="515">
        <v>-79764918.989999995</v>
      </c>
      <c r="U19" s="515">
        <v>-93848397.060000002</v>
      </c>
      <c r="X19" s="535">
        <v>0</v>
      </c>
      <c r="Y19" s="536">
        <f t="shared" si="0"/>
        <v>0</v>
      </c>
    </row>
    <row r="20" spans="1:25" x14ac:dyDescent="0.25">
      <c r="A20" s="524"/>
      <c r="B20" s="524" t="s">
        <v>2536</v>
      </c>
      <c r="C20" s="524"/>
      <c r="D20" s="524"/>
      <c r="J20" s="515"/>
      <c r="K20" s="515"/>
      <c r="M20" s="515"/>
      <c r="O20" s="533"/>
      <c r="P20" s="533"/>
      <c r="Q20" s="533"/>
      <c r="R20" s="533"/>
      <c r="S20" s="537"/>
      <c r="T20" s="515"/>
      <c r="U20" s="515"/>
      <c r="X20" s="535"/>
      <c r="Y20" s="536">
        <f t="shared" si="0"/>
        <v>0</v>
      </c>
    </row>
    <row r="21" spans="1:25" x14ac:dyDescent="0.25">
      <c r="A21" s="524"/>
      <c r="B21" s="524"/>
      <c r="C21" s="524" t="s">
        <v>2537</v>
      </c>
      <c r="D21" s="524"/>
      <c r="E21" s="514">
        <v>152</v>
      </c>
      <c r="F21" s="515">
        <v>0</v>
      </c>
      <c r="G21" s="515">
        <v>214209204.25</v>
      </c>
      <c r="H21" s="515">
        <v>0</v>
      </c>
      <c r="I21" s="515">
        <v>0</v>
      </c>
      <c r="J21" s="515">
        <f>H21+I21</f>
        <v>0</v>
      </c>
      <c r="K21" s="515">
        <v>0</v>
      </c>
      <c r="M21" s="515">
        <f t="shared" si="4"/>
        <v>214209204.25</v>
      </c>
      <c r="O21" s="533">
        <f>SUM(M21:N21)</f>
        <v>214209204.25</v>
      </c>
      <c r="P21" s="533" t="s">
        <v>221</v>
      </c>
      <c r="Q21" s="533">
        <v>247220504.97999999</v>
      </c>
      <c r="R21" s="533">
        <v>111863396.48</v>
      </c>
      <c r="S21" s="537">
        <v>105188055.09999999</v>
      </c>
      <c r="T21" s="515">
        <v>79764918.989999995</v>
      </c>
      <c r="U21" s="515">
        <v>93848397.060000002</v>
      </c>
      <c r="X21" s="535">
        <v>0</v>
      </c>
      <c r="Y21" s="536">
        <f t="shared" si="0"/>
        <v>0</v>
      </c>
    </row>
    <row r="22" spans="1:25" x14ac:dyDescent="0.25">
      <c r="A22" s="524"/>
      <c r="B22" s="524"/>
      <c r="C22" s="524" t="s">
        <v>2538</v>
      </c>
      <c r="D22" s="524"/>
      <c r="E22" s="514">
        <v>151</v>
      </c>
      <c r="G22" s="515">
        <v>234617869.12</v>
      </c>
      <c r="J22" s="515"/>
      <c r="K22" s="515"/>
      <c r="M22" s="515">
        <f t="shared" si="4"/>
        <v>234617869.12</v>
      </c>
      <c r="O22" s="533">
        <f>SUM(M22:N22)</f>
        <v>234617869.12</v>
      </c>
      <c r="P22" s="533"/>
      <c r="Q22" s="533">
        <v>227746250.18000001</v>
      </c>
      <c r="R22" s="533"/>
      <c r="S22" s="537"/>
      <c r="T22" s="515"/>
      <c r="U22" s="515"/>
      <c r="X22" s="535"/>
      <c r="Y22" s="536"/>
    </row>
    <row r="23" spans="1:25" x14ac:dyDescent="0.25">
      <c r="A23" s="524"/>
      <c r="B23" s="524"/>
      <c r="C23" s="524" t="s">
        <v>2539</v>
      </c>
      <c r="D23" s="524"/>
      <c r="E23" s="514">
        <v>150.5</v>
      </c>
      <c r="F23" s="541">
        <v>0</v>
      </c>
      <c r="G23" s="541">
        <v>107624861.52</v>
      </c>
      <c r="H23" s="541">
        <v>0</v>
      </c>
      <c r="I23" s="541">
        <v>0</v>
      </c>
      <c r="J23" s="541">
        <f>H23+I23</f>
        <v>0</v>
      </c>
      <c r="K23" s="541">
        <v>0</v>
      </c>
      <c r="L23" s="543"/>
      <c r="M23" s="541">
        <f t="shared" si="4"/>
        <v>107624861.52</v>
      </c>
      <c r="N23" s="543"/>
      <c r="O23" s="541">
        <f>SUM(M23:N23)</f>
        <v>107624861.52</v>
      </c>
      <c r="P23" s="533" t="s">
        <v>221</v>
      </c>
      <c r="Q23" s="541">
        <v>189545253</v>
      </c>
      <c r="R23" s="541">
        <v>119431014.77</v>
      </c>
      <c r="S23" s="545">
        <v>107741930.69</v>
      </c>
      <c r="T23" s="541">
        <v>107095203.19</v>
      </c>
      <c r="U23" s="541">
        <v>130654389.94</v>
      </c>
      <c r="X23" s="535">
        <v>0</v>
      </c>
      <c r="Y23" s="536">
        <f t="shared" ref="Y23:Y55" si="5">L23-X23</f>
        <v>0</v>
      </c>
    </row>
    <row r="24" spans="1:25" x14ac:dyDescent="0.25">
      <c r="A24" s="524"/>
      <c r="B24" s="524"/>
      <c r="C24" s="524"/>
      <c r="D24" s="524" t="s">
        <v>2540</v>
      </c>
      <c r="F24" s="515">
        <f t="shared" ref="F24:M24" si="6">SUM(F21:F23)</f>
        <v>0</v>
      </c>
      <c r="G24" s="515">
        <f t="shared" si="6"/>
        <v>556451934.88999999</v>
      </c>
      <c r="H24" s="515">
        <f t="shared" si="6"/>
        <v>0</v>
      </c>
      <c r="I24" s="515">
        <f t="shared" si="6"/>
        <v>0</v>
      </c>
      <c r="J24" s="515">
        <f t="shared" si="6"/>
        <v>0</v>
      </c>
      <c r="K24" s="515">
        <f t="shared" si="6"/>
        <v>0</v>
      </c>
      <c r="L24" s="515">
        <f t="shared" si="6"/>
        <v>0</v>
      </c>
      <c r="M24" s="515">
        <f t="shared" si="6"/>
        <v>556451934.88999999</v>
      </c>
      <c r="N24" s="515">
        <f>SUM(N21:N23)</f>
        <v>0</v>
      </c>
      <c r="O24" s="515">
        <f>SUM(O21:O23)</f>
        <v>556451934.88999999</v>
      </c>
      <c r="P24" s="533" t="s">
        <v>221</v>
      </c>
      <c r="Q24" s="515">
        <v>664512008.15999997</v>
      </c>
      <c r="R24" s="515">
        <v>231294411.25</v>
      </c>
      <c r="S24" s="547">
        <v>212929985.78999999</v>
      </c>
      <c r="T24" s="515">
        <v>186860122.18000001</v>
      </c>
      <c r="U24" s="515">
        <v>224502787</v>
      </c>
      <c r="X24" s="535">
        <f>SUM(X21:X23)</f>
        <v>0</v>
      </c>
      <c r="Y24" s="536">
        <f t="shared" si="5"/>
        <v>0</v>
      </c>
    </row>
    <row r="25" spans="1:25" x14ac:dyDescent="0.25">
      <c r="A25" s="524" t="s">
        <v>2541</v>
      </c>
      <c r="B25" s="524"/>
      <c r="C25" s="524"/>
      <c r="D25" s="524"/>
      <c r="E25" s="514" t="s">
        <v>2542</v>
      </c>
      <c r="F25" s="541">
        <v>761917269.69000018</v>
      </c>
      <c r="G25" s="541">
        <v>963735635.68000007</v>
      </c>
      <c r="H25" s="541">
        <v>0</v>
      </c>
      <c r="I25" s="541">
        <v>0</v>
      </c>
      <c r="J25" s="541">
        <f>H25+I25</f>
        <v>0</v>
      </c>
      <c r="K25" s="541">
        <v>0</v>
      </c>
      <c r="L25" s="543"/>
      <c r="M25" s="541">
        <f t="shared" si="4"/>
        <v>1725652905.3700004</v>
      </c>
      <c r="N25" s="543"/>
      <c r="O25" s="541">
        <f>SUM(M25:N25)</f>
        <v>1725652905.3700004</v>
      </c>
      <c r="P25" s="533" t="s">
        <v>221</v>
      </c>
      <c r="Q25" s="541">
        <v>1775555748.9299998</v>
      </c>
      <c r="R25" s="541">
        <v>687434610.01999998</v>
      </c>
      <c r="S25" s="545">
        <v>571313991.19999993</v>
      </c>
      <c r="T25" s="541">
        <v>540151639.76000011</v>
      </c>
      <c r="U25" s="541">
        <v>656040689.38000011</v>
      </c>
      <c r="X25" s="535">
        <v>0</v>
      </c>
      <c r="Y25" s="536">
        <f t="shared" si="5"/>
        <v>0</v>
      </c>
    </row>
    <row r="26" spans="1:25" x14ac:dyDescent="0.25">
      <c r="A26" s="524" t="s">
        <v>2543</v>
      </c>
      <c r="B26" s="524"/>
      <c r="C26" s="524"/>
      <c r="D26" s="524"/>
      <c r="F26" s="515">
        <f t="shared" ref="F26:K26" si="7">F19+F24+F25</f>
        <v>547708065.44000018</v>
      </c>
      <c r="G26" s="515">
        <f t="shared" si="7"/>
        <v>1520187570.5700002</v>
      </c>
      <c r="H26" s="515">
        <f t="shared" si="7"/>
        <v>0</v>
      </c>
      <c r="I26" s="515">
        <f t="shared" si="7"/>
        <v>0</v>
      </c>
      <c r="J26" s="515">
        <f t="shared" si="7"/>
        <v>0</v>
      </c>
      <c r="K26" s="515">
        <f t="shared" si="7"/>
        <v>0</v>
      </c>
      <c r="L26" s="515">
        <f>L19+L24+L25</f>
        <v>0</v>
      </c>
      <c r="M26" s="515">
        <f>M19+M24+M25</f>
        <v>2067895636.0100002</v>
      </c>
      <c r="N26" s="515">
        <f>N19+N24+N25</f>
        <v>0</v>
      </c>
      <c r="O26" s="515">
        <f>O19+O24+O25</f>
        <v>2067895636.0100002</v>
      </c>
      <c r="P26" s="533" t="s">
        <v>221</v>
      </c>
      <c r="Q26" s="515">
        <v>2192847252.1099997</v>
      </c>
      <c r="R26" s="515">
        <v>806865624.78999996</v>
      </c>
      <c r="S26" s="547">
        <v>679055921.88999987</v>
      </c>
      <c r="T26" s="515">
        <v>647246842.95000017</v>
      </c>
      <c r="U26" s="515">
        <v>786695079.32000017</v>
      </c>
      <c r="X26" s="535">
        <f>X19+X24+X25</f>
        <v>0</v>
      </c>
      <c r="Y26" s="536">
        <f t="shared" si="5"/>
        <v>0</v>
      </c>
    </row>
    <row r="27" spans="1:25" x14ac:dyDescent="0.25">
      <c r="A27" s="524" t="s">
        <v>2544</v>
      </c>
      <c r="B27" s="524"/>
      <c r="C27" s="524"/>
      <c r="D27" s="524"/>
      <c r="E27" s="514" t="s">
        <v>2545</v>
      </c>
      <c r="F27" s="541">
        <v>160913220.74000001</v>
      </c>
      <c r="G27" s="541">
        <v>2321839.5699999961</v>
      </c>
      <c r="H27" s="541">
        <v>0</v>
      </c>
      <c r="I27" s="541">
        <v>0</v>
      </c>
      <c r="J27" s="541">
        <f>H27+I27</f>
        <v>0</v>
      </c>
      <c r="K27" s="541">
        <v>0</v>
      </c>
      <c r="L27" s="543"/>
      <c r="M27" s="541">
        <f t="shared" si="4"/>
        <v>163235060.31</v>
      </c>
      <c r="N27" s="543"/>
      <c r="O27" s="541">
        <f>SUM(M27:N27)</f>
        <v>163235060.31</v>
      </c>
      <c r="P27" s="533" t="s">
        <v>221</v>
      </c>
      <c r="Q27" s="541">
        <v>158161438.92000002</v>
      </c>
      <c r="R27" s="541">
        <v>70153207.179999992</v>
      </c>
      <c r="S27" s="545">
        <v>112430566.23999998</v>
      </c>
      <c r="T27" s="541">
        <v>49370241.689999998</v>
      </c>
      <c r="U27" s="541">
        <v>63925251.359999999</v>
      </c>
      <c r="X27" s="535">
        <v>0</v>
      </c>
      <c r="Y27" s="536">
        <f t="shared" si="5"/>
        <v>0</v>
      </c>
    </row>
    <row r="28" spans="1:25" x14ac:dyDescent="0.25">
      <c r="A28" s="524" t="s">
        <v>2546</v>
      </c>
      <c r="B28" s="524"/>
      <c r="C28" s="524"/>
      <c r="D28" s="524"/>
      <c r="F28" s="515">
        <f t="shared" ref="F28:K28" si="8">F26+F27</f>
        <v>708621286.18000019</v>
      </c>
      <c r="G28" s="515">
        <f t="shared" si="8"/>
        <v>1522509410.1400001</v>
      </c>
      <c r="H28" s="515">
        <f t="shared" si="8"/>
        <v>0</v>
      </c>
      <c r="I28" s="515">
        <f t="shared" si="8"/>
        <v>0</v>
      </c>
      <c r="J28" s="515">
        <f t="shared" si="8"/>
        <v>0</v>
      </c>
      <c r="K28" s="515">
        <f t="shared" si="8"/>
        <v>0</v>
      </c>
      <c r="L28" s="515">
        <f>L26+L27</f>
        <v>0</v>
      </c>
      <c r="M28" s="515">
        <f>M26+M27</f>
        <v>2231130696.3200002</v>
      </c>
      <c r="N28" s="515">
        <f>N26+N27</f>
        <v>0</v>
      </c>
      <c r="O28" s="515">
        <f>O26+O27</f>
        <v>2231130696.3200002</v>
      </c>
      <c r="P28" s="533" t="s">
        <v>221</v>
      </c>
      <c r="Q28" s="515">
        <v>2351008691.0299997</v>
      </c>
      <c r="R28" s="515">
        <v>877018831.96999991</v>
      </c>
      <c r="S28" s="547">
        <v>791486488.12999988</v>
      </c>
      <c r="T28" s="515">
        <v>696617084.6400001</v>
      </c>
      <c r="U28" s="515">
        <v>850620330.68000019</v>
      </c>
      <c r="X28" s="535">
        <f>X26+X27</f>
        <v>0</v>
      </c>
      <c r="Y28" s="536">
        <f t="shared" si="5"/>
        <v>0</v>
      </c>
    </row>
    <row r="29" spans="1:25" x14ac:dyDescent="0.25">
      <c r="A29" s="524" t="s">
        <v>2547</v>
      </c>
      <c r="B29" s="524"/>
      <c r="C29" s="524"/>
      <c r="D29" s="524"/>
      <c r="E29" s="514">
        <v>170</v>
      </c>
      <c r="F29" s="515">
        <v>0</v>
      </c>
      <c r="G29" s="515">
        <v>157062545.31</v>
      </c>
      <c r="H29" s="515">
        <v>0</v>
      </c>
      <c r="I29" s="515">
        <v>0</v>
      </c>
      <c r="J29" s="515">
        <f>H29+I29</f>
        <v>0</v>
      </c>
      <c r="K29" s="515">
        <v>0</v>
      </c>
      <c r="L29" s="515">
        <f>L52+L53</f>
        <v>-157062545.31</v>
      </c>
      <c r="M29" s="540">
        <f>F29+G29+J29+K29+L29</f>
        <v>0</v>
      </c>
      <c r="O29" s="533">
        <f>SUM(M29:N29)</f>
        <v>0</v>
      </c>
      <c r="P29" s="533"/>
      <c r="Q29" s="533">
        <v>0</v>
      </c>
      <c r="R29" s="538">
        <v>0</v>
      </c>
      <c r="S29" s="537">
        <v>0</v>
      </c>
      <c r="T29" s="539">
        <v>0</v>
      </c>
      <c r="U29" s="515">
        <v>0</v>
      </c>
      <c r="V29" s="520" t="s">
        <v>2548</v>
      </c>
      <c r="X29" s="535">
        <v>-157062545.31</v>
      </c>
      <c r="Y29" s="536">
        <f t="shared" si="5"/>
        <v>0</v>
      </c>
    </row>
    <row r="30" spans="1:25" x14ac:dyDescent="0.25">
      <c r="A30" s="524" t="s">
        <v>2549</v>
      </c>
      <c r="B30" s="524"/>
      <c r="C30" s="524"/>
      <c r="D30" s="524"/>
      <c r="E30" s="514" t="s">
        <v>2550</v>
      </c>
      <c r="F30" s="515">
        <v>4843267.5200000005</v>
      </c>
      <c r="G30" s="515">
        <v>1530079864.5700002</v>
      </c>
      <c r="H30" s="515">
        <v>94167.82</v>
      </c>
      <c r="I30" s="515">
        <v>0</v>
      </c>
      <c r="J30" s="515">
        <f>H30+I30</f>
        <v>94167.82</v>
      </c>
      <c r="K30" s="515">
        <v>65526.349999999977</v>
      </c>
      <c r="M30" s="515">
        <f>F30+G30+J30+K30+L30</f>
        <v>1535082826.26</v>
      </c>
      <c r="N30" s="551"/>
      <c r="O30" s="533">
        <f>SUM(M30:N30)</f>
        <v>1535082826.26</v>
      </c>
      <c r="P30" s="533" t="s">
        <v>221</v>
      </c>
      <c r="Q30" s="533">
        <v>1285402441.6999998</v>
      </c>
      <c r="R30" s="533">
        <v>769263021.8299998</v>
      </c>
      <c r="S30" s="537">
        <v>649483932.85000014</v>
      </c>
      <c r="T30" s="515">
        <v>607248495.66000009</v>
      </c>
      <c r="U30" s="515">
        <v>562233038.6700002</v>
      </c>
      <c r="X30" s="535">
        <v>0</v>
      </c>
      <c r="Y30" s="536">
        <f t="shared" si="5"/>
        <v>0</v>
      </c>
    </row>
    <row r="31" spans="1:25" x14ac:dyDescent="0.25">
      <c r="A31" s="524" t="s">
        <v>2551</v>
      </c>
      <c r="B31" s="524"/>
      <c r="C31" s="524"/>
      <c r="D31" s="524"/>
      <c r="E31" s="514">
        <v>193</v>
      </c>
      <c r="F31" s="515">
        <v>0</v>
      </c>
      <c r="G31" s="515">
        <v>0</v>
      </c>
      <c r="H31" s="515">
        <v>0</v>
      </c>
      <c r="I31" s="515">
        <v>0</v>
      </c>
      <c r="J31" s="515">
        <f>H31+I31</f>
        <v>0</v>
      </c>
      <c r="K31" s="515">
        <v>0</v>
      </c>
      <c r="L31" s="515"/>
      <c r="M31" s="540">
        <f>F31+G31+J31+K31+L31</f>
        <v>0</v>
      </c>
      <c r="O31" s="533">
        <f>SUM(M31:N31)</f>
        <v>0</v>
      </c>
      <c r="P31" s="533"/>
      <c r="Q31" s="533">
        <v>0</v>
      </c>
      <c r="R31" s="538">
        <v>0</v>
      </c>
      <c r="S31" s="537">
        <v>4202126.3899999997</v>
      </c>
      <c r="T31" s="515">
        <v>0</v>
      </c>
      <c r="U31" s="515">
        <v>0</v>
      </c>
      <c r="V31" s="520" t="s">
        <v>2524</v>
      </c>
      <c r="X31" s="535">
        <v>0</v>
      </c>
      <c r="Y31" s="536">
        <f t="shared" si="5"/>
        <v>0</v>
      </c>
    </row>
    <row r="32" spans="1:25" x14ac:dyDescent="0.25">
      <c r="A32" s="549" t="s">
        <v>2552</v>
      </c>
      <c r="B32" s="549"/>
      <c r="C32" s="549"/>
      <c r="D32" s="549"/>
      <c r="E32" s="514" t="s">
        <v>2553</v>
      </c>
      <c r="F32" s="533">
        <v>188371715.32000002</v>
      </c>
      <c r="G32" s="533">
        <v>124641220.28</v>
      </c>
      <c r="H32" s="533">
        <v>0</v>
      </c>
      <c r="I32" s="533">
        <v>0</v>
      </c>
      <c r="J32" s="515">
        <f>H32+I32</f>
        <v>0</v>
      </c>
      <c r="K32" s="533">
        <v>0</v>
      </c>
      <c r="M32" s="515">
        <f>F32+G32+J32+K32+L32</f>
        <v>313012935.60000002</v>
      </c>
      <c r="N32" s="552">
        <v>0</v>
      </c>
      <c r="O32" s="533">
        <f>SUM(M32:N32)</f>
        <v>313012935.60000002</v>
      </c>
      <c r="P32" s="533" t="s">
        <v>221</v>
      </c>
      <c r="Q32" s="533">
        <v>188602639.22999999</v>
      </c>
      <c r="R32" s="533">
        <v>130781335.01999998</v>
      </c>
      <c r="S32" s="537">
        <v>148346214.14000002</v>
      </c>
      <c r="T32" s="515">
        <v>109940862.27000001</v>
      </c>
      <c r="U32" s="515">
        <v>96908065.350000024</v>
      </c>
      <c r="X32" s="535">
        <v>0</v>
      </c>
      <c r="Y32" s="536">
        <f t="shared" si="5"/>
        <v>0</v>
      </c>
    </row>
    <row r="33" spans="1:25" x14ac:dyDescent="0.25">
      <c r="A33" s="549"/>
      <c r="B33" s="524" t="s">
        <v>2554</v>
      </c>
      <c r="C33" s="549"/>
      <c r="D33" s="549"/>
      <c r="E33" s="514">
        <v>195</v>
      </c>
      <c r="F33" s="541"/>
      <c r="G33" s="541"/>
      <c r="H33" s="541"/>
      <c r="I33" s="541"/>
      <c r="J33" s="541">
        <f>H33+I33</f>
        <v>0</v>
      </c>
      <c r="K33" s="541">
        <v>0</v>
      </c>
      <c r="L33" s="543"/>
      <c r="M33" s="541">
        <f>F33+G33+J33+K33+L33</f>
        <v>0</v>
      </c>
      <c r="N33" s="543"/>
      <c r="O33" s="541">
        <f>SUM(M33:N33)</f>
        <v>0</v>
      </c>
      <c r="P33" s="533"/>
      <c r="Q33" s="541">
        <v>0</v>
      </c>
      <c r="R33" s="541">
        <v>0</v>
      </c>
      <c r="S33" s="545">
        <v>0</v>
      </c>
      <c r="T33" s="541">
        <v>0</v>
      </c>
      <c r="U33" s="541">
        <v>-332347.17</v>
      </c>
      <c r="X33" s="553"/>
      <c r="Y33" s="536">
        <f t="shared" si="5"/>
        <v>0</v>
      </c>
    </row>
    <row r="34" spans="1:25" x14ac:dyDescent="0.25">
      <c r="A34" s="549"/>
      <c r="B34" s="524" t="s">
        <v>2555</v>
      </c>
      <c r="C34" s="549"/>
      <c r="D34" s="549"/>
      <c r="F34" s="533">
        <f t="shared" ref="F34:K34" si="9">SUM(F32:F33)</f>
        <v>188371715.32000002</v>
      </c>
      <c r="G34" s="533">
        <f t="shared" si="9"/>
        <v>124641220.28</v>
      </c>
      <c r="H34" s="533">
        <f t="shared" si="9"/>
        <v>0</v>
      </c>
      <c r="I34" s="533">
        <f t="shared" si="9"/>
        <v>0</v>
      </c>
      <c r="J34" s="533">
        <f t="shared" si="9"/>
        <v>0</v>
      </c>
      <c r="K34" s="533">
        <f t="shared" si="9"/>
        <v>0</v>
      </c>
      <c r="L34" s="533">
        <f>SUM(L32:L33)</f>
        <v>0</v>
      </c>
      <c r="M34" s="533">
        <f>SUM(M32:M33)</f>
        <v>313012935.60000002</v>
      </c>
      <c r="N34" s="533">
        <f>SUM(N32:N33)</f>
        <v>0</v>
      </c>
      <c r="O34" s="533">
        <f>SUM(O32:O33)</f>
        <v>313012935.60000002</v>
      </c>
      <c r="P34" s="533"/>
      <c r="Q34" s="533">
        <v>188602639.22999999</v>
      </c>
      <c r="R34" s="533">
        <v>130781335.01999998</v>
      </c>
      <c r="S34" s="537">
        <v>148346214.14000002</v>
      </c>
      <c r="T34" s="533">
        <v>109940862.27000001</v>
      </c>
      <c r="U34" s="533">
        <v>96575718.180000022</v>
      </c>
      <c r="X34" s="554">
        <f>SUM(X32:X33)</f>
        <v>0</v>
      </c>
      <c r="Y34" s="536">
        <f t="shared" si="5"/>
        <v>0</v>
      </c>
    </row>
    <row r="35" spans="1:25" ht="13.8" thickBot="1" x14ac:dyDescent="0.3">
      <c r="A35" s="549" t="s">
        <v>2556</v>
      </c>
      <c r="B35" s="549"/>
      <c r="C35" s="549"/>
      <c r="D35" s="549"/>
      <c r="F35" s="555">
        <f t="shared" ref="F35:K35" si="10">F17+F28+F29+F30+F31+F34</f>
        <v>925123055.0400002</v>
      </c>
      <c r="G35" s="555">
        <f t="shared" si="10"/>
        <v>3878355665.8100004</v>
      </c>
      <c r="H35" s="555">
        <f t="shared" si="10"/>
        <v>2203457.5999999996</v>
      </c>
      <c r="I35" s="555">
        <f t="shared" si="10"/>
        <v>212902.88</v>
      </c>
      <c r="J35" s="555">
        <f t="shared" si="10"/>
        <v>2416360.4799999995</v>
      </c>
      <c r="K35" s="555">
        <f t="shared" si="10"/>
        <v>302486.62</v>
      </c>
      <c r="L35" s="556">
        <f>L17+L28+L29+L30+L31+L34</f>
        <v>-181776270.03999999</v>
      </c>
      <c r="M35" s="556">
        <f>M17+M28+M29+M30+M31+M34</f>
        <v>4624421297.9100008</v>
      </c>
      <c r="N35" s="556">
        <f>N17+N28+N29+N30+N31+N34</f>
        <v>0</v>
      </c>
      <c r="O35" s="555">
        <f>O17+O28+O29+O30+O31+O34</f>
        <v>4624421297.9100008</v>
      </c>
      <c r="P35" s="533" t="s">
        <v>221</v>
      </c>
      <c r="Q35" s="555">
        <v>4305665306.4099989</v>
      </c>
      <c r="R35" s="556">
        <v>1959936840.6099997</v>
      </c>
      <c r="S35" s="557">
        <v>1763497342.8200002</v>
      </c>
      <c r="T35" s="556">
        <v>1551374423.1400001</v>
      </c>
      <c r="U35" s="556">
        <f>1630410375.75-1</f>
        <v>1630410374.75</v>
      </c>
      <c r="X35" s="558">
        <f>X17+X28+X29+X30+X31+X34</f>
        <v>-181776270.03999999</v>
      </c>
      <c r="Y35" s="536">
        <f t="shared" si="5"/>
        <v>0</v>
      </c>
    </row>
    <row r="36" spans="1:25" ht="13.8" thickTop="1" x14ac:dyDescent="0.25">
      <c r="A36" s="549" t="s">
        <v>2557</v>
      </c>
      <c r="B36" s="549"/>
      <c r="C36" s="549"/>
      <c r="D36" s="549"/>
      <c r="J36" s="515"/>
      <c r="K36" s="515"/>
      <c r="M36" s="515"/>
      <c r="Q36" s="516"/>
      <c r="S36" s="559"/>
      <c r="T36" s="515"/>
      <c r="U36" s="515"/>
      <c r="X36" s="535"/>
      <c r="Y36" s="536">
        <f t="shared" si="5"/>
        <v>0</v>
      </c>
    </row>
    <row r="37" spans="1:25" x14ac:dyDescent="0.25">
      <c r="A37" s="524" t="s">
        <v>2558</v>
      </c>
      <c r="B37" s="524"/>
      <c r="C37" s="524"/>
      <c r="D37" s="524"/>
      <c r="E37" s="514">
        <v>201</v>
      </c>
      <c r="F37" s="515">
        <v>0</v>
      </c>
      <c r="G37" s="515">
        <v>11455000</v>
      </c>
      <c r="H37" s="515">
        <v>0</v>
      </c>
      <c r="I37" s="515">
        <v>0</v>
      </c>
      <c r="J37" s="515">
        <f t="shared" ref="J37:J44" si="11">H37+I37</f>
        <v>0</v>
      </c>
      <c r="K37" s="515">
        <v>0</v>
      </c>
      <c r="M37" s="515">
        <f t="shared" ref="M37:M44" si="12">F37+G37+J37+K37+L37</f>
        <v>11455000</v>
      </c>
      <c r="O37" s="533">
        <f t="shared" ref="O37:O44" si="13">SUM(M37:N37)</f>
        <v>11455000</v>
      </c>
      <c r="P37" s="533" t="s">
        <v>221</v>
      </c>
      <c r="Q37" s="533">
        <v>11000000</v>
      </c>
      <c r="R37" s="533">
        <v>4592659.09</v>
      </c>
      <c r="S37" s="537">
        <v>6175000</v>
      </c>
      <c r="T37" s="515">
        <v>5885000</v>
      </c>
      <c r="U37" s="515">
        <v>6029027.5999999996</v>
      </c>
      <c r="X37" s="535">
        <v>0</v>
      </c>
      <c r="Y37" s="536">
        <f t="shared" si="5"/>
        <v>0</v>
      </c>
    </row>
    <row r="38" spans="1:25" x14ac:dyDescent="0.25">
      <c r="A38" s="524" t="s">
        <v>2559</v>
      </c>
      <c r="B38" s="524"/>
      <c r="C38" s="524"/>
      <c r="D38" s="524"/>
      <c r="E38" s="514">
        <v>202</v>
      </c>
      <c r="F38" s="515">
        <v>336723.13</v>
      </c>
      <c r="G38" s="515">
        <v>102213302.30000001</v>
      </c>
      <c r="H38" s="515">
        <v>248533.59</v>
      </c>
      <c r="I38" s="515">
        <v>63650.89</v>
      </c>
      <c r="J38" s="515">
        <f t="shared" si="11"/>
        <v>312184.48</v>
      </c>
      <c r="K38" s="515">
        <v>6283.59</v>
      </c>
      <c r="M38" s="515">
        <f t="shared" si="12"/>
        <v>102868493.50000001</v>
      </c>
      <c r="O38" s="533">
        <f t="shared" si="13"/>
        <v>102868493.50000001</v>
      </c>
      <c r="P38" s="533" t="s">
        <v>221</v>
      </c>
      <c r="Q38" s="533">
        <v>86012825.969999969</v>
      </c>
      <c r="R38" s="533">
        <v>34452833.199999988</v>
      </c>
      <c r="S38" s="537">
        <v>44915417.759999998</v>
      </c>
      <c r="T38" s="515">
        <v>42462051.490000002</v>
      </c>
      <c r="U38" s="515">
        <v>35320245.870000005</v>
      </c>
      <c r="X38" s="535">
        <v>0</v>
      </c>
      <c r="Y38" s="536">
        <f t="shared" si="5"/>
        <v>0</v>
      </c>
    </row>
    <row r="39" spans="1:25" x14ac:dyDescent="0.25">
      <c r="A39" s="524" t="s">
        <v>2560</v>
      </c>
      <c r="B39" s="524"/>
      <c r="C39" s="524"/>
      <c r="D39" s="524"/>
      <c r="E39" s="514">
        <v>203</v>
      </c>
      <c r="F39" s="515">
        <v>520724.57999999996</v>
      </c>
      <c r="G39" s="515">
        <v>88521308.920000017</v>
      </c>
      <c r="H39" s="515">
        <v>1954924.01</v>
      </c>
      <c r="I39" s="515">
        <v>105114.51999999999</v>
      </c>
      <c r="J39" s="515">
        <f t="shared" si="11"/>
        <v>2060038.53</v>
      </c>
      <c r="K39" s="515">
        <v>83191.25</v>
      </c>
      <c r="M39" s="515">
        <f t="shared" si="12"/>
        <v>91185263.280000016</v>
      </c>
      <c r="O39" s="533">
        <f t="shared" si="13"/>
        <v>91185263.280000016</v>
      </c>
      <c r="P39" s="533" t="s">
        <v>221</v>
      </c>
      <c r="Q39" s="533">
        <v>94122705.24000001</v>
      </c>
      <c r="R39" s="533">
        <v>44964058.069999993</v>
      </c>
      <c r="S39" s="537">
        <v>40835913.110000007</v>
      </c>
      <c r="T39" s="515">
        <v>33842512.740000002</v>
      </c>
      <c r="U39" s="515">
        <v>28182327.169999998</v>
      </c>
      <c r="X39" s="535">
        <v>0</v>
      </c>
      <c r="Y39" s="536">
        <f t="shared" si="5"/>
        <v>0</v>
      </c>
    </row>
    <row r="40" spans="1:25" x14ac:dyDescent="0.25">
      <c r="A40" s="524" t="s">
        <v>2561</v>
      </c>
      <c r="B40" s="524"/>
      <c r="C40" s="524"/>
      <c r="D40" s="524"/>
      <c r="E40" s="514">
        <v>208</v>
      </c>
      <c r="F40" s="515">
        <v>0</v>
      </c>
      <c r="G40" s="515">
        <v>75266109.340000004</v>
      </c>
      <c r="H40" s="515">
        <v>0</v>
      </c>
      <c r="I40" s="515">
        <v>0</v>
      </c>
      <c r="J40" s="515">
        <f t="shared" si="11"/>
        <v>0</v>
      </c>
      <c r="K40" s="515">
        <v>0</v>
      </c>
      <c r="M40" s="515">
        <f t="shared" si="12"/>
        <v>75266109.340000004</v>
      </c>
      <c r="O40" s="533">
        <f t="shared" si="13"/>
        <v>75266109.340000004</v>
      </c>
      <c r="P40" s="533"/>
      <c r="Q40" s="533">
        <v>59161102.579999998</v>
      </c>
      <c r="R40" s="533"/>
      <c r="S40" s="537"/>
      <c r="T40" s="515"/>
      <c r="U40" s="515"/>
      <c r="X40" s="535"/>
      <c r="Y40" s="536"/>
    </row>
    <row r="41" spans="1:25" x14ac:dyDescent="0.25">
      <c r="A41" s="524" t="s">
        <v>2562</v>
      </c>
      <c r="B41" s="524"/>
      <c r="C41" s="524"/>
      <c r="D41" s="524"/>
      <c r="E41" s="514">
        <v>206</v>
      </c>
      <c r="F41" s="515">
        <v>0</v>
      </c>
      <c r="G41" s="515">
        <v>13494580.360000001</v>
      </c>
      <c r="H41" s="515">
        <v>0</v>
      </c>
      <c r="I41" s="515">
        <v>0</v>
      </c>
      <c r="J41" s="515">
        <f t="shared" si="11"/>
        <v>0</v>
      </c>
      <c r="K41" s="515">
        <v>23822.6</v>
      </c>
      <c r="M41" s="515">
        <f t="shared" si="12"/>
        <v>13518402.960000001</v>
      </c>
      <c r="O41" s="533">
        <f t="shared" si="13"/>
        <v>13518402.960000001</v>
      </c>
      <c r="P41" s="533" t="s">
        <v>221</v>
      </c>
      <c r="Q41" s="533">
        <v>25490819.709999997</v>
      </c>
      <c r="R41" s="533">
        <v>7927079.6399999997</v>
      </c>
      <c r="S41" s="537">
        <v>1691803.82</v>
      </c>
      <c r="T41" s="515">
        <v>1064615.8400000001</v>
      </c>
      <c r="U41" s="515">
        <v>1018614.58</v>
      </c>
      <c r="X41" s="535">
        <v>0</v>
      </c>
      <c r="Y41" s="536">
        <f t="shared" si="5"/>
        <v>0</v>
      </c>
    </row>
    <row r="42" spans="1:25" x14ac:dyDescent="0.25">
      <c r="A42" s="524" t="s">
        <v>2563</v>
      </c>
      <c r="B42" s="524"/>
      <c r="C42" s="524"/>
      <c r="D42" s="524"/>
      <c r="E42" s="514">
        <v>204</v>
      </c>
      <c r="F42" s="515">
        <v>0</v>
      </c>
      <c r="G42" s="515">
        <v>13401082.970000001</v>
      </c>
      <c r="H42" s="515">
        <v>0</v>
      </c>
      <c r="I42" s="515">
        <v>0</v>
      </c>
      <c r="J42" s="515">
        <f t="shared" si="11"/>
        <v>0</v>
      </c>
      <c r="K42" s="515">
        <v>0</v>
      </c>
      <c r="M42" s="515">
        <f t="shared" si="12"/>
        <v>13401082.970000001</v>
      </c>
      <c r="O42" s="533">
        <f t="shared" si="13"/>
        <v>13401082.970000001</v>
      </c>
      <c r="P42" s="533" t="s">
        <v>221</v>
      </c>
      <c r="Q42" s="533">
        <v>13570363.789999999</v>
      </c>
      <c r="R42" s="533">
        <v>6288010.29</v>
      </c>
      <c r="S42" s="537">
        <v>4781993.01</v>
      </c>
      <c r="T42" s="515">
        <v>3727469.93</v>
      </c>
      <c r="U42" s="515">
        <v>1707585.76</v>
      </c>
      <c r="X42" s="535">
        <v>0</v>
      </c>
      <c r="Y42" s="536">
        <f t="shared" si="5"/>
        <v>0</v>
      </c>
    </row>
    <row r="43" spans="1:25" x14ac:dyDescent="0.25">
      <c r="A43" s="549" t="s">
        <v>2564</v>
      </c>
      <c r="B43" s="549"/>
      <c r="C43" s="549"/>
      <c r="D43" s="549"/>
      <c r="E43" s="514">
        <v>200</v>
      </c>
      <c r="F43" s="515">
        <v>2361903.9500000002</v>
      </c>
      <c r="G43" s="515">
        <v>22351820.780000001</v>
      </c>
      <c r="H43" s="515">
        <v>0</v>
      </c>
      <c r="I43" s="515">
        <v>0</v>
      </c>
      <c r="J43" s="515">
        <f t="shared" si="11"/>
        <v>0</v>
      </c>
      <c r="K43" s="515">
        <v>0</v>
      </c>
      <c r="L43" s="515">
        <f>-F43-G43-J43-K43</f>
        <v>-24713724.73</v>
      </c>
      <c r="M43" s="540">
        <f t="shared" si="12"/>
        <v>0</v>
      </c>
      <c r="N43" s="519"/>
      <c r="O43" s="533">
        <f t="shared" si="13"/>
        <v>0</v>
      </c>
      <c r="P43" s="533"/>
      <c r="Q43" s="533">
        <v>0</v>
      </c>
      <c r="R43" s="538">
        <v>0</v>
      </c>
      <c r="S43" s="537">
        <v>0</v>
      </c>
      <c r="T43" s="539">
        <v>0</v>
      </c>
      <c r="U43" s="515">
        <v>0</v>
      </c>
      <c r="V43" s="520" t="s">
        <v>2524</v>
      </c>
      <c r="X43" s="535">
        <v>-24713724.73</v>
      </c>
      <c r="Y43" s="536">
        <f t="shared" si="5"/>
        <v>0</v>
      </c>
    </row>
    <row r="44" spans="1:25" x14ac:dyDescent="0.25">
      <c r="A44" s="524"/>
      <c r="B44" s="524" t="s">
        <v>2565</v>
      </c>
      <c r="C44" s="524"/>
      <c r="D44" s="524"/>
      <c r="E44" s="514">
        <v>205</v>
      </c>
      <c r="F44" s="515">
        <v>0</v>
      </c>
      <c r="G44" s="515">
        <v>0</v>
      </c>
      <c r="H44" s="515">
        <v>0</v>
      </c>
      <c r="I44" s="515">
        <v>0</v>
      </c>
      <c r="J44" s="515">
        <f t="shared" si="11"/>
        <v>0</v>
      </c>
      <c r="K44" s="515">
        <v>0</v>
      </c>
      <c r="L44" s="515">
        <f>-F44-G44-J44-K44</f>
        <v>0</v>
      </c>
      <c r="M44" s="542">
        <f t="shared" si="12"/>
        <v>0</v>
      </c>
      <c r="O44" s="541">
        <f t="shared" si="13"/>
        <v>0</v>
      </c>
      <c r="P44" s="533"/>
      <c r="Q44" s="541">
        <v>0</v>
      </c>
      <c r="R44" s="544">
        <v>0</v>
      </c>
      <c r="S44" s="545">
        <v>0</v>
      </c>
      <c r="T44" s="546">
        <v>0</v>
      </c>
      <c r="U44" s="541">
        <v>0</v>
      </c>
      <c r="V44" s="520" t="s">
        <v>2524</v>
      </c>
      <c r="X44" s="535">
        <v>0</v>
      </c>
      <c r="Y44" s="536">
        <f t="shared" si="5"/>
        <v>0</v>
      </c>
    </row>
    <row r="45" spans="1:25" x14ac:dyDescent="0.25">
      <c r="A45" s="549"/>
      <c r="B45" s="549"/>
      <c r="C45" s="549" t="s">
        <v>2566</v>
      </c>
      <c r="D45" s="549"/>
      <c r="F45" s="560">
        <f t="shared" ref="F45:K45" si="14">SUM(F43:F44)</f>
        <v>2361903.9500000002</v>
      </c>
      <c r="G45" s="560">
        <f t="shared" si="14"/>
        <v>22351820.780000001</v>
      </c>
      <c r="H45" s="560">
        <f t="shared" si="14"/>
        <v>0</v>
      </c>
      <c r="I45" s="560">
        <f t="shared" si="14"/>
        <v>0</v>
      </c>
      <c r="J45" s="560">
        <f t="shared" si="14"/>
        <v>0</v>
      </c>
      <c r="K45" s="560">
        <f t="shared" si="14"/>
        <v>0</v>
      </c>
      <c r="L45" s="560">
        <f>SUM(L43:L44)</f>
        <v>-24713724.73</v>
      </c>
      <c r="M45" s="560">
        <f>SUM(M43:M44)</f>
        <v>0</v>
      </c>
      <c r="N45" s="560">
        <f>SUM(N43:N44)</f>
        <v>0</v>
      </c>
      <c r="O45" s="560">
        <f>SUM(O43:O44)</f>
        <v>0</v>
      </c>
      <c r="P45" s="533"/>
      <c r="Q45" s="560">
        <v>0</v>
      </c>
      <c r="R45" s="560">
        <v>0</v>
      </c>
      <c r="S45" s="561">
        <v>0</v>
      </c>
      <c r="T45" s="562">
        <v>0</v>
      </c>
      <c r="U45" s="560">
        <v>0</v>
      </c>
      <c r="X45" s="563">
        <f>SUM(X43:X44)</f>
        <v>-24713724.73</v>
      </c>
      <c r="Y45" s="536">
        <f t="shared" si="5"/>
        <v>0</v>
      </c>
    </row>
    <row r="46" spans="1:25" x14ac:dyDescent="0.25">
      <c r="A46" s="524" t="s">
        <v>2567</v>
      </c>
      <c r="B46" s="524"/>
      <c r="C46" s="524"/>
      <c r="D46" s="524"/>
      <c r="F46" s="515">
        <f t="shared" ref="F46:K46" si="15">SUM(F37:F44)</f>
        <v>3219351.66</v>
      </c>
      <c r="G46" s="515">
        <f t="shared" si="15"/>
        <v>326703204.67000008</v>
      </c>
      <c r="H46" s="515">
        <f t="shared" si="15"/>
        <v>2203457.6</v>
      </c>
      <c r="I46" s="515">
        <f t="shared" si="15"/>
        <v>168765.40999999997</v>
      </c>
      <c r="J46" s="515">
        <f t="shared" si="15"/>
        <v>2372223.0099999998</v>
      </c>
      <c r="K46" s="515">
        <f t="shared" si="15"/>
        <v>113297.44</v>
      </c>
      <c r="L46" s="515">
        <f>SUM(L37:L44)</f>
        <v>-24713724.73</v>
      </c>
      <c r="M46" s="515">
        <f>SUM(M37:M44)</f>
        <v>307694352.05000001</v>
      </c>
      <c r="N46" s="515"/>
      <c r="O46" s="515">
        <f>SUM(O37:O44)</f>
        <v>307694352.05000001</v>
      </c>
      <c r="P46" s="533" t="s">
        <v>221</v>
      </c>
      <c r="Q46" s="515">
        <v>289357817.28999996</v>
      </c>
      <c r="R46" s="515">
        <v>98224640.289999992</v>
      </c>
      <c r="S46" s="547">
        <v>98400127.700000003</v>
      </c>
      <c r="T46" s="515">
        <v>86981650.000000015</v>
      </c>
      <c r="U46" s="515">
        <v>72257800.980000004</v>
      </c>
      <c r="X46" s="535">
        <f>SUM(X37:X44)</f>
        <v>-24713724.73</v>
      </c>
      <c r="Y46" s="536">
        <f t="shared" si="5"/>
        <v>0</v>
      </c>
    </row>
    <row r="47" spans="1:25" x14ac:dyDescent="0.25">
      <c r="A47" s="524" t="s">
        <v>2568</v>
      </c>
      <c r="B47" s="524"/>
      <c r="C47" s="524"/>
      <c r="D47" s="524"/>
      <c r="E47" s="514" t="s">
        <v>2569</v>
      </c>
      <c r="F47" s="533">
        <v>9713869.2200000007</v>
      </c>
      <c r="G47" s="533">
        <v>46375761.579999998</v>
      </c>
      <c r="H47" s="533">
        <v>0</v>
      </c>
      <c r="I47" s="533">
        <v>0</v>
      </c>
      <c r="J47" s="515">
        <f t="shared" ref="J47:J53" si="16">H47+I47</f>
        <v>0</v>
      </c>
      <c r="K47" s="533">
        <v>87794.989999999991</v>
      </c>
      <c r="M47" s="515">
        <f>F47+G47+J47+K47+L47</f>
        <v>56177425.789999999</v>
      </c>
      <c r="N47" s="552">
        <v>0</v>
      </c>
      <c r="O47" s="515">
        <f t="shared" ref="O47:O53" si="17">SUM(M47:N47)</f>
        <v>56177425.789999999</v>
      </c>
      <c r="P47" s="533" t="s">
        <v>221</v>
      </c>
      <c r="Q47" s="515">
        <v>31068351.289999999</v>
      </c>
      <c r="R47" s="515">
        <v>48709160.840000004</v>
      </c>
      <c r="S47" s="547">
        <v>36541420.199999996</v>
      </c>
      <c r="T47" s="515">
        <v>26276066.219999999</v>
      </c>
      <c r="U47" s="515">
        <v>25810282.920000002</v>
      </c>
      <c r="X47" s="535">
        <v>0</v>
      </c>
      <c r="Y47" s="536">
        <f t="shared" si="5"/>
        <v>0</v>
      </c>
    </row>
    <row r="48" spans="1:25" x14ac:dyDescent="0.25">
      <c r="A48" s="524" t="s">
        <v>2570</v>
      </c>
      <c r="B48" s="524"/>
      <c r="C48" s="524"/>
      <c r="D48" s="524"/>
      <c r="E48" s="514">
        <v>230</v>
      </c>
      <c r="F48" s="515">
        <v>0</v>
      </c>
      <c r="G48" s="515">
        <v>0</v>
      </c>
      <c r="H48" s="515">
        <v>0</v>
      </c>
      <c r="I48" s="515">
        <v>0</v>
      </c>
      <c r="J48" s="515">
        <f t="shared" si="16"/>
        <v>0</v>
      </c>
      <c r="K48" s="515">
        <v>0</v>
      </c>
      <c r="L48" s="515">
        <f>-F48-G48-J48-K48</f>
        <v>0</v>
      </c>
      <c r="M48" s="540">
        <f>F48+G48+J48+K48+L48</f>
        <v>0</v>
      </c>
      <c r="O48" s="515">
        <f t="shared" si="17"/>
        <v>0</v>
      </c>
      <c r="P48" s="533"/>
      <c r="Q48" s="515">
        <v>0</v>
      </c>
      <c r="R48" s="564">
        <v>0</v>
      </c>
      <c r="S48" s="547">
        <v>0</v>
      </c>
      <c r="T48" s="539">
        <v>0</v>
      </c>
      <c r="U48" s="515">
        <v>0</v>
      </c>
      <c r="V48" s="520" t="s">
        <v>2524</v>
      </c>
      <c r="X48" s="535">
        <v>0</v>
      </c>
      <c r="Y48" s="536">
        <f t="shared" si="5"/>
        <v>0</v>
      </c>
    </row>
    <row r="49" spans="1:25" x14ac:dyDescent="0.25">
      <c r="A49" s="524" t="s">
        <v>2571</v>
      </c>
      <c r="B49" s="524"/>
      <c r="C49" s="524"/>
      <c r="D49" s="524"/>
      <c r="E49" s="514">
        <v>260</v>
      </c>
      <c r="F49" s="515">
        <v>0</v>
      </c>
      <c r="G49" s="515">
        <v>688240149.77999997</v>
      </c>
      <c r="H49" s="515">
        <v>0</v>
      </c>
      <c r="I49" s="515">
        <v>0</v>
      </c>
      <c r="J49" s="515">
        <f t="shared" si="16"/>
        <v>0</v>
      </c>
      <c r="K49" s="515">
        <v>0</v>
      </c>
      <c r="M49" s="515">
        <f>F49+G49+J49+K49+L49</f>
        <v>688240149.77999997</v>
      </c>
      <c r="O49" s="515">
        <f t="shared" si="17"/>
        <v>688240149.77999997</v>
      </c>
      <c r="P49" s="533" t="s">
        <v>221</v>
      </c>
      <c r="Q49" s="515">
        <v>702217471.54000008</v>
      </c>
      <c r="R49" s="515">
        <v>503805031.00000006</v>
      </c>
      <c r="S49" s="547">
        <v>433189348.69999999</v>
      </c>
      <c r="T49" s="515">
        <v>296894373.65000004</v>
      </c>
      <c r="U49" s="515">
        <v>311581775.18000001</v>
      </c>
      <c r="X49" s="535">
        <v>0</v>
      </c>
      <c r="Y49" s="536">
        <f t="shared" si="5"/>
        <v>0</v>
      </c>
    </row>
    <row r="50" spans="1:25" x14ac:dyDescent="0.25">
      <c r="A50" s="524" t="s">
        <v>2572</v>
      </c>
      <c r="B50" s="524"/>
      <c r="C50" s="524"/>
      <c r="D50" s="524"/>
      <c r="J50" s="515">
        <f t="shared" si="16"/>
        <v>0</v>
      </c>
      <c r="K50" s="515"/>
      <c r="M50" s="515"/>
      <c r="O50" s="515">
        <f t="shared" si="17"/>
        <v>0</v>
      </c>
      <c r="P50" s="533"/>
      <c r="Q50" s="515">
        <v>0</v>
      </c>
      <c r="R50" s="515">
        <v>0</v>
      </c>
      <c r="S50" s="547">
        <v>0</v>
      </c>
      <c r="T50" s="515"/>
      <c r="U50" s="515"/>
      <c r="X50" s="535">
        <v>0</v>
      </c>
      <c r="Y50" s="536">
        <f t="shared" si="5"/>
        <v>0</v>
      </c>
    </row>
    <row r="51" spans="1:25" x14ac:dyDescent="0.25">
      <c r="A51" s="549" t="s">
        <v>2573</v>
      </c>
      <c r="B51" s="549"/>
      <c r="C51" s="549"/>
      <c r="D51" s="549"/>
      <c r="E51" s="514" t="s">
        <v>2574</v>
      </c>
      <c r="F51" s="533">
        <v>697066467.25999999</v>
      </c>
      <c r="G51" s="533">
        <v>2229758915.7599993</v>
      </c>
      <c r="H51" s="533">
        <v>3.465916975642358E-8</v>
      </c>
      <c r="I51" s="533">
        <v>44137.469999998168</v>
      </c>
      <c r="J51" s="515">
        <f t="shared" si="16"/>
        <v>44137.47000003283</v>
      </c>
      <c r="K51" s="533">
        <v>101394.18999999901</v>
      </c>
      <c r="M51" s="515">
        <f>F51+G51+J51+K51+L51</f>
        <v>2926970914.6799998</v>
      </c>
      <c r="N51" s="565"/>
      <c r="O51" s="515">
        <f t="shared" si="17"/>
        <v>2926970914.6799998</v>
      </c>
      <c r="P51" s="533" t="s">
        <v>221</v>
      </c>
      <c r="Q51" s="515">
        <v>2712660453.579999</v>
      </c>
      <c r="R51" s="515">
        <v>1048243922.6799995</v>
      </c>
      <c r="S51" s="547">
        <v>954291370.9199996</v>
      </c>
      <c r="T51" s="515">
        <v>898294921.42000103</v>
      </c>
      <c r="U51" s="515">
        <v>941058372.03999996</v>
      </c>
      <c r="W51" s="535">
        <f>O51-T51</f>
        <v>2028675993.2599988</v>
      </c>
      <c r="X51" s="535">
        <v>0</v>
      </c>
      <c r="Y51" s="536">
        <f t="shared" si="5"/>
        <v>0</v>
      </c>
    </row>
    <row r="52" spans="1:25" x14ac:dyDescent="0.25">
      <c r="A52" s="549" t="s">
        <v>2575</v>
      </c>
      <c r="B52" s="549"/>
      <c r="C52" s="549"/>
      <c r="D52" s="549"/>
      <c r="E52" s="514" t="s">
        <v>2576</v>
      </c>
      <c r="F52" s="533">
        <v>28810017.809999999</v>
      </c>
      <c r="G52" s="533">
        <v>286787023.22000003</v>
      </c>
      <c r="H52" s="533">
        <v>0</v>
      </c>
      <c r="I52" s="533">
        <v>0</v>
      </c>
      <c r="J52" s="515">
        <f t="shared" si="16"/>
        <v>0</v>
      </c>
      <c r="K52" s="533">
        <v>0</v>
      </c>
      <c r="L52" s="566">
        <v>-18113184.84</v>
      </c>
      <c r="M52" s="515">
        <f>F52+G52+J52+K52+L52</f>
        <v>297483856.19000006</v>
      </c>
      <c r="O52" s="515">
        <f t="shared" si="17"/>
        <v>297483856.19000006</v>
      </c>
      <c r="P52" s="533" t="s">
        <v>221</v>
      </c>
      <c r="Q52" s="515">
        <v>233917125.12</v>
      </c>
      <c r="R52" s="515">
        <v>70045279.389999986</v>
      </c>
      <c r="S52" s="547">
        <v>54022834.379999995</v>
      </c>
      <c r="T52" s="515">
        <v>36470206.25</v>
      </c>
      <c r="U52" s="515">
        <v>79812405.25999999</v>
      </c>
      <c r="V52" s="520" t="s">
        <v>2548</v>
      </c>
      <c r="W52" s="535">
        <f>O52-T52</f>
        <v>261013649.94000006</v>
      </c>
      <c r="X52" s="535">
        <v>-18113184.84</v>
      </c>
      <c r="Y52" s="536">
        <f t="shared" si="5"/>
        <v>0</v>
      </c>
    </row>
    <row r="53" spans="1:25" x14ac:dyDescent="0.25">
      <c r="A53" s="549" t="s">
        <v>2577</v>
      </c>
      <c r="B53" s="549"/>
      <c r="C53" s="549"/>
      <c r="D53" s="549"/>
      <c r="E53" s="514" t="s">
        <v>2578</v>
      </c>
      <c r="F53" s="533">
        <v>186313349.09</v>
      </c>
      <c r="G53" s="533">
        <v>300490610.80000001</v>
      </c>
      <c r="H53" s="533">
        <v>0</v>
      </c>
      <c r="I53" s="533">
        <v>0</v>
      </c>
      <c r="J53" s="515">
        <f t="shared" si="16"/>
        <v>0</v>
      </c>
      <c r="K53" s="533">
        <v>0</v>
      </c>
      <c r="L53" s="566">
        <v>-138949360.47</v>
      </c>
      <c r="M53" s="515">
        <f>F53+G53+J53+K53+L53</f>
        <v>347854599.41999996</v>
      </c>
      <c r="O53" s="515">
        <f t="shared" si="17"/>
        <v>347854599.41999996</v>
      </c>
      <c r="P53" s="533" t="s">
        <v>221</v>
      </c>
      <c r="Q53" s="515">
        <v>336444087.58999997</v>
      </c>
      <c r="R53" s="515">
        <v>190908806.41000003</v>
      </c>
      <c r="S53" s="547">
        <v>187052240.92000002</v>
      </c>
      <c r="T53" s="515">
        <v>206457205.59999999</v>
      </c>
      <c r="U53" s="515">
        <v>199889738.36999997</v>
      </c>
      <c r="V53" s="520" t="s">
        <v>2548</v>
      </c>
      <c r="W53" s="535">
        <f>O53-T53</f>
        <v>141397393.81999996</v>
      </c>
      <c r="X53" s="535">
        <v>-138949360.47</v>
      </c>
      <c r="Y53" s="536">
        <f t="shared" si="5"/>
        <v>0</v>
      </c>
    </row>
    <row r="54" spans="1:25" x14ac:dyDescent="0.25">
      <c r="A54" s="549" t="s">
        <v>2579</v>
      </c>
      <c r="B54" s="549"/>
      <c r="C54" s="549"/>
      <c r="D54" s="549"/>
      <c r="F54" s="560">
        <f t="shared" ref="F54:K54" si="18">SUM(F51:F53)</f>
        <v>912189834.15999997</v>
      </c>
      <c r="G54" s="560">
        <f t="shared" si="18"/>
        <v>2817036549.7799997</v>
      </c>
      <c r="H54" s="560">
        <f t="shared" si="18"/>
        <v>3.465916975642358E-8</v>
      </c>
      <c r="I54" s="560">
        <f t="shared" si="18"/>
        <v>44137.469999998168</v>
      </c>
      <c r="J54" s="560">
        <f t="shared" si="18"/>
        <v>44137.47000003283</v>
      </c>
      <c r="K54" s="560">
        <f t="shared" si="18"/>
        <v>101394.18999999901</v>
      </c>
      <c r="L54" s="560">
        <f>SUM(L51:L53)</f>
        <v>-157062545.31</v>
      </c>
      <c r="M54" s="560">
        <f>SUM(M51:M53)</f>
        <v>3572309370.29</v>
      </c>
      <c r="N54" s="560">
        <f>SUM(N51:N53)</f>
        <v>0</v>
      </c>
      <c r="O54" s="560">
        <f>SUM(O51:O53)</f>
        <v>3572309370.29</v>
      </c>
      <c r="P54" s="533" t="s">
        <v>221</v>
      </c>
      <c r="Q54" s="560">
        <v>3283021666.289999</v>
      </c>
      <c r="R54" s="560">
        <v>1309198008.4799995</v>
      </c>
      <c r="S54" s="561">
        <v>1195366446.2199996</v>
      </c>
      <c r="T54" s="560">
        <v>1141222333.2700009</v>
      </c>
      <c r="U54" s="560">
        <v>1220760515.6699998</v>
      </c>
      <c r="W54" s="535">
        <f>O54-T54</f>
        <v>2431087037.019999</v>
      </c>
      <c r="X54" s="563">
        <f>SUM(X51:X53)</f>
        <v>-157062545.31</v>
      </c>
      <c r="Y54" s="536">
        <f t="shared" si="5"/>
        <v>0</v>
      </c>
    </row>
    <row r="55" spans="1:25" ht="13.8" thickBot="1" x14ac:dyDescent="0.3">
      <c r="A55" s="524" t="s">
        <v>2580</v>
      </c>
      <c r="B55" s="524"/>
      <c r="C55" s="524"/>
      <c r="D55" s="524"/>
      <c r="F55" s="556">
        <f t="shared" ref="F55:K55" si="19">SUM(F46:F49)+F54</f>
        <v>925123055.03999996</v>
      </c>
      <c r="G55" s="556">
        <f t="shared" si="19"/>
        <v>3878355665.8099995</v>
      </c>
      <c r="H55" s="556">
        <f t="shared" si="19"/>
        <v>2203457.6000000346</v>
      </c>
      <c r="I55" s="556">
        <f t="shared" si="19"/>
        <v>212902.87999999814</v>
      </c>
      <c r="J55" s="556">
        <f t="shared" si="19"/>
        <v>2416360.4800000326</v>
      </c>
      <c r="K55" s="556">
        <f t="shared" si="19"/>
        <v>302486.61999999901</v>
      </c>
      <c r="L55" s="556">
        <f>SUM(L46:L49)+L54</f>
        <v>-181776270.03999999</v>
      </c>
      <c r="M55" s="556">
        <f>SUM(M46:M49)+M54</f>
        <v>4624421297.9099998</v>
      </c>
      <c r="N55" s="556">
        <f>SUM(N46:N49)+N54</f>
        <v>0</v>
      </c>
      <c r="O55" s="555">
        <f>SUM(O46:O49)+O54</f>
        <v>4624421297.9099998</v>
      </c>
      <c r="P55" s="533" t="s">
        <v>221</v>
      </c>
      <c r="Q55" s="555">
        <v>4305665306.4099989</v>
      </c>
      <c r="R55" s="556">
        <v>1959936840.6099997</v>
      </c>
      <c r="S55" s="557">
        <v>1763497342.8199997</v>
      </c>
      <c r="T55" s="556">
        <v>1551374423.1400011</v>
      </c>
      <c r="U55" s="556">
        <v>1630410374.75</v>
      </c>
      <c r="X55" s="558">
        <f>SUM(X46:X49)+X54</f>
        <v>-181776270.03999999</v>
      </c>
      <c r="Y55" s="536">
        <f t="shared" si="5"/>
        <v>0</v>
      </c>
    </row>
    <row r="56" spans="1:25" ht="13.8" thickTop="1" x14ac:dyDescent="0.25">
      <c r="A56" s="567" t="s">
        <v>2581</v>
      </c>
      <c r="B56" s="567"/>
      <c r="C56" s="567"/>
      <c r="D56" s="567"/>
      <c r="F56" s="568">
        <f t="shared" ref="F56:N56" si="20">F55-F35</f>
        <v>0</v>
      </c>
      <c r="G56" s="568">
        <f t="shared" si="20"/>
        <v>0</v>
      </c>
      <c r="H56" s="568">
        <f t="shared" si="20"/>
        <v>3.4924596548080444E-8</v>
      </c>
      <c r="I56" s="568">
        <f t="shared" si="20"/>
        <v>-1.862645149230957E-9</v>
      </c>
      <c r="J56" s="568">
        <f t="shared" si="20"/>
        <v>3.3061951398849487E-8</v>
      </c>
      <c r="K56" s="568">
        <f t="shared" si="20"/>
        <v>-9.8953023552894592E-10</v>
      </c>
      <c r="L56" s="568">
        <f t="shared" si="20"/>
        <v>0</v>
      </c>
      <c r="M56" s="568">
        <f t="shared" si="20"/>
        <v>0</v>
      </c>
      <c r="N56" s="568">
        <f t="shared" si="20"/>
        <v>0</v>
      </c>
      <c r="O56" s="515">
        <f>O55-O35</f>
        <v>0</v>
      </c>
      <c r="Q56" s="515">
        <v>0</v>
      </c>
      <c r="R56" s="515">
        <v>0</v>
      </c>
      <c r="S56" s="547">
        <v>0</v>
      </c>
      <c r="T56" s="519">
        <v>0</v>
      </c>
      <c r="U56" s="515"/>
      <c r="X56" s="535">
        <f>X55-X35</f>
        <v>0</v>
      </c>
    </row>
    <row r="57" spans="1:25" x14ac:dyDescent="0.25">
      <c r="Q57" s="516"/>
      <c r="S57" s="569"/>
    </row>
    <row r="58" spans="1:25" x14ac:dyDescent="0.25">
      <c r="A58" s="524"/>
      <c r="B58" s="524"/>
      <c r="C58" s="524"/>
      <c r="D58" s="570" t="s">
        <v>2582</v>
      </c>
      <c r="F58" s="560">
        <v>0</v>
      </c>
      <c r="G58" s="560">
        <v>2093800</v>
      </c>
      <c r="H58" s="560">
        <v>0</v>
      </c>
      <c r="I58" s="560">
        <v>0</v>
      </c>
      <c r="J58" s="560">
        <f>H58+I58</f>
        <v>0</v>
      </c>
      <c r="K58" s="560">
        <v>0</v>
      </c>
      <c r="L58" s="571"/>
      <c r="M58" s="560">
        <f>F58+G58+J58+K58+L58</f>
        <v>2093800</v>
      </c>
      <c r="N58" s="571"/>
      <c r="O58" s="560">
        <f>SUM(M58:N58)</f>
        <v>2093800</v>
      </c>
      <c r="P58" s="533"/>
      <c r="Q58" s="560">
        <v>1903700</v>
      </c>
      <c r="R58" s="560">
        <v>1208173</v>
      </c>
      <c r="S58" s="561">
        <v>1248657.21</v>
      </c>
      <c r="T58" s="572">
        <v>2864030</v>
      </c>
      <c r="U58" s="519">
        <v>2222000</v>
      </c>
      <c r="X58" s="563">
        <v>0</v>
      </c>
    </row>
    <row r="59" spans="1:25" x14ac:dyDescent="0.25">
      <c r="A59" s="524"/>
      <c r="B59" s="524"/>
      <c r="C59" s="524"/>
      <c r="D59" s="570" t="s">
        <v>2583</v>
      </c>
      <c r="E59" s="514">
        <v>183</v>
      </c>
      <c r="F59" s="573">
        <v>387483.83</v>
      </c>
      <c r="G59" s="573">
        <v>854452482.42999995</v>
      </c>
      <c r="H59" s="573">
        <v>400351.73</v>
      </c>
      <c r="I59" s="573">
        <v>25442.45</v>
      </c>
      <c r="J59" s="573">
        <f>H59+I59</f>
        <v>425794.18</v>
      </c>
      <c r="K59" s="573">
        <v>357453.44</v>
      </c>
      <c r="L59" s="573"/>
      <c r="M59" s="573">
        <f>F59+G59+J59+K59+L59</f>
        <v>855623213.88</v>
      </c>
      <c r="N59" s="541">
        <v>0</v>
      </c>
      <c r="O59" s="541">
        <f>SUM(M59:N59)</f>
        <v>855623213.88</v>
      </c>
      <c r="P59" s="533"/>
      <c r="Q59" s="541">
        <v>763878662.19000006</v>
      </c>
      <c r="R59" s="541">
        <v>358163112</v>
      </c>
      <c r="S59" s="545">
        <v>330883513.76000005</v>
      </c>
      <c r="T59" s="572">
        <v>310948856.43999994</v>
      </c>
      <c r="U59" s="519">
        <v>284208000</v>
      </c>
      <c r="X59" s="563">
        <v>0</v>
      </c>
    </row>
    <row r="60" spans="1:25" x14ac:dyDescent="0.25">
      <c r="A60" s="524"/>
      <c r="B60" s="524"/>
      <c r="C60" s="524"/>
      <c r="D60" s="570" t="s">
        <v>2584</v>
      </c>
      <c r="E60" s="514">
        <v>180</v>
      </c>
      <c r="F60" s="560">
        <v>5230751.3500000006</v>
      </c>
      <c r="G60" s="560">
        <v>2189000644.4000001</v>
      </c>
      <c r="H60" s="560">
        <v>494519.55</v>
      </c>
      <c r="I60" s="560">
        <v>25442.45</v>
      </c>
      <c r="J60" s="560">
        <f>H60+I60</f>
        <v>519962</v>
      </c>
      <c r="K60" s="560">
        <v>422979.79</v>
      </c>
      <c r="M60" s="560">
        <f>F60+G60+J60+K60+L60</f>
        <v>2195174337.54</v>
      </c>
      <c r="N60" s="519">
        <v>0</v>
      </c>
      <c r="O60" s="541">
        <f>SUM(M60:N60)</f>
        <v>2195174337.54</v>
      </c>
      <c r="Q60" s="541">
        <v>1803749233.4399998</v>
      </c>
      <c r="R60" s="541">
        <v>1104317663.6299999</v>
      </c>
      <c r="S60" s="545">
        <v>926067846.4000001</v>
      </c>
    </row>
    <row r="61" spans="1:25" x14ac:dyDescent="0.25">
      <c r="A61" s="524"/>
      <c r="B61" s="524"/>
      <c r="C61" s="524"/>
      <c r="D61" s="570" t="s">
        <v>2585</v>
      </c>
      <c r="E61" s="514">
        <v>185</v>
      </c>
      <c r="F61" s="532">
        <v>0</v>
      </c>
      <c r="G61" s="532">
        <v>195531702.60000002</v>
      </c>
      <c r="H61" s="532">
        <v>0</v>
      </c>
      <c r="I61" s="532">
        <v>0</v>
      </c>
      <c r="J61" s="532">
        <f>H61+I61</f>
        <v>0</v>
      </c>
      <c r="K61" s="532">
        <v>0</v>
      </c>
      <c r="L61" s="515"/>
      <c r="M61" s="532">
        <f>F61+G61+J61+K61+L61</f>
        <v>195531702.60000002</v>
      </c>
      <c r="O61" s="541">
        <f>SUM(M61:N61)</f>
        <v>195531702.60000002</v>
      </c>
      <c r="Q61" s="541">
        <v>245531870.44999999</v>
      </c>
      <c r="R61" s="541">
        <v>23108470.200000003</v>
      </c>
      <c r="S61" s="545">
        <v>54299599.840000004</v>
      </c>
    </row>
    <row r="62" spans="1:25" ht="13.8" thickBot="1" x14ac:dyDescent="0.3">
      <c r="A62" s="524"/>
      <c r="B62" s="524"/>
      <c r="C62" s="524"/>
      <c r="D62" s="570" t="s">
        <v>2586</v>
      </c>
      <c r="F62" s="556">
        <f>F60+F61</f>
        <v>5230751.3500000006</v>
      </c>
      <c r="G62" s="556">
        <f t="shared" ref="G62:L62" si="21">G60+G61</f>
        <v>2384532347</v>
      </c>
      <c r="H62" s="556">
        <f t="shared" si="21"/>
        <v>494519.55</v>
      </c>
      <c r="I62" s="556">
        <f t="shared" si="21"/>
        <v>25442.45</v>
      </c>
      <c r="J62" s="556">
        <f t="shared" si="21"/>
        <v>519962</v>
      </c>
      <c r="K62" s="556">
        <f t="shared" si="21"/>
        <v>422979.79</v>
      </c>
      <c r="L62" s="556">
        <f t="shared" si="21"/>
        <v>0</v>
      </c>
      <c r="M62" s="556">
        <f>+M60+M61</f>
        <v>2390706040.1399999</v>
      </c>
      <c r="N62" s="556">
        <f>+N60+N61</f>
        <v>0</v>
      </c>
      <c r="O62" s="555">
        <f>+O60+O61</f>
        <v>2390706040.1399999</v>
      </c>
      <c r="Q62" s="555">
        <v>2049281103.8899999</v>
      </c>
      <c r="R62" s="556">
        <v>1127426133.8299999</v>
      </c>
      <c r="S62" s="557">
        <v>980367446.24000013</v>
      </c>
    </row>
    <row r="63" spans="1:25" ht="13.8" thickTop="1" x14ac:dyDescent="0.25">
      <c r="A63" s="524"/>
      <c r="B63" s="524"/>
      <c r="C63" s="524"/>
      <c r="D63" s="570" t="s">
        <v>2587</v>
      </c>
      <c r="E63" s="574"/>
      <c r="F63" s="575">
        <f>F62-F59</f>
        <v>4843267.5200000005</v>
      </c>
      <c r="G63" s="575">
        <f t="shared" ref="G63:M63" si="22">G62-G59</f>
        <v>1530079864.5700002</v>
      </c>
      <c r="H63" s="575">
        <f t="shared" si="22"/>
        <v>94167.82</v>
      </c>
      <c r="I63" s="575">
        <f t="shared" si="22"/>
        <v>0</v>
      </c>
      <c r="J63" s="575">
        <f t="shared" si="22"/>
        <v>94167.82</v>
      </c>
      <c r="K63" s="575">
        <f t="shared" si="22"/>
        <v>65526.349999999977</v>
      </c>
      <c r="L63" s="575">
        <f t="shared" si="22"/>
        <v>0</v>
      </c>
      <c r="M63" s="575">
        <f t="shared" si="22"/>
        <v>1535082826.2599998</v>
      </c>
      <c r="N63" s="575">
        <f>N62-N59</f>
        <v>0</v>
      </c>
      <c r="O63" s="541">
        <f>O62-O59</f>
        <v>1535082826.2599998</v>
      </c>
      <c r="Q63" s="541">
        <v>1285402441.6999998</v>
      </c>
      <c r="R63" s="575">
        <v>769263021.82999992</v>
      </c>
      <c r="S63" s="576">
        <v>649483932.48000002</v>
      </c>
    </row>
    <row r="64" spans="1:25" x14ac:dyDescent="0.25">
      <c r="A64" s="524"/>
      <c r="B64" s="524"/>
      <c r="C64" s="524"/>
      <c r="D64" s="524"/>
      <c r="F64" s="515">
        <f>F63-F30</f>
        <v>0</v>
      </c>
      <c r="G64" s="515">
        <f t="shared" ref="G64:O64" si="23">G63-G30</f>
        <v>0</v>
      </c>
      <c r="H64" s="515">
        <f t="shared" si="23"/>
        <v>0</v>
      </c>
      <c r="I64" s="515">
        <f t="shared" si="23"/>
        <v>0</v>
      </c>
      <c r="J64" s="515">
        <f t="shared" si="23"/>
        <v>0</v>
      </c>
      <c r="K64" s="515">
        <f t="shared" si="23"/>
        <v>0</v>
      </c>
      <c r="L64" s="515">
        <f t="shared" si="23"/>
        <v>0</v>
      </c>
      <c r="M64" s="515">
        <f t="shared" si="23"/>
        <v>0</v>
      </c>
      <c r="N64" s="515">
        <f t="shared" si="23"/>
        <v>0</v>
      </c>
      <c r="O64" s="515">
        <f t="shared" si="23"/>
        <v>0</v>
      </c>
      <c r="Q64" s="518">
        <v>0</v>
      </c>
      <c r="R64" s="515">
        <v>0</v>
      </c>
    </row>
    <row r="65" spans="1:8" x14ac:dyDescent="0.25">
      <c r="A65" s="524"/>
      <c r="B65" s="524"/>
      <c r="C65" s="524"/>
      <c r="D65" s="524"/>
    </row>
    <row r="66" spans="1:8" hidden="1" x14ac:dyDescent="0.25">
      <c r="A66" s="524"/>
      <c r="B66" s="524"/>
      <c r="C66" s="524"/>
      <c r="D66" s="524"/>
      <c r="E66" s="577" t="s">
        <v>2588</v>
      </c>
      <c r="F66" s="578" t="s">
        <v>2589</v>
      </c>
      <c r="G66" s="578">
        <v>0</v>
      </c>
    </row>
    <row r="67" spans="1:8" hidden="1" x14ac:dyDescent="0.25">
      <c r="A67" s="524"/>
      <c r="B67" s="524"/>
      <c r="C67" s="524"/>
      <c r="D67" s="524"/>
      <c r="E67" s="577"/>
      <c r="F67" s="578" t="s">
        <v>2590</v>
      </c>
      <c r="G67" s="578">
        <f>-G66</f>
        <v>0</v>
      </c>
    </row>
    <row r="68" spans="1:8" hidden="1" x14ac:dyDescent="0.25">
      <c r="A68" s="524"/>
      <c r="B68" s="524"/>
      <c r="C68" s="524"/>
      <c r="D68" s="524"/>
    </row>
    <row r="69" spans="1:8" hidden="1" x14ac:dyDescent="0.25">
      <c r="A69" s="524"/>
      <c r="B69" s="524"/>
      <c r="C69" s="524"/>
      <c r="D69" s="524"/>
      <c r="E69" s="579" t="s">
        <v>2591</v>
      </c>
      <c r="F69" s="578" t="s">
        <v>2592</v>
      </c>
      <c r="G69" s="578">
        <v>0</v>
      </c>
      <c r="H69" s="580"/>
    </row>
    <row r="70" spans="1:8" hidden="1" x14ac:dyDescent="0.25">
      <c r="A70" s="524"/>
      <c r="B70" s="524"/>
      <c r="C70" s="524"/>
      <c r="D70" s="524"/>
      <c r="E70" s="577"/>
      <c r="F70" s="578" t="s">
        <v>2593</v>
      </c>
      <c r="G70" s="578">
        <v>0</v>
      </c>
      <c r="H70" s="580"/>
    </row>
    <row r="71" spans="1:8" x14ac:dyDescent="0.25">
      <c r="A71" s="524"/>
      <c r="B71" s="524"/>
      <c r="C71" s="524"/>
      <c r="D71" s="524"/>
    </row>
    <row r="72" spans="1:8" hidden="1" x14ac:dyDescent="0.25">
      <c r="A72" s="524"/>
      <c r="B72" s="524"/>
      <c r="C72" s="524"/>
      <c r="D72" s="570" t="s">
        <v>2594</v>
      </c>
      <c r="E72" s="514" t="s">
        <v>2507</v>
      </c>
      <c r="G72" s="580">
        <v>9862703</v>
      </c>
      <c r="H72" s="515">
        <v>9014772</v>
      </c>
    </row>
    <row r="73" spans="1:8" hidden="1" x14ac:dyDescent="0.25">
      <c r="A73" s="524"/>
      <c r="B73" s="524"/>
      <c r="C73" s="524"/>
      <c r="D73" s="524"/>
      <c r="E73" s="514" t="s">
        <v>2595</v>
      </c>
      <c r="G73" s="580">
        <v>25901</v>
      </c>
    </row>
    <row r="74" spans="1:8" hidden="1" x14ac:dyDescent="0.25">
      <c r="A74" s="524"/>
      <c r="B74" s="524"/>
      <c r="C74" s="524"/>
      <c r="D74" s="524"/>
      <c r="G74" s="581">
        <f>G72+G73</f>
        <v>9888604</v>
      </c>
    </row>
    <row r="75" spans="1:8" hidden="1" x14ac:dyDescent="0.25">
      <c r="G75" s="582">
        <f>G58/G74</f>
        <v>0.21173868424703832</v>
      </c>
    </row>
    <row r="81" spans="6:15" x14ac:dyDescent="0.25">
      <c r="F81" s="519">
        <v>925123055.03999996</v>
      </c>
      <c r="G81" s="519">
        <v>3878355665.8099995</v>
      </c>
      <c r="H81" s="519">
        <v>2203457.6000000346</v>
      </c>
      <c r="I81" s="519">
        <v>212902.87999999814</v>
      </c>
      <c r="J81" s="519">
        <v>2416360.4800000326</v>
      </c>
      <c r="K81" s="519">
        <v>302486.61999999901</v>
      </c>
      <c r="L81" s="519">
        <v>-181776270.03999999</v>
      </c>
      <c r="M81" s="519">
        <v>4624421297.9099998</v>
      </c>
      <c r="N81" s="519">
        <v>0</v>
      </c>
      <c r="O81" s="519">
        <v>4624421297.9099998</v>
      </c>
    </row>
    <row r="82" spans="6:15" x14ac:dyDescent="0.25">
      <c r="F82" s="515">
        <f>F81-F35</f>
        <v>0</v>
      </c>
      <c r="G82" s="515">
        <f t="shared" ref="G82:O82" si="24">G81-G35</f>
        <v>0</v>
      </c>
      <c r="H82" s="515">
        <f t="shared" si="24"/>
        <v>3.4924596548080444E-8</v>
      </c>
      <c r="I82" s="515">
        <f t="shared" si="24"/>
        <v>-1.862645149230957E-9</v>
      </c>
      <c r="J82" s="515">
        <f t="shared" si="24"/>
        <v>3.3061951398849487E-8</v>
      </c>
      <c r="K82" s="515">
        <f t="shared" si="24"/>
        <v>-9.8953023552894592E-10</v>
      </c>
      <c r="L82" s="515">
        <f t="shared" si="24"/>
        <v>0</v>
      </c>
      <c r="M82" s="515">
        <f t="shared" si="24"/>
        <v>0</v>
      </c>
      <c r="N82" s="515">
        <f t="shared" si="24"/>
        <v>0</v>
      </c>
      <c r="O82" s="515">
        <f t="shared" si="24"/>
        <v>0</v>
      </c>
    </row>
  </sheetData>
  <mergeCells count="1">
    <mergeCell ref="A3:D3"/>
  </mergeCells>
  <pageMargins left="0.75" right="0.75" top="1" bottom="1" header="0.5" footer="0.5"/>
  <pageSetup paperSize="5" scale="61" orientation="landscape" r:id="rId1"/>
  <headerFooter alignWithMargins="0">
    <oddFooter>&amp;L&amp;Z&amp;F&amp;R&amp;D
Prepared by   MJ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1"/>
    <pageSetUpPr fitToPage="1"/>
  </sheetPr>
  <dimension ref="A1:AH79"/>
  <sheetViews>
    <sheetView zoomScaleNormal="100" workbookViewId="0">
      <pane xSplit="2" ySplit="5" topLeftCell="L6" activePane="bottomRight" state="frozen"/>
      <selection activeCell="AB7" sqref="AB7"/>
      <selection pane="topRight" activeCell="AB7" sqref="AB7"/>
      <selection pane="bottomLeft" activeCell="AB7" sqref="AB7"/>
      <selection pane="bottomRight" activeCell="V16" sqref="V16"/>
    </sheetView>
  </sheetViews>
  <sheetFormatPr defaultColWidth="8.9140625" defaultRowHeight="13.2" outlineLevelCol="1" x14ac:dyDescent="0.25"/>
  <cols>
    <col min="1" max="1" width="32.33203125" style="888" customWidth="1"/>
    <col min="2" max="2" width="3.58203125" style="888" customWidth="1"/>
    <col min="3" max="3" width="12.33203125" style="840" customWidth="1" outlineLevel="1"/>
    <col min="4" max="4" width="10.9140625" style="840" customWidth="1" outlineLevel="1"/>
    <col min="5" max="5" width="12.6640625" style="840" customWidth="1" outlineLevel="1"/>
    <col min="6" max="6" width="13.58203125" style="840" customWidth="1" outlineLevel="1"/>
    <col min="7" max="11" width="13.58203125" style="840" customWidth="1"/>
    <col min="12" max="12" width="2.33203125" style="840" customWidth="1"/>
    <col min="13" max="13" width="10.9140625" style="840" bestFit="1" customWidth="1"/>
    <col min="14" max="14" width="13.75" style="840" customWidth="1"/>
    <col min="15" max="15" width="13.6640625" style="840" bestFit="1" customWidth="1"/>
    <col min="16" max="16" width="11.6640625" style="840" customWidth="1"/>
    <col min="17" max="17" width="15.33203125" style="840" bestFit="1" customWidth="1"/>
    <col min="18" max="18" width="10.9140625" style="840" customWidth="1"/>
    <col min="19" max="19" width="11.75" style="840" bestFit="1" customWidth="1"/>
    <col min="20" max="20" width="15.6640625" style="840" hidden="1" customWidth="1"/>
    <col min="21" max="21" width="12.9140625" style="840" hidden="1" customWidth="1"/>
    <col min="22" max="22" width="13.9140625" style="841" customWidth="1"/>
    <col min="23" max="23" width="0.9140625" style="841" customWidth="1"/>
    <col min="24" max="24" width="13.9140625" style="841" bestFit="1" customWidth="1"/>
    <col min="25" max="26" width="13.75" style="841" hidden="1" customWidth="1"/>
    <col min="27" max="27" width="14.6640625" style="841" hidden="1" customWidth="1"/>
    <col min="28" max="28" width="13.25" style="842" hidden="1" customWidth="1"/>
    <col min="29" max="29" width="11.6640625" style="842" hidden="1" customWidth="1"/>
    <col min="30" max="30" width="4.08203125" style="842" bestFit="1" customWidth="1"/>
    <col min="31" max="31" width="15" style="843" customWidth="1"/>
    <col min="32" max="32" width="12.4140625" style="842" bestFit="1" customWidth="1"/>
    <col min="33" max="33" width="7.25" style="842" bestFit="1" customWidth="1"/>
    <col min="34" max="34" width="10.9140625" style="842" bestFit="1" customWidth="1"/>
    <col min="35" max="16384" width="8.9140625" style="842"/>
  </cols>
  <sheetData>
    <row r="1" spans="1:33" ht="15.6" x14ac:dyDescent="0.3">
      <c r="A1" s="838" t="s">
        <v>2503</v>
      </c>
      <c r="B1" s="839"/>
    </row>
    <row r="2" spans="1:33" x14ac:dyDescent="0.25">
      <c r="A2" s="844" t="s">
        <v>2777</v>
      </c>
      <c r="B2" s="839"/>
    </row>
    <row r="3" spans="1:33" x14ac:dyDescent="0.25">
      <c r="A3" s="845" t="s">
        <v>2832</v>
      </c>
      <c r="B3" s="839"/>
      <c r="G3" s="929" t="s">
        <v>2778</v>
      </c>
      <c r="H3" s="929"/>
      <c r="I3" s="929"/>
      <c r="J3" s="929"/>
      <c r="K3" s="929"/>
    </row>
    <row r="4" spans="1:33" x14ac:dyDescent="0.25">
      <c r="A4" s="846"/>
      <c r="B4" s="846"/>
      <c r="H4" s="847" t="s">
        <v>2779</v>
      </c>
      <c r="I4" s="847"/>
      <c r="J4" s="930" t="s">
        <v>2780</v>
      </c>
      <c r="K4" s="930"/>
      <c r="L4" s="848"/>
      <c r="AB4" s="849"/>
    </row>
    <row r="5" spans="1:33" ht="26.4" x14ac:dyDescent="0.25">
      <c r="A5" s="846"/>
      <c r="B5" s="850" t="s">
        <v>2781</v>
      </c>
      <c r="C5" s="851" t="s">
        <v>2782</v>
      </c>
      <c r="D5" s="851" t="s">
        <v>2783</v>
      </c>
      <c r="E5" s="851" t="s">
        <v>2784</v>
      </c>
      <c r="F5" s="851" t="s">
        <v>2785</v>
      </c>
      <c r="G5" s="851" t="s">
        <v>2786</v>
      </c>
      <c r="H5" s="851" t="s">
        <v>2787</v>
      </c>
      <c r="I5" s="851" t="s">
        <v>2788</v>
      </c>
      <c r="J5" s="851" t="s">
        <v>2789</v>
      </c>
      <c r="K5" s="851" t="s">
        <v>2790</v>
      </c>
      <c r="L5" s="851"/>
      <c r="M5" s="851" t="s">
        <v>2791</v>
      </c>
      <c r="N5" s="851" t="s">
        <v>2792</v>
      </c>
      <c r="O5" s="851" t="s">
        <v>2508</v>
      </c>
      <c r="P5" s="851" t="s">
        <v>2509</v>
      </c>
      <c r="Q5" s="851" t="s">
        <v>2510</v>
      </c>
      <c r="R5" s="851" t="s">
        <v>2511</v>
      </c>
      <c r="S5" s="851" t="s">
        <v>2512</v>
      </c>
      <c r="T5" s="851" t="s">
        <v>2513</v>
      </c>
      <c r="U5" s="851" t="s">
        <v>2512</v>
      </c>
      <c r="V5" s="851" t="s">
        <v>2514</v>
      </c>
      <c r="W5" s="851"/>
      <c r="X5" s="851" t="s">
        <v>2610</v>
      </c>
      <c r="Y5" s="852" t="s">
        <v>2516</v>
      </c>
      <c r="Z5" s="852" t="s">
        <v>2517</v>
      </c>
      <c r="AA5" s="852" t="s">
        <v>2518</v>
      </c>
      <c r="AB5" s="853" t="s">
        <v>2519</v>
      </c>
      <c r="AE5" s="854" t="str">
        <f>S5</f>
        <v>ELIMINATION</v>
      </c>
    </row>
    <row r="6" spans="1:33" x14ac:dyDescent="0.25">
      <c r="A6" s="855" t="s">
        <v>2793</v>
      </c>
      <c r="B6" s="856">
        <v>400</v>
      </c>
      <c r="C6" s="840">
        <v>0</v>
      </c>
      <c r="E6" s="840">
        <f>C6+D6</f>
        <v>0</v>
      </c>
      <c r="F6" s="840">
        <v>1754258239.0199997</v>
      </c>
      <c r="G6" s="857">
        <v>1754258239.0199997</v>
      </c>
      <c r="H6" s="840">
        <v>0</v>
      </c>
      <c r="I6" s="840">
        <v>0</v>
      </c>
      <c r="J6" s="840">
        <v>0</v>
      </c>
      <c r="K6" s="840">
        <v>0</v>
      </c>
      <c r="N6" s="840">
        <f>F6+M6</f>
        <v>1754258239.0199997</v>
      </c>
      <c r="O6" s="840">
        <v>0</v>
      </c>
      <c r="P6" s="840">
        <v>0</v>
      </c>
      <c r="Q6" s="840">
        <f>O6+P6</f>
        <v>0</v>
      </c>
      <c r="R6" s="840">
        <v>0</v>
      </c>
      <c r="T6" s="840">
        <f>E6+N6+Q6+R6+S6</f>
        <v>1754258239.0199997</v>
      </c>
      <c r="V6" s="841">
        <f>SUM(T6:U6)</f>
        <v>1754258239.0199997</v>
      </c>
      <c r="X6" s="841">
        <v>1787393522.49</v>
      </c>
      <c r="Y6" s="841">
        <v>761858080.17999995</v>
      </c>
      <c r="Z6" s="858">
        <v>670495356.25999987</v>
      </c>
      <c r="AA6" s="841">
        <v>591645276.98000002</v>
      </c>
      <c r="AB6" s="843">
        <v>467960771.37000006</v>
      </c>
      <c r="AC6" s="843">
        <f>T6-AB6</f>
        <v>1286297467.6499996</v>
      </c>
      <c r="AE6" s="843">
        <v>0</v>
      </c>
    </row>
    <row r="7" spans="1:33" x14ac:dyDescent="0.25">
      <c r="A7" s="855" t="s">
        <v>2794</v>
      </c>
      <c r="B7" s="856">
        <v>410</v>
      </c>
      <c r="C7" s="859">
        <v>0</v>
      </c>
      <c r="D7" s="859"/>
      <c r="E7" s="859">
        <f>C7+D7</f>
        <v>0</v>
      </c>
      <c r="F7" s="859">
        <v>1020402294.62</v>
      </c>
      <c r="G7" s="860">
        <v>1020402294.62</v>
      </c>
      <c r="H7" s="859">
        <v>0</v>
      </c>
      <c r="I7" s="859">
        <v>0</v>
      </c>
      <c r="J7" s="859">
        <v>0</v>
      </c>
      <c r="K7" s="859">
        <v>0</v>
      </c>
      <c r="L7" s="859"/>
      <c r="M7" s="859"/>
      <c r="N7" s="859">
        <f>F7+M7</f>
        <v>1020402294.62</v>
      </c>
      <c r="O7" s="859">
        <v>0</v>
      </c>
      <c r="P7" s="859">
        <v>0</v>
      </c>
      <c r="Q7" s="859">
        <f>O7+P7</f>
        <v>0</v>
      </c>
      <c r="R7" s="859">
        <v>0</v>
      </c>
      <c r="S7" s="859"/>
      <c r="T7" s="859">
        <f>E7+N7+Q7+R7+S7</f>
        <v>1020402294.62</v>
      </c>
      <c r="U7" s="859"/>
      <c r="V7" s="859">
        <f>SUM(T7:U7)</f>
        <v>1020402294.62</v>
      </c>
      <c r="W7" s="859"/>
      <c r="X7" s="859">
        <v>959726922.68000007</v>
      </c>
      <c r="Y7" s="859">
        <v>393630200.86000001</v>
      </c>
      <c r="Z7" s="861">
        <v>345195306.46999991</v>
      </c>
      <c r="AA7" s="859">
        <v>277398564.43000007</v>
      </c>
      <c r="AB7" s="862">
        <v>224011480.09</v>
      </c>
      <c r="AC7" s="862">
        <f>T7-AB7</f>
        <v>796390814.52999997</v>
      </c>
      <c r="AE7" s="843">
        <v>0</v>
      </c>
    </row>
    <row r="8" spans="1:33" x14ac:dyDescent="0.25">
      <c r="A8" s="855" t="s">
        <v>2795</v>
      </c>
      <c r="B8" s="856"/>
      <c r="C8" s="841">
        <f>SUM(C6:C7)</f>
        <v>0</v>
      </c>
      <c r="D8" s="841">
        <f>SUM(D6:D7)</f>
        <v>0</v>
      </c>
      <c r="E8" s="841">
        <f>SUM(E6:E7)</f>
        <v>0</v>
      </c>
      <c r="F8" s="841">
        <f t="shared" ref="F8:T8" si="0">SUM(F6:F7)</f>
        <v>2774660533.6399999</v>
      </c>
      <c r="G8" s="841">
        <f t="shared" si="0"/>
        <v>2774660533.6399999</v>
      </c>
      <c r="H8" s="841">
        <f t="shared" si="0"/>
        <v>0</v>
      </c>
      <c r="I8" s="841">
        <f t="shared" si="0"/>
        <v>0</v>
      </c>
      <c r="J8" s="841">
        <f t="shared" si="0"/>
        <v>0</v>
      </c>
      <c r="K8" s="841">
        <f t="shared" si="0"/>
        <v>0</v>
      </c>
      <c r="L8" s="841"/>
      <c r="M8" s="841">
        <f t="shared" si="0"/>
        <v>0</v>
      </c>
      <c r="N8" s="841">
        <f t="shared" si="0"/>
        <v>2774660533.6399999</v>
      </c>
      <c r="O8" s="841">
        <f t="shared" si="0"/>
        <v>0</v>
      </c>
      <c r="P8" s="841">
        <f t="shared" si="0"/>
        <v>0</v>
      </c>
      <c r="Q8" s="841">
        <f t="shared" si="0"/>
        <v>0</v>
      </c>
      <c r="R8" s="841">
        <f t="shared" si="0"/>
        <v>0</v>
      </c>
      <c r="S8" s="841">
        <f t="shared" si="0"/>
        <v>0</v>
      </c>
      <c r="T8" s="841">
        <f t="shared" si="0"/>
        <v>2774660533.6399999</v>
      </c>
      <c r="U8" s="841">
        <f>SUM(U6:U7)</f>
        <v>0</v>
      </c>
      <c r="V8" s="841">
        <f>SUM(V6:V7)</f>
        <v>2774660533.6399999</v>
      </c>
      <c r="X8" s="841">
        <v>2747120445.1700001</v>
      </c>
      <c r="Y8" s="841">
        <v>1155488281.04</v>
      </c>
      <c r="Z8" s="858">
        <v>1015690662.7299998</v>
      </c>
      <c r="AA8" s="841">
        <v>869043841.41000009</v>
      </c>
      <c r="AB8" s="863">
        <v>691972251.46000004</v>
      </c>
      <c r="AC8" s="863">
        <f>T8-AB8</f>
        <v>2082688282.1799998</v>
      </c>
      <c r="AE8" s="863">
        <f>SUM(AE6:AE7)</f>
        <v>0</v>
      </c>
      <c r="AF8" s="843"/>
      <c r="AG8" s="864"/>
    </row>
    <row r="9" spans="1:33" x14ac:dyDescent="0.25">
      <c r="A9" s="865" t="s">
        <v>2796</v>
      </c>
      <c r="B9" s="866"/>
      <c r="Z9" s="867"/>
      <c r="AB9" s="843"/>
      <c r="AC9" s="843"/>
    </row>
    <row r="10" spans="1:33" x14ac:dyDescent="0.25">
      <c r="A10" s="855" t="s">
        <v>481</v>
      </c>
      <c r="B10" s="856">
        <v>500</v>
      </c>
      <c r="C10" s="840">
        <v>0</v>
      </c>
      <c r="E10" s="840">
        <f>C10+D10</f>
        <v>0</v>
      </c>
      <c r="F10" s="840">
        <v>-25929145.949999999</v>
      </c>
      <c r="G10" s="868">
        <v>-25929145.949999999</v>
      </c>
      <c r="H10" s="840">
        <v>0</v>
      </c>
      <c r="I10" s="840">
        <v>0</v>
      </c>
      <c r="J10" s="840">
        <v>0</v>
      </c>
      <c r="K10" s="841">
        <v>0</v>
      </c>
      <c r="L10" s="841"/>
      <c r="N10" s="840">
        <f>F10+M10</f>
        <v>-25929145.949999999</v>
      </c>
      <c r="O10" s="840">
        <v>0</v>
      </c>
      <c r="P10" s="840">
        <v>0</v>
      </c>
      <c r="Q10" s="840">
        <f>O10+P10</f>
        <v>0</v>
      </c>
      <c r="R10" s="840">
        <v>0</v>
      </c>
      <c r="T10" s="840">
        <f>E10+N10+Q10+R10+S10</f>
        <v>-25929145.949999999</v>
      </c>
      <c r="V10" s="841">
        <f>SUM(T10:U10)</f>
        <v>-25929145.949999999</v>
      </c>
      <c r="X10" s="841">
        <v>-33468654.940000001</v>
      </c>
      <c r="Y10" s="841">
        <v>-18222669.560000002</v>
      </c>
      <c r="Z10" s="858">
        <v>-19304851.780000001</v>
      </c>
      <c r="AA10" s="841">
        <v>-14261410.970000001</v>
      </c>
      <c r="AB10" s="843">
        <v>-12926612.020000001</v>
      </c>
      <c r="AC10" s="843">
        <f>T10-AB10</f>
        <v>-13002533.929999998</v>
      </c>
      <c r="AE10" s="843">
        <v>0</v>
      </c>
    </row>
    <row r="11" spans="1:33" x14ac:dyDescent="0.25">
      <c r="A11" s="855" t="s">
        <v>2797</v>
      </c>
      <c r="B11" s="856">
        <v>510</v>
      </c>
      <c r="C11" s="840">
        <v>0</v>
      </c>
      <c r="E11" s="840">
        <f>C11+D11</f>
        <v>0</v>
      </c>
      <c r="F11" s="840">
        <v>-2406776.77</v>
      </c>
      <c r="G11" s="868">
        <v>-2406776.77</v>
      </c>
      <c r="H11" s="840">
        <v>0</v>
      </c>
      <c r="I11" s="840">
        <v>0</v>
      </c>
      <c r="J11" s="840">
        <v>0</v>
      </c>
      <c r="K11" s="841">
        <v>0</v>
      </c>
      <c r="L11" s="841"/>
      <c r="N11" s="840">
        <f>F11+M11</f>
        <v>-2406776.77</v>
      </c>
      <c r="O11" s="840">
        <v>0</v>
      </c>
      <c r="P11" s="840">
        <v>0</v>
      </c>
      <c r="Q11" s="840">
        <f>O11+P11</f>
        <v>0</v>
      </c>
      <c r="R11" s="840">
        <v>0</v>
      </c>
      <c r="T11" s="840">
        <f>E11+N11+Q11+R11+S11</f>
        <v>-2406776.77</v>
      </c>
      <c r="V11" s="841">
        <f>SUM(T11:U11)</f>
        <v>-2406776.77</v>
      </c>
      <c r="X11" s="841">
        <v>-1865779.9900000002</v>
      </c>
      <c r="Y11" s="841">
        <v>0</v>
      </c>
      <c r="Z11" s="858">
        <v>0</v>
      </c>
      <c r="AA11" s="841">
        <v>0</v>
      </c>
      <c r="AB11" s="843">
        <v>0</v>
      </c>
      <c r="AC11" s="843">
        <f>T11-AB11</f>
        <v>-2406776.77</v>
      </c>
      <c r="AE11" s="843">
        <v>0</v>
      </c>
    </row>
    <row r="12" spans="1:33" x14ac:dyDescent="0.25">
      <c r="A12" s="855" t="s">
        <v>2798</v>
      </c>
      <c r="B12" s="856">
        <v>520</v>
      </c>
      <c r="C12" s="840">
        <v>0</v>
      </c>
      <c r="E12" s="840">
        <f>C12+D12</f>
        <v>0</v>
      </c>
      <c r="F12" s="840">
        <v>-1018162666.13</v>
      </c>
      <c r="G12" s="868">
        <v>-1018162666.13</v>
      </c>
      <c r="H12" s="840">
        <v>0</v>
      </c>
      <c r="I12" s="840">
        <v>0</v>
      </c>
      <c r="J12" s="840">
        <v>0</v>
      </c>
      <c r="K12" s="841">
        <v>0</v>
      </c>
      <c r="L12" s="841"/>
      <c r="N12" s="840">
        <f>F12+M12</f>
        <v>-1018162666.13</v>
      </c>
      <c r="O12" s="840">
        <v>0</v>
      </c>
      <c r="P12" s="840">
        <v>0</v>
      </c>
      <c r="Q12" s="840">
        <f>O12+P12</f>
        <v>0</v>
      </c>
      <c r="R12" s="840">
        <v>0</v>
      </c>
      <c r="T12" s="840">
        <f>E12+N12+Q12+R12+S12</f>
        <v>-1018162666.13</v>
      </c>
      <c r="V12" s="841">
        <f>SUM(T12:U12)</f>
        <v>-1018162666.13</v>
      </c>
      <c r="X12" s="841">
        <v>-1066122323.0900002</v>
      </c>
      <c r="Y12" s="841">
        <v>-392968208.36000001</v>
      </c>
      <c r="Z12" s="858">
        <v>-298540828.38000005</v>
      </c>
      <c r="AA12" s="841">
        <v>-236553252.46999997</v>
      </c>
      <c r="AB12" s="843">
        <v>-179460641.77000001</v>
      </c>
      <c r="AC12" s="843">
        <f>T12-AB12</f>
        <v>-838702024.36000001</v>
      </c>
      <c r="AE12" s="843">
        <v>0</v>
      </c>
    </row>
    <row r="13" spans="1:33" x14ac:dyDescent="0.25">
      <c r="A13" s="855" t="s">
        <v>2799</v>
      </c>
      <c r="B13" s="856">
        <v>530</v>
      </c>
      <c r="C13" s="859">
        <v>0</v>
      </c>
      <c r="D13" s="859"/>
      <c r="E13" s="859">
        <f>C13+D13</f>
        <v>0</v>
      </c>
      <c r="F13" s="859">
        <v>-295774475.7299999</v>
      </c>
      <c r="G13" s="860">
        <v>-295774475.7299999</v>
      </c>
      <c r="H13" s="859">
        <v>0</v>
      </c>
      <c r="I13" s="859">
        <v>0</v>
      </c>
      <c r="J13" s="859">
        <v>0</v>
      </c>
      <c r="K13" s="859">
        <v>0</v>
      </c>
      <c r="L13" s="859"/>
      <c r="M13" s="859"/>
      <c r="N13" s="859">
        <f>F13+M13</f>
        <v>-295774475.7299999</v>
      </c>
      <c r="O13" s="859">
        <v>0</v>
      </c>
      <c r="P13" s="859">
        <v>0</v>
      </c>
      <c r="Q13" s="859">
        <f>O13+P13</f>
        <v>0</v>
      </c>
      <c r="R13" s="859">
        <v>0</v>
      </c>
      <c r="S13" s="859"/>
      <c r="T13" s="859">
        <f>E13+N13+Q13+R13+S13</f>
        <v>-295774475.7299999</v>
      </c>
      <c r="U13" s="859"/>
      <c r="V13" s="859">
        <f>SUM(T13:U13)</f>
        <v>-295774475.7299999</v>
      </c>
      <c r="W13" s="859"/>
      <c r="X13" s="859">
        <v>-269653114.78000003</v>
      </c>
      <c r="Y13" s="859">
        <v>-96444757.489999995</v>
      </c>
      <c r="Z13" s="861">
        <v>-92465226.769999981</v>
      </c>
      <c r="AA13" s="859">
        <v>-75055420.439999998</v>
      </c>
      <c r="AB13" s="862">
        <v>-63758989.600000001</v>
      </c>
      <c r="AC13" s="862">
        <f>T13-AB13</f>
        <v>-232015486.12999991</v>
      </c>
      <c r="AE13" s="843">
        <v>0</v>
      </c>
    </row>
    <row r="14" spans="1:33" x14ac:dyDescent="0.25">
      <c r="A14" s="855" t="s">
        <v>836</v>
      </c>
      <c r="B14" s="856"/>
      <c r="C14" s="841">
        <f>SUM(C10:C13)</f>
        <v>0</v>
      </c>
      <c r="D14" s="841">
        <f>SUM(D10:D13)</f>
        <v>0</v>
      </c>
      <c r="E14" s="841">
        <f>SUM(E10:E13)</f>
        <v>0</v>
      </c>
      <c r="F14" s="841">
        <f t="shared" ref="F14:T14" si="1">SUM(F10:F13)</f>
        <v>-1342273064.5799999</v>
      </c>
      <c r="G14" s="841">
        <f>SUM(G10:G13)</f>
        <v>-1342273064.5799999</v>
      </c>
      <c r="H14" s="841">
        <f t="shared" si="1"/>
        <v>0</v>
      </c>
      <c r="I14" s="841">
        <f t="shared" si="1"/>
        <v>0</v>
      </c>
      <c r="J14" s="841">
        <f t="shared" si="1"/>
        <v>0</v>
      </c>
      <c r="K14" s="841">
        <f t="shared" si="1"/>
        <v>0</v>
      </c>
      <c r="L14" s="841"/>
      <c r="M14" s="841">
        <f>SUM(M10:M13)</f>
        <v>0</v>
      </c>
      <c r="N14" s="841">
        <f>SUM(N10:N13)</f>
        <v>-1342273064.5799999</v>
      </c>
      <c r="O14" s="841">
        <f t="shared" si="1"/>
        <v>0</v>
      </c>
      <c r="P14" s="841">
        <f t="shared" si="1"/>
        <v>0</v>
      </c>
      <c r="Q14" s="841">
        <f t="shared" si="1"/>
        <v>0</v>
      </c>
      <c r="R14" s="841">
        <f t="shared" si="1"/>
        <v>0</v>
      </c>
      <c r="S14" s="841">
        <f t="shared" si="1"/>
        <v>0</v>
      </c>
      <c r="T14" s="841">
        <f t="shared" si="1"/>
        <v>-1342273064.5799999</v>
      </c>
      <c r="U14" s="841">
        <f>SUM(U10:U13)</f>
        <v>0</v>
      </c>
      <c r="V14" s="841">
        <f>SUM(V10:V13)</f>
        <v>-1342273064.5799999</v>
      </c>
      <c r="X14" s="841">
        <v>-1371109872.8000002</v>
      </c>
      <c r="Y14" s="841">
        <v>-507635635.41000003</v>
      </c>
      <c r="Z14" s="858">
        <v>-410310906.93000007</v>
      </c>
      <c r="AA14" s="841">
        <v>-325870083.88</v>
      </c>
      <c r="AB14" s="863">
        <v>-256146243.39000002</v>
      </c>
      <c r="AC14" s="863">
        <f>T14-AB14</f>
        <v>-1086126821.1899998</v>
      </c>
      <c r="AE14" s="863">
        <f>SUM(AE10:AE13)</f>
        <v>0</v>
      </c>
    </row>
    <row r="15" spans="1:33" x14ac:dyDescent="0.25">
      <c r="A15" s="869"/>
      <c r="B15" s="870"/>
      <c r="Z15" s="867"/>
      <c r="AA15" s="859"/>
      <c r="AB15" s="843"/>
      <c r="AC15" s="843"/>
    </row>
    <row r="16" spans="1:33" x14ac:dyDescent="0.25">
      <c r="A16" s="855" t="s">
        <v>2800</v>
      </c>
      <c r="B16" s="856"/>
      <c r="C16" s="871">
        <f>C8+C14</f>
        <v>0</v>
      </c>
      <c r="D16" s="871">
        <f>D8+D14</f>
        <v>0</v>
      </c>
      <c r="E16" s="871">
        <f>E8+E14</f>
        <v>0</v>
      </c>
      <c r="F16" s="871">
        <f t="shared" ref="F16:V16" si="2">F8+F14</f>
        <v>1432387469.0599999</v>
      </c>
      <c r="G16" s="871">
        <f t="shared" si="2"/>
        <v>1432387469.0599999</v>
      </c>
      <c r="H16" s="871">
        <f t="shared" si="2"/>
        <v>0</v>
      </c>
      <c r="I16" s="871">
        <f t="shared" si="2"/>
        <v>0</v>
      </c>
      <c r="J16" s="871">
        <f t="shared" si="2"/>
        <v>0</v>
      </c>
      <c r="K16" s="871">
        <f t="shared" si="2"/>
        <v>0</v>
      </c>
      <c r="L16" s="871"/>
      <c r="M16" s="871">
        <f>M8+M14</f>
        <v>0</v>
      </c>
      <c r="N16" s="871">
        <f>N8+N14</f>
        <v>1432387469.0599999</v>
      </c>
      <c r="O16" s="871">
        <f t="shared" si="2"/>
        <v>0</v>
      </c>
      <c r="P16" s="871">
        <f t="shared" si="2"/>
        <v>0</v>
      </c>
      <c r="Q16" s="871">
        <f t="shared" si="2"/>
        <v>0</v>
      </c>
      <c r="R16" s="871">
        <f t="shared" si="2"/>
        <v>0</v>
      </c>
      <c r="S16" s="871">
        <f t="shared" si="2"/>
        <v>0</v>
      </c>
      <c r="T16" s="871">
        <f t="shared" si="2"/>
        <v>1432387469.0599999</v>
      </c>
      <c r="U16" s="871">
        <f t="shared" si="2"/>
        <v>0</v>
      </c>
      <c r="V16" s="871">
        <f t="shared" si="2"/>
        <v>1432387469.0599999</v>
      </c>
      <c r="W16" s="859"/>
      <c r="X16" s="871">
        <v>1376010572.3699999</v>
      </c>
      <c r="Y16" s="871">
        <v>647852645.62999988</v>
      </c>
      <c r="Z16" s="872">
        <v>605379755.79999971</v>
      </c>
      <c r="AA16" s="859">
        <v>543173757.53000009</v>
      </c>
      <c r="AB16" s="873">
        <v>435826008.07000005</v>
      </c>
      <c r="AC16" s="873">
        <f>T16-AB16</f>
        <v>996561460.98999989</v>
      </c>
      <c r="AE16" s="873">
        <f>AE8+AE14</f>
        <v>0</v>
      </c>
    </row>
    <row r="17" spans="1:34" x14ac:dyDescent="0.25">
      <c r="A17" s="869"/>
      <c r="B17" s="870"/>
      <c r="Z17" s="867"/>
      <c r="AB17" s="843"/>
      <c r="AC17" s="843"/>
    </row>
    <row r="18" spans="1:34" x14ac:dyDescent="0.25">
      <c r="A18" s="869" t="s">
        <v>2801</v>
      </c>
      <c r="B18" s="856">
        <v>620</v>
      </c>
      <c r="C18" s="857">
        <v>1536005.96</v>
      </c>
      <c r="D18" s="840">
        <v>0</v>
      </c>
      <c r="E18" s="840">
        <f t="shared" ref="E18:E25" si="3">C18+D18</f>
        <v>1536005.96</v>
      </c>
      <c r="G18" s="841">
        <v>0</v>
      </c>
      <c r="H18" s="840">
        <v>0</v>
      </c>
      <c r="I18" s="840">
        <v>0</v>
      </c>
      <c r="J18" s="840">
        <v>0</v>
      </c>
      <c r="K18" s="841">
        <v>0</v>
      </c>
      <c r="L18" s="841"/>
      <c r="N18" s="840">
        <f t="shared" ref="N18:N25" si="4">F18+M18</f>
        <v>0</v>
      </c>
      <c r="O18" s="840">
        <v>17570526.449999999</v>
      </c>
      <c r="P18" s="840">
        <v>13481.31</v>
      </c>
      <c r="Q18" s="840">
        <f t="shared" ref="Q18:Q25" si="5">O18+P18</f>
        <v>17584007.759999998</v>
      </c>
      <c r="R18" s="840">
        <v>0</v>
      </c>
      <c r="S18" s="840">
        <v>-1534379.52</v>
      </c>
      <c r="T18" s="840">
        <f t="shared" ref="T18:T24" si="6">E18+N18+Q18+R18+S18</f>
        <v>17585634.199999999</v>
      </c>
      <c r="V18" s="841">
        <f t="shared" ref="V18:V25" si="7">SUM(T18:U18)</f>
        <v>17585634.199999999</v>
      </c>
      <c r="X18" s="841">
        <v>23938938.32</v>
      </c>
      <c r="Y18" s="841">
        <v>10304122</v>
      </c>
      <c r="Z18" s="858">
        <v>13846195.09</v>
      </c>
      <c r="AA18" s="841">
        <v>15344791.809999999</v>
      </c>
      <c r="AB18" s="843">
        <v>15630698.400000002</v>
      </c>
      <c r="AC18" s="843">
        <f t="shared" ref="AC18:AC26" si="8">T18-AB18</f>
        <v>1954935.799999997</v>
      </c>
      <c r="AD18" s="842" t="s">
        <v>2802</v>
      </c>
      <c r="AE18" s="843">
        <v>-1534379.52</v>
      </c>
      <c r="AF18" s="843">
        <f t="shared" ref="AF18:AF52" si="9">S18-AE18</f>
        <v>0</v>
      </c>
      <c r="AH18" s="843"/>
    </row>
    <row r="19" spans="1:34" x14ac:dyDescent="0.25">
      <c r="A19" s="869" t="s">
        <v>2803</v>
      </c>
      <c r="B19" s="856">
        <v>619</v>
      </c>
      <c r="C19" s="840">
        <v>0</v>
      </c>
      <c r="D19" s="840">
        <v>0</v>
      </c>
      <c r="E19" s="840">
        <f t="shared" si="3"/>
        <v>0</v>
      </c>
      <c r="G19" s="841">
        <v>0</v>
      </c>
      <c r="H19" s="840">
        <v>0</v>
      </c>
      <c r="I19" s="840">
        <v>0</v>
      </c>
      <c r="J19" s="840">
        <v>0</v>
      </c>
      <c r="K19" s="841">
        <v>0</v>
      </c>
      <c r="L19" s="841"/>
      <c r="N19" s="840">
        <f t="shared" si="4"/>
        <v>0</v>
      </c>
      <c r="O19" s="840">
        <v>142518558.34</v>
      </c>
      <c r="P19" s="840">
        <v>19260385.789999999</v>
      </c>
      <c r="Q19" s="840">
        <f t="shared" si="5"/>
        <v>161778944.13</v>
      </c>
      <c r="R19" s="840">
        <v>171822.08000000002</v>
      </c>
      <c r="S19" s="840">
        <v>-161950766.21000001</v>
      </c>
      <c r="T19" s="840">
        <f t="shared" si="6"/>
        <v>0</v>
      </c>
      <c r="V19" s="841">
        <f t="shared" si="7"/>
        <v>0</v>
      </c>
      <c r="X19" s="841">
        <v>0</v>
      </c>
      <c r="Y19" s="841">
        <v>0</v>
      </c>
      <c r="Z19" s="858">
        <v>0</v>
      </c>
      <c r="AA19" s="841">
        <v>0</v>
      </c>
      <c r="AB19" s="843">
        <v>0</v>
      </c>
      <c r="AC19" s="843">
        <f t="shared" si="8"/>
        <v>0</v>
      </c>
      <c r="AD19" s="842" t="s">
        <v>2802</v>
      </c>
      <c r="AE19" s="843">
        <v>-161950766.21000001</v>
      </c>
      <c r="AF19" s="843">
        <f t="shared" si="9"/>
        <v>0</v>
      </c>
      <c r="AH19" s="843"/>
    </row>
    <row r="20" spans="1:34" x14ac:dyDescent="0.25">
      <c r="A20" s="855" t="s">
        <v>1384</v>
      </c>
      <c r="B20" s="856">
        <v>621</v>
      </c>
      <c r="C20" s="857">
        <v>25882081.780000001</v>
      </c>
      <c r="D20" s="840">
        <v>-3346396.3599999994</v>
      </c>
      <c r="E20" s="840">
        <f t="shared" si="3"/>
        <v>22535685.420000002</v>
      </c>
      <c r="F20" s="840">
        <f t="shared" ref="F20:F25" si="10">SUM(G20:K20)</f>
        <v>80713960.099999994</v>
      </c>
      <c r="G20" s="868">
        <v>45180454.859999992</v>
      </c>
      <c r="H20" s="857">
        <v>16002411.529999999</v>
      </c>
      <c r="I20" s="857">
        <v>0</v>
      </c>
      <c r="J20" s="857">
        <v>19531093.709999997</v>
      </c>
      <c r="K20" s="868">
        <v>0</v>
      </c>
      <c r="L20" s="841"/>
      <c r="M20" s="840">
        <v>1265924.9900000244</v>
      </c>
      <c r="N20" s="840">
        <f t="shared" si="4"/>
        <v>81979885.090000018</v>
      </c>
      <c r="O20" s="840">
        <v>79255</v>
      </c>
      <c r="P20" s="840">
        <v>19395</v>
      </c>
      <c r="Q20" s="840">
        <f t="shared" si="5"/>
        <v>98650</v>
      </c>
      <c r="R20" s="840">
        <v>2812197.3199999994</v>
      </c>
      <c r="S20" s="840">
        <v>-136389.35999999999</v>
      </c>
      <c r="T20" s="840">
        <f t="shared" si="6"/>
        <v>107290028.47000001</v>
      </c>
      <c r="U20" s="874">
        <v>0</v>
      </c>
      <c r="V20" s="841">
        <f t="shared" si="7"/>
        <v>107290028.47000001</v>
      </c>
      <c r="X20" s="841">
        <v>88267979.509999931</v>
      </c>
      <c r="Y20" s="841">
        <v>43741003.379999988</v>
      </c>
      <c r="Z20" s="858">
        <v>43997508.039999984</v>
      </c>
      <c r="AA20" s="841">
        <v>41297051.75999999</v>
      </c>
      <c r="AB20" s="843">
        <f>35682624.5-1515600</f>
        <v>34167024.5</v>
      </c>
      <c r="AC20" s="843">
        <f t="shared" si="8"/>
        <v>73123003.970000014</v>
      </c>
      <c r="AE20" s="843">
        <v>-136389.35999999999</v>
      </c>
      <c r="AF20" s="843">
        <f t="shared" si="9"/>
        <v>0</v>
      </c>
      <c r="AH20" s="843"/>
    </row>
    <row r="21" spans="1:34" x14ac:dyDescent="0.25">
      <c r="A21" s="855" t="s">
        <v>2804</v>
      </c>
      <c r="B21" s="856">
        <v>23</v>
      </c>
      <c r="C21" s="840">
        <v>0</v>
      </c>
      <c r="D21" s="840">
        <v>0</v>
      </c>
      <c r="E21" s="840">
        <f t="shared" si="3"/>
        <v>0</v>
      </c>
      <c r="F21" s="840">
        <f t="shared" si="10"/>
        <v>155657932.39000002</v>
      </c>
      <c r="G21" s="841">
        <v>0</v>
      </c>
      <c r="H21" s="857">
        <v>0</v>
      </c>
      <c r="I21" s="857">
        <v>0</v>
      </c>
      <c r="J21" s="857">
        <v>0</v>
      </c>
      <c r="K21" s="868">
        <v>155657932.39000002</v>
      </c>
      <c r="L21" s="841"/>
      <c r="M21" s="840">
        <v>-27648967.51000002</v>
      </c>
      <c r="N21" s="840">
        <f t="shared" si="4"/>
        <v>128008964.88</v>
      </c>
      <c r="O21" s="840">
        <v>0</v>
      </c>
      <c r="P21" s="840">
        <v>0</v>
      </c>
      <c r="Q21" s="840">
        <f t="shared" si="5"/>
        <v>0</v>
      </c>
      <c r="R21" s="840">
        <v>0</v>
      </c>
      <c r="T21" s="840">
        <f>E21+N21+Q21+R21+S21</f>
        <v>128008964.88</v>
      </c>
      <c r="V21" s="841">
        <f t="shared" si="7"/>
        <v>128008964.88</v>
      </c>
      <c r="X21" s="841">
        <v>98446099.760000005</v>
      </c>
      <c r="Y21" s="841">
        <v>54318886.440000005</v>
      </c>
      <c r="Z21" s="858">
        <v>46239979.829999998</v>
      </c>
      <c r="AA21" s="841">
        <v>41043642</v>
      </c>
      <c r="AB21" s="843">
        <f>32965763.87-724700</f>
        <v>32241063.870000001</v>
      </c>
      <c r="AC21" s="843">
        <f t="shared" si="8"/>
        <v>95767901.00999999</v>
      </c>
      <c r="AE21" s="843">
        <v>0</v>
      </c>
      <c r="AF21" s="843">
        <f t="shared" si="9"/>
        <v>0</v>
      </c>
    </row>
    <row r="22" spans="1:34" x14ac:dyDescent="0.25">
      <c r="A22" s="855" t="s">
        <v>1508</v>
      </c>
      <c r="B22" s="856">
        <v>690</v>
      </c>
      <c r="C22" s="840">
        <v>0</v>
      </c>
      <c r="D22" s="840">
        <v>0</v>
      </c>
      <c r="E22" s="840">
        <f t="shared" si="3"/>
        <v>0</v>
      </c>
      <c r="F22" s="840">
        <f t="shared" si="10"/>
        <v>29819727.27</v>
      </c>
      <c r="G22" s="868">
        <v>29819727.27</v>
      </c>
      <c r="H22" s="857">
        <v>0</v>
      </c>
      <c r="I22" s="857">
        <v>0</v>
      </c>
      <c r="J22" s="857">
        <v>0</v>
      </c>
      <c r="K22" s="868">
        <v>0</v>
      </c>
      <c r="L22" s="841"/>
      <c r="M22" s="840">
        <v>0</v>
      </c>
      <c r="N22" s="840">
        <f t="shared" si="4"/>
        <v>29819727.27</v>
      </c>
      <c r="O22" s="840">
        <v>0</v>
      </c>
      <c r="P22" s="840">
        <v>0</v>
      </c>
      <c r="Q22" s="840">
        <f t="shared" si="5"/>
        <v>0</v>
      </c>
      <c r="R22" s="840">
        <v>0</v>
      </c>
      <c r="T22" s="840">
        <f t="shared" si="6"/>
        <v>29819727.27</v>
      </c>
      <c r="V22" s="841">
        <f t="shared" si="7"/>
        <v>29819727.27</v>
      </c>
      <c r="X22" s="841">
        <v>55066499.549999997</v>
      </c>
      <c r="Y22" s="841">
        <v>11141769.98</v>
      </c>
      <c r="Z22" s="858">
        <v>12430287.75</v>
      </c>
      <c r="AA22" s="841">
        <v>15344049.09</v>
      </c>
      <c r="AB22" s="843">
        <v>14922404.82</v>
      </c>
      <c r="AC22" s="843">
        <f t="shared" si="8"/>
        <v>14897322.449999999</v>
      </c>
      <c r="AE22" s="843">
        <v>0</v>
      </c>
      <c r="AF22" s="843">
        <f t="shared" si="9"/>
        <v>0</v>
      </c>
      <c r="AH22" s="843"/>
    </row>
    <row r="23" spans="1:34" x14ac:dyDescent="0.25">
      <c r="A23" s="855" t="s">
        <v>2805</v>
      </c>
      <c r="B23" s="856">
        <v>25</v>
      </c>
      <c r="C23" s="840">
        <v>0</v>
      </c>
      <c r="D23" s="840">
        <v>0</v>
      </c>
      <c r="E23" s="840">
        <f t="shared" si="3"/>
        <v>0</v>
      </c>
      <c r="F23" s="840">
        <f t="shared" si="10"/>
        <v>0</v>
      </c>
      <c r="G23" s="841">
        <v>0</v>
      </c>
      <c r="H23" s="857">
        <v>0</v>
      </c>
      <c r="I23" s="857">
        <v>0</v>
      </c>
      <c r="J23" s="857">
        <v>0</v>
      </c>
      <c r="K23" s="868">
        <v>0</v>
      </c>
      <c r="L23" s="841"/>
      <c r="M23" s="840">
        <v>0</v>
      </c>
      <c r="N23" s="840">
        <f t="shared" si="4"/>
        <v>0</v>
      </c>
      <c r="O23" s="840">
        <v>0</v>
      </c>
      <c r="P23" s="840">
        <v>0</v>
      </c>
      <c r="Q23" s="840">
        <f t="shared" si="5"/>
        <v>0</v>
      </c>
      <c r="R23" s="840">
        <v>0</v>
      </c>
      <c r="T23" s="840">
        <f t="shared" si="6"/>
        <v>0</v>
      </c>
      <c r="V23" s="841">
        <f t="shared" si="7"/>
        <v>0</v>
      </c>
      <c r="X23" s="841">
        <v>50347986.120000005</v>
      </c>
      <c r="Y23" s="841">
        <v>16700066.569999998</v>
      </c>
      <c r="Z23" s="858">
        <v>17277060.770000003</v>
      </c>
      <c r="AA23" s="841">
        <v>5593679.3399999999</v>
      </c>
      <c r="AB23" s="843">
        <f>4753418.82+2240300</f>
        <v>6993718.8200000003</v>
      </c>
      <c r="AC23" s="843">
        <f t="shared" si="8"/>
        <v>-6993718.8200000003</v>
      </c>
      <c r="AE23" s="843">
        <v>0</v>
      </c>
      <c r="AF23" s="843">
        <f t="shared" si="9"/>
        <v>0</v>
      </c>
      <c r="AH23" s="843"/>
    </row>
    <row r="24" spans="1:34" x14ac:dyDescent="0.25">
      <c r="A24" s="855" t="s">
        <v>2806</v>
      </c>
      <c r="B24" s="856">
        <v>692</v>
      </c>
      <c r="C24" s="840">
        <v>0</v>
      </c>
      <c r="D24" s="840">
        <v>0</v>
      </c>
      <c r="E24" s="840">
        <f t="shared" si="3"/>
        <v>0</v>
      </c>
      <c r="F24" s="840">
        <f t="shared" si="10"/>
        <v>0</v>
      </c>
      <c r="G24" s="841">
        <v>0</v>
      </c>
      <c r="H24" s="857">
        <v>0</v>
      </c>
      <c r="I24" s="857">
        <v>0</v>
      </c>
      <c r="J24" s="857">
        <v>0</v>
      </c>
      <c r="K24" s="868">
        <v>0</v>
      </c>
      <c r="L24" s="841"/>
      <c r="M24" s="840">
        <v>0</v>
      </c>
      <c r="N24" s="840">
        <f t="shared" si="4"/>
        <v>0</v>
      </c>
      <c r="O24" s="840">
        <v>0</v>
      </c>
      <c r="P24" s="840">
        <v>0</v>
      </c>
      <c r="Q24" s="840">
        <f t="shared" si="5"/>
        <v>0</v>
      </c>
      <c r="R24" s="840">
        <v>0</v>
      </c>
      <c r="T24" s="840">
        <f t="shared" si="6"/>
        <v>0</v>
      </c>
      <c r="V24" s="841">
        <f t="shared" si="7"/>
        <v>0</v>
      </c>
      <c r="X24" s="841">
        <v>0</v>
      </c>
      <c r="Y24" s="841">
        <v>0</v>
      </c>
      <c r="Z24" s="858">
        <v>0</v>
      </c>
      <c r="AA24" s="841">
        <v>0</v>
      </c>
      <c r="AB24" s="843">
        <v>0</v>
      </c>
      <c r="AC24" s="843">
        <f t="shared" si="8"/>
        <v>0</v>
      </c>
      <c r="AE24" s="843">
        <v>0</v>
      </c>
      <c r="AF24" s="843">
        <f t="shared" si="9"/>
        <v>0</v>
      </c>
    </row>
    <row r="25" spans="1:34" x14ac:dyDescent="0.25">
      <c r="A25" s="855" t="s">
        <v>2807</v>
      </c>
      <c r="B25" s="856">
        <v>670</v>
      </c>
      <c r="C25" s="840">
        <v>0</v>
      </c>
      <c r="D25" s="840">
        <v>3346396.3599999994</v>
      </c>
      <c r="E25" s="840">
        <f t="shared" si="3"/>
        <v>3346396.3599999994</v>
      </c>
      <c r="F25" s="840">
        <f t="shared" si="10"/>
        <v>25087905.720000014</v>
      </c>
      <c r="G25" s="868">
        <v>0</v>
      </c>
      <c r="H25" s="857">
        <v>0</v>
      </c>
      <c r="I25" s="857">
        <v>25087905.720000014</v>
      </c>
      <c r="J25" s="857">
        <v>0</v>
      </c>
      <c r="K25" s="868">
        <v>0</v>
      </c>
      <c r="L25" s="841"/>
      <c r="M25" s="840">
        <v>26383042.519999996</v>
      </c>
      <c r="N25" s="840">
        <f t="shared" si="4"/>
        <v>51470948.24000001</v>
      </c>
      <c r="O25" s="840">
        <v>0</v>
      </c>
      <c r="P25" s="840">
        <v>0</v>
      </c>
      <c r="Q25" s="840">
        <f t="shared" si="5"/>
        <v>0</v>
      </c>
      <c r="R25" s="840">
        <v>0</v>
      </c>
      <c r="T25" s="840">
        <f>E25+N25+Q25+R25+S25</f>
        <v>54817344.600000009</v>
      </c>
      <c r="U25" s="841"/>
      <c r="V25" s="859">
        <f t="shared" si="7"/>
        <v>54817344.600000009</v>
      </c>
      <c r="W25" s="859"/>
      <c r="X25" s="859">
        <v>0</v>
      </c>
      <c r="Y25" s="859">
        <v>0</v>
      </c>
      <c r="Z25" s="861">
        <v>0</v>
      </c>
      <c r="AA25" s="859">
        <v>0</v>
      </c>
      <c r="AB25" s="862">
        <v>0</v>
      </c>
      <c r="AC25" s="862">
        <f t="shared" si="8"/>
        <v>54817344.600000009</v>
      </c>
      <c r="AE25" s="843">
        <v>0</v>
      </c>
      <c r="AF25" s="843">
        <f t="shared" si="9"/>
        <v>0</v>
      </c>
    </row>
    <row r="26" spans="1:34" x14ac:dyDescent="0.25">
      <c r="A26" s="855" t="s">
        <v>2808</v>
      </c>
      <c r="B26" s="856"/>
      <c r="C26" s="871">
        <f>SUM(C16:C25)</f>
        <v>27418087.740000002</v>
      </c>
      <c r="D26" s="871">
        <f>SUM(D16:D25)</f>
        <v>0</v>
      </c>
      <c r="E26" s="871">
        <f>SUM(E16:E25)</f>
        <v>27418087.740000002</v>
      </c>
      <c r="F26" s="871">
        <f t="shared" ref="F26:T26" si="11">SUM(F16:F25)</f>
        <v>1723666994.54</v>
      </c>
      <c r="G26" s="871">
        <f t="shared" si="11"/>
        <v>1507387651.1899998</v>
      </c>
      <c r="H26" s="871">
        <f t="shared" si="11"/>
        <v>16002411.529999999</v>
      </c>
      <c r="I26" s="871">
        <f t="shared" si="11"/>
        <v>25087905.720000014</v>
      </c>
      <c r="J26" s="871">
        <f t="shared" si="11"/>
        <v>19531093.709999997</v>
      </c>
      <c r="K26" s="871">
        <f t="shared" si="11"/>
        <v>155657932.39000002</v>
      </c>
      <c r="L26" s="871"/>
      <c r="M26" s="871">
        <f t="shared" si="11"/>
        <v>0</v>
      </c>
      <c r="N26" s="871">
        <f t="shared" si="11"/>
        <v>1723666994.5399997</v>
      </c>
      <c r="O26" s="871">
        <f t="shared" si="11"/>
        <v>160168339.78999999</v>
      </c>
      <c r="P26" s="871">
        <f t="shared" si="11"/>
        <v>19293262.099999998</v>
      </c>
      <c r="Q26" s="871">
        <f t="shared" si="11"/>
        <v>179461601.88999999</v>
      </c>
      <c r="R26" s="871">
        <f t="shared" si="11"/>
        <v>2984019.3999999994</v>
      </c>
      <c r="S26" s="871">
        <f t="shared" si="11"/>
        <v>-163621535.09000003</v>
      </c>
      <c r="T26" s="871">
        <f t="shared" si="11"/>
        <v>1769909168.48</v>
      </c>
      <c r="U26" s="871">
        <f>SUM(U16:U25)</f>
        <v>0</v>
      </c>
      <c r="V26" s="871">
        <f>SUM(V16:V25)</f>
        <v>1769909168.48</v>
      </c>
      <c r="W26" s="859"/>
      <c r="X26" s="871">
        <v>1692078075.6299996</v>
      </c>
      <c r="Y26" s="871">
        <v>784058494</v>
      </c>
      <c r="Z26" s="872">
        <v>739170787.27999973</v>
      </c>
      <c r="AA26" s="859">
        <v>661796971.53000009</v>
      </c>
      <c r="AB26" s="873">
        <f>SUM(AB16:AB25)</f>
        <v>539780918.48000002</v>
      </c>
      <c r="AC26" s="873">
        <f t="shared" si="8"/>
        <v>1230128250</v>
      </c>
      <c r="AE26" s="873">
        <f>SUM(AE16:AE25)</f>
        <v>-163621535.09000003</v>
      </c>
      <c r="AF26" s="843">
        <f t="shared" si="9"/>
        <v>0</v>
      </c>
    </row>
    <row r="27" spans="1:34" x14ac:dyDescent="0.25">
      <c r="A27" s="869"/>
      <c r="B27" s="870"/>
      <c r="Z27" s="867"/>
      <c r="AB27" s="843"/>
      <c r="AC27" s="843"/>
      <c r="AF27" s="843">
        <f t="shared" si="9"/>
        <v>0</v>
      </c>
    </row>
    <row r="28" spans="1:34" x14ac:dyDescent="0.25">
      <c r="A28" s="855" t="s">
        <v>897</v>
      </c>
      <c r="B28" s="856"/>
      <c r="V28" s="841">
        <f t="shared" ref="V28:V42" si="12">SUM(T28:U28)</f>
        <v>0</v>
      </c>
      <c r="Y28" s="841">
        <v>0</v>
      </c>
      <c r="Z28" s="858">
        <v>0</v>
      </c>
      <c r="AB28" s="843"/>
      <c r="AC28" s="843"/>
      <c r="AF28" s="843">
        <f t="shared" si="9"/>
        <v>0</v>
      </c>
    </row>
    <row r="29" spans="1:34" x14ac:dyDescent="0.25">
      <c r="A29" s="855" t="s">
        <v>2809</v>
      </c>
      <c r="B29" s="856">
        <v>700</v>
      </c>
      <c r="C29" s="857">
        <v>2847505.1</v>
      </c>
      <c r="E29" s="840">
        <f t="shared" ref="E29:E41" si="13">C29+D29</f>
        <v>2847505.1</v>
      </c>
      <c r="F29" s="840">
        <v>636328080.68999994</v>
      </c>
      <c r="G29" s="868">
        <v>559291670.43999994</v>
      </c>
      <c r="H29" s="857">
        <v>2318755.33</v>
      </c>
      <c r="I29" s="857">
        <v>5097043.3099999996</v>
      </c>
      <c r="J29" s="857">
        <v>34391142.469999991</v>
      </c>
      <c r="K29" s="868">
        <v>35229469.140000001</v>
      </c>
      <c r="L29" s="841"/>
      <c r="N29" s="840">
        <f t="shared" ref="N29:N42" si="14">F29+M29</f>
        <v>636328080.68999994</v>
      </c>
      <c r="O29" s="840">
        <v>7759322.0899999999</v>
      </c>
      <c r="P29" s="840">
        <v>948274.35000000009</v>
      </c>
      <c r="Q29" s="840">
        <f t="shared" ref="Q29:Q42" si="15">O29+P29</f>
        <v>8707596.4399999995</v>
      </c>
      <c r="R29" s="840">
        <v>1028781.6900000001</v>
      </c>
      <c r="T29" s="840">
        <f t="shared" ref="T29:T41" si="16">E29+N29+Q29+R29+S29</f>
        <v>648911963.92000008</v>
      </c>
      <c r="V29" s="841">
        <f t="shared" si="12"/>
        <v>648911963.92000008</v>
      </c>
      <c r="X29" s="841">
        <v>594022211.75</v>
      </c>
      <c r="Y29" s="841">
        <v>280795982.05000001</v>
      </c>
      <c r="Z29" s="858">
        <v>265593594.5</v>
      </c>
      <c r="AA29" s="841">
        <v>232949894.22999999</v>
      </c>
      <c r="AB29" s="843">
        <v>195897996.37000006</v>
      </c>
      <c r="AC29" s="843">
        <f t="shared" ref="AC29:AC41" si="17">T29-AB29</f>
        <v>453013967.55000001</v>
      </c>
      <c r="AE29" s="843">
        <v>0</v>
      </c>
      <c r="AF29" s="843">
        <f t="shared" si="9"/>
        <v>0</v>
      </c>
    </row>
    <row r="30" spans="1:34" x14ac:dyDescent="0.25">
      <c r="A30" s="855" t="s">
        <v>2810</v>
      </c>
      <c r="B30" s="856">
        <v>710</v>
      </c>
      <c r="C30" s="857">
        <v>1261523.03</v>
      </c>
      <c r="E30" s="840">
        <f t="shared" si="13"/>
        <v>1261523.03</v>
      </c>
      <c r="F30" s="875">
        <v>171364395.95000002</v>
      </c>
      <c r="G30" s="868">
        <v>148804164.75</v>
      </c>
      <c r="H30" s="857">
        <v>671100.84</v>
      </c>
      <c r="I30" s="857">
        <v>1440492.84</v>
      </c>
      <c r="J30" s="857">
        <v>10489786.399999999</v>
      </c>
      <c r="K30" s="868">
        <v>9958851.120000001</v>
      </c>
      <c r="L30" s="841"/>
      <c r="N30" s="840">
        <f t="shared" si="14"/>
        <v>171364395.95000002</v>
      </c>
      <c r="O30" s="840">
        <v>2167957.92</v>
      </c>
      <c r="P30" s="840">
        <v>254189.85</v>
      </c>
      <c r="Q30" s="840">
        <f t="shared" si="15"/>
        <v>2422147.77</v>
      </c>
      <c r="R30" s="840">
        <v>289766.01</v>
      </c>
      <c r="T30" s="840">
        <f t="shared" si="16"/>
        <v>175337832.76000002</v>
      </c>
      <c r="V30" s="841">
        <f t="shared" si="12"/>
        <v>175337832.76000002</v>
      </c>
      <c r="X30" s="841">
        <v>155083456.40000001</v>
      </c>
      <c r="Y30" s="841">
        <v>75665345.439999983</v>
      </c>
      <c r="Z30" s="858">
        <v>75734806.029999986</v>
      </c>
      <c r="AA30" s="841">
        <v>66156623.619999997</v>
      </c>
      <c r="AB30" s="843">
        <v>51071069.940000005</v>
      </c>
      <c r="AC30" s="843">
        <f t="shared" si="17"/>
        <v>124266762.82000002</v>
      </c>
      <c r="AE30" s="843">
        <v>0</v>
      </c>
      <c r="AF30" s="843">
        <f t="shared" si="9"/>
        <v>0</v>
      </c>
    </row>
    <row r="31" spans="1:34" x14ac:dyDescent="0.25">
      <c r="A31" s="855" t="s">
        <v>2811</v>
      </c>
      <c r="B31" s="856">
        <v>765</v>
      </c>
      <c r="C31" s="840">
        <v>0</v>
      </c>
      <c r="E31" s="840">
        <f t="shared" si="13"/>
        <v>0</v>
      </c>
      <c r="F31" s="840">
        <v>30420941.800000001</v>
      </c>
      <c r="G31" s="868">
        <v>30313634.84</v>
      </c>
      <c r="H31" s="857">
        <v>0</v>
      </c>
      <c r="I31" s="857">
        <v>4712</v>
      </c>
      <c r="J31" s="857">
        <v>100501.44</v>
      </c>
      <c r="K31" s="868">
        <v>2093.52</v>
      </c>
      <c r="L31" s="841"/>
      <c r="N31" s="840">
        <f t="shared" si="14"/>
        <v>30420941.800000001</v>
      </c>
      <c r="O31" s="840">
        <v>264790.65000000002</v>
      </c>
      <c r="P31" s="840">
        <v>23417.41</v>
      </c>
      <c r="Q31" s="840">
        <f t="shared" si="15"/>
        <v>288208.06</v>
      </c>
      <c r="R31" s="840">
        <v>0</v>
      </c>
      <c r="T31" s="840">
        <f t="shared" si="16"/>
        <v>30709149.859999999</v>
      </c>
      <c r="V31" s="841">
        <f t="shared" si="12"/>
        <v>30709149.859999999</v>
      </c>
      <c r="X31" s="841">
        <v>18046462.449999999</v>
      </c>
      <c r="Y31" s="841">
        <v>3277574.49</v>
      </c>
      <c r="Z31" s="858">
        <v>12555892.300000001</v>
      </c>
      <c r="AA31" s="841">
        <v>17736428.549999997</v>
      </c>
      <c r="AB31" s="843">
        <v>10920689.68</v>
      </c>
      <c r="AC31" s="843">
        <f t="shared" si="17"/>
        <v>19788460.18</v>
      </c>
      <c r="AE31" s="843">
        <v>0</v>
      </c>
      <c r="AF31" s="843">
        <f t="shared" si="9"/>
        <v>0</v>
      </c>
    </row>
    <row r="32" spans="1:34" x14ac:dyDescent="0.25">
      <c r="A32" s="855" t="s">
        <v>2812</v>
      </c>
      <c r="B32" s="856">
        <v>734</v>
      </c>
      <c r="C32" s="840">
        <v>0</v>
      </c>
      <c r="E32" s="840">
        <f t="shared" si="13"/>
        <v>0</v>
      </c>
      <c r="F32" s="840">
        <v>154204187.31999999</v>
      </c>
      <c r="G32" s="868">
        <v>152769332.10999995</v>
      </c>
      <c r="H32" s="857">
        <v>1830.98</v>
      </c>
      <c r="I32" s="857">
        <v>132401.28</v>
      </c>
      <c r="J32" s="857">
        <v>636104.67999999993</v>
      </c>
      <c r="K32" s="868">
        <v>664518.2699999999</v>
      </c>
      <c r="L32" s="841"/>
      <c r="N32" s="840">
        <f t="shared" si="14"/>
        <v>154204187.31999999</v>
      </c>
      <c r="O32" s="840">
        <v>0</v>
      </c>
      <c r="P32" s="840">
        <v>0</v>
      </c>
      <c r="Q32" s="840">
        <f t="shared" si="15"/>
        <v>0</v>
      </c>
      <c r="R32" s="840">
        <v>0</v>
      </c>
      <c r="T32" s="840">
        <f t="shared" si="16"/>
        <v>154204187.31999999</v>
      </c>
      <c r="V32" s="841">
        <f t="shared" si="12"/>
        <v>154204187.31999999</v>
      </c>
      <c r="X32" s="841">
        <v>143617530.72999999</v>
      </c>
      <c r="Y32" s="841">
        <v>72597201.539999992</v>
      </c>
      <c r="Z32" s="858">
        <v>66697968.130000003</v>
      </c>
      <c r="AA32" s="841">
        <v>68905020.290000007</v>
      </c>
      <c r="AB32" s="843">
        <v>53558899.720000006</v>
      </c>
      <c r="AC32" s="843">
        <f t="shared" si="17"/>
        <v>100645287.59999999</v>
      </c>
      <c r="AE32" s="843">
        <v>0</v>
      </c>
      <c r="AF32" s="843">
        <f t="shared" si="9"/>
        <v>0</v>
      </c>
    </row>
    <row r="33" spans="1:32" x14ac:dyDescent="0.25">
      <c r="A33" s="855" t="s">
        <v>2813</v>
      </c>
      <c r="B33" s="856">
        <v>741</v>
      </c>
      <c r="C33" s="857">
        <v>643.41999999999996</v>
      </c>
      <c r="E33" s="840">
        <f t="shared" si="13"/>
        <v>643.41999999999996</v>
      </c>
      <c r="F33" s="840">
        <v>33488037.18</v>
      </c>
      <c r="G33" s="868">
        <v>14567531.85</v>
      </c>
      <c r="H33" s="857">
        <v>383695.88</v>
      </c>
      <c r="I33" s="857">
        <v>761103.8600000001</v>
      </c>
      <c r="J33" s="857">
        <v>7799196.8800000008</v>
      </c>
      <c r="K33" s="868">
        <v>9976508.709999999</v>
      </c>
      <c r="L33" s="841"/>
      <c r="N33" s="840">
        <f t="shared" si="14"/>
        <v>33488037.18</v>
      </c>
      <c r="O33" s="840">
        <v>467875.57</v>
      </c>
      <c r="P33" s="840">
        <v>38815.229999999996</v>
      </c>
      <c r="Q33" s="840">
        <f t="shared" si="15"/>
        <v>506690.8</v>
      </c>
      <c r="R33" s="840">
        <v>25230.109999999997</v>
      </c>
      <c r="T33" s="840">
        <f t="shared" si="16"/>
        <v>34020601.509999998</v>
      </c>
      <c r="V33" s="841">
        <f t="shared" si="12"/>
        <v>34020601.509999998</v>
      </c>
      <c r="X33" s="841">
        <v>31486941.150000002</v>
      </c>
      <c r="Y33" s="841">
        <v>14493803.779999999</v>
      </c>
      <c r="Z33" s="858">
        <v>12011666.66</v>
      </c>
      <c r="AA33" s="841">
        <v>12453761.4</v>
      </c>
      <c r="AB33" s="843">
        <v>12013925.640000001</v>
      </c>
      <c r="AC33" s="843">
        <f t="shared" si="17"/>
        <v>22006675.869999997</v>
      </c>
      <c r="AE33" s="843">
        <v>0</v>
      </c>
      <c r="AF33" s="843">
        <f t="shared" si="9"/>
        <v>0</v>
      </c>
    </row>
    <row r="34" spans="1:32" x14ac:dyDescent="0.25">
      <c r="A34" s="876" t="s">
        <v>2797</v>
      </c>
      <c r="B34" s="856"/>
      <c r="C34" s="840">
        <v>0</v>
      </c>
      <c r="E34" s="840">
        <f t="shared" si="13"/>
        <v>0</v>
      </c>
      <c r="F34" s="840">
        <v>0</v>
      </c>
      <c r="G34" s="868">
        <v>0</v>
      </c>
      <c r="H34" s="840">
        <v>0</v>
      </c>
      <c r="I34" s="857">
        <v>0</v>
      </c>
      <c r="J34" s="857">
        <v>0</v>
      </c>
      <c r="K34" s="868">
        <v>0</v>
      </c>
      <c r="L34" s="841"/>
      <c r="N34" s="840">
        <f t="shared" si="14"/>
        <v>0</v>
      </c>
      <c r="O34" s="840">
        <v>0</v>
      </c>
      <c r="P34" s="840">
        <v>0</v>
      </c>
      <c r="Q34" s="840">
        <f t="shared" si="15"/>
        <v>0</v>
      </c>
      <c r="R34" s="840">
        <v>0</v>
      </c>
      <c r="T34" s="840">
        <f t="shared" si="16"/>
        <v>0</v>
      </c>
      <c r="V34" s="841">
        <f t="shared" si="12"/>
        <v>0</v>
      </c>
      <c r="X34" s="841">
        <v>0</v>
      </c>
      <c r="Y34" s="841">
        <v>2375809.9700000002</v>
      </c>
      <c r="Z34" s="858">
        <v>2665776.1800000002</v>
      </c>
      <c r="AA34" s="841">
        <v>2888545.58</v>
      </c>
      <c r="AB34" s="843">
        <v>2235456.59</v>
      </c>
      <c r="AC34" s="843">
        <f t="shared" si="17"/>
        <v>-2235456.59</v>
      </c>
      <c r="AE34" s="843">
        <v>0</v>
      </c>
      <c r="AF34" s="843">
        <f t="shared" si="9"/>
        <v>0</v>
      </c>
    </row>
    <row r="35" spans="1:32" x14ac:dyDescent="0.25">
      <c r="A35" s="855" t="s">
        <v>2814</v>
      </c>
      <c r="B35" s="856">
        <v>751</v>
      </c>
      <c r="C35" s="857">
        <v>41318.699999999997</v>
      </c>
      <c r="E35" s="840">
        <f t="shared" si="13"/>
        <v>41318.699999999997</v>
      </c>
      <c r="F35" s="840">
        <v>14680051.180000002</v>
      </c>
      <c r="G35" s="868">
        <v>12614770.800000001</v>
      </c>
      <c r="H35" s="840">
        <v>0</v>
      </c>
      <c r="I35" s="857">
        <v>3022.37</v>
      </c>
      <c r="J35" s="857">
        <v>2042053.9700000002</v>
      </c>
      <c r="K35" s="868">
        <v>20204.04</v>
      </c>
      <c r="L35" s="841"/>
      <c r="N35" s="840">
        <f t="shared" si="14"/>
        <v>14680051.180000002</v>
      </c>
      <c r="O35" s="840">
        <v>10890.5</v>
      </c>
      <c r="P35" s="840">
        <v>27.61</v>
      </c>
      <c r="Q35" s="840">
        <f t="shared" si="15"/>
        <v>10918.11</v>
      </c>
      <c r="R35" s="840">
        <v>59699.69999999999</v>
      </c>
      <c r="T35" s="840">
        <f t="shared" si="16"/>
        <v>14791987.689999999</v>
      </c>
      <c r="V35" s="841">
        <f t="shared" si="12"/>
        <v>14791987.689999999</v>
      </c>
      <c r="X35" s="841">
        <v>13972554.229999999</v>
      </c>
      <c r="Y35" s="841">
        <v>7623395.6899999995</v>
      </c>
      <c r="Z35" s="858">
        <v>7425364.6299999999</v>
      </c>
      <c r="AA35" s="841">
        <v>6900473.4699999988</v>
      </c>
      <c r="AB35" s="843">
        <v>5784416.21</v>
      </c>
      <c r="AC35" s="843">
        <f t="shared" si="17"/>
        <v>9007571.4800000004</v>
      </c>
      <c r="AE35" s="843">
        <v>0</v>
      </c>
      <c r="AF35" s="843">
        <f t="shared" si="9"/>
        <v>0</v>
      </c>
    </row>
    <row r="36" spans="1:32" x14ac:dyDescent="0.25">
      <c r="A36" s="855" t="s">
        <v>1667</v>
      </c>
      <c r="B36" s="856">
        <v>760</v>
      </c>
      <c r="C36" s="857">
        <v>2482.44</v>
      </c>
      <c r="E36" s="840">
        <f t="shared" si="13"/>
        <v>2482.44</v>
      </c>
      <c r="F36" s="840">
        <v>21124120.190000001</v>
      </c>
      <c r="G36" s="868">
        <v>18827428.290000003</v>
      </c>
      <c r="H36" s="840">
        <v>604.45000000000005</v>
      </c>
      <c r="I36" s="857">
        <v>37560.03</v>
      </c>
      <c r="J36" s="857">
        <v>2220574.4200000004</v>
      </c>
      <c r="K36" s="868">
        <v>37953</v>
      </c>
      <c r="L36" s="841"/>
      <c r="N36" s="840">
        <f>F36+M36</f>
        <v>21124120.190000001</v>
      </c>
      <c r="O36" s="840">
        <v>74725.91</v>
      </c>
      <c r="P36" s="840">
        <v>0</v>
      </c>
      <c r="Q36" s="840">
        <f t="shared" si="15"/>
        <v>74725.91</v>
      </c>
      <c r="R36" s="840">
        <v>7084.5</v>
      </c>
      <c r="T36" s="840">
        <f>E36+N36+Q36+R36+S36</f>
        <v>21208413.040000003</v>
      </c>
      <c r="V36" s="841">
        <f t="shared" si="12"/>
        <v>21208413.040000003</v>
      </c>
      <c r="X36" s="841">
        <v>17739877.259999998</v>
      </c>
      <c r="Y36" s="841">
        <v>7738037.5800000001</v>
      </c>
      <c r="Z36" s="858">
        <v>7667945.8599999994</v>
      </c>
      <c r="AA36" s="841">
        <v>7372141.4099999983</v>
      </c>
      <c r="AB36" s="843">
        <v>6282254.0199999996</v>
      </c>
      <c r="AC36" s="843">
        <f t="shared" si="17"/>
        <v>14926159.020000003</v>
      </c>
      <c r="AE36" s="843">
        <v>0</v>
      </c>
      <c r="AF36" s="843">
        <f t="shared" si="9"/>
        <v>0</v>
      </c>
    </row>
    <row r="37" spans="1:32" x14ac:dyDescent="0.25">
      <c r="A37" s="855" t="s">
        <v>2815</v>
      </c>
      <c r="B37" s="856">
        <v>761</v>
      </c>
      <c r="C37" s="857">
        <v>373282.31</v>
      </c>
      <c r="E37" s="840">
        <f t="shared" si="13"/>
        <v>373282.31</v>
      </c>
      <c r="F37" s="840">
        <v>308976098.92999995</v>
      </c>
      <c r="G37" s="868">
        <v>156056650.23000002</v>
      </c>
      <c r="H37" s="857">
        <v>80243485.289999992</v>
      </c>
      <c r="I37" s="857">
        <v>3071797.45</v>
      </c>
      <c r="J37" s="857">
        <v>13520529.780000001</v>
      </c>
      <c r="K37" s="868">
        <v>56083636.180000007</v>
      </c>
      <c r="L37" s="841"/>
      <c r="N37" s="840">
        <f t="shared" si="14"/>
        <v>308976098.92999995</v>
      </c>
      <c r="O37" s="840">
        <v>2608509.25</v>
      </c>
      <c r="P37" s="840">
        <v>187512.69999999998</v>
      </c>
      <c r="Q37" s="840">
        <f t="shared" si="15"/>
        <v>2796021.95</v>
      </c>
      <c r="R37" s="840">
        <v>23653.200000000001</v>
      </c>
      <c r="T37" s="840">
        <f t="shared" si="16"/>
        <v>312169056.38999993</v>
      </c>
      <c r="V37" s="841">
        <f t="shared" si="12"/>
        <v>312169056.38999993</v>
      </c>
      <c r="X37" s="841">
        <v>293783218.60000002</v>
      </c>
      <c r="Y37" s="841">
        <v>135106134.67999998</v>
      </c>
      <c r="Z37" s="858">
        <v>119800261.36999999</v>
      </c>
      <c r="AA37" s="841">
        <v>112652296.56999998</v>
      </c>
      <c r="AB37" s="843">
        <v>86296281.649999991</v>
      </c>
      <c r="AC37" s="843">
        <f t="shared" si="17"/>
        <v>225872774.73999995</v>
      </c>
      <c r="AE37" s="843">
        <v>0</v>
      </c>
      <c r="AF37" s="843">
        <f t="shared" si="9"/>
        <v>0</v>
      </c>
    </row>
    <row r="38" spans="1:32" x14ac:dyDescent="0.25">
      <c r="A38" s="855" t="s">
        <v>2816</v>
      </c>
      <c r="B38" s="856">
        <v>772</v>
      </c>
      <c r="C38" s="857">
        <v>61916.88</v>
      </c>
      <c r="E38" s="840">
        <f t="shared" si="13"/>
        <v>61916.88</v>
      </c>
      <c r="F38" s="840">
        <v>95954790.120000005</v>
      </c>
      <c r="G38" s="868">
        <v>81158900.470000014</v>
      </c>
      <c r="H38" s="840">
        <v>0</v>
      </c>
      <c r="I38" s="857">
        <v>0</v>
      </c>
      <c r="J38" s="857">
        <v>14795889.650000002</v>
      </c>
      <c r="K38" s="868">
        <v>0</v>
      </c>
      <c r="L38" s="841"/>
      <c r="N38" s="840">
        <f t="shared" si="14"/>
        <v>95954790.120000005</v>
      </c>
      <c r="O38" s="840">
        <v>16500.68</v>
      </c>
      <c r="P38" s="840">
        <v>0</v>
      </c>
      <c r="Q38" s="840">
        <f t="shared" si="15"/>
        <v>16500.68</v>
      </c>
      <c r="R38" s="840">
        <v>33002.35</v>
      </c>
      <c r="T38" s="840">
        <f t="shared" si="16"/>
        <v>96066210.030000001</v>
      </c>
      <c r="V38" s="841">
        <f t="shared" si="12"/>
        <v>96066210.030000001</v>
      </c>
      <c r="X38" s="841">
        <v>87289511.51000002</v>
      </c>
      <c r="Y38" s="841">
        <v>52291063.929999992</v>
      </c>
      <c r="Z38" s="858">
        <v>49253877.810000002</v>
      </c>
      <c r="AA38" s="841">
        <v>41627262.950000003</v>
      </c>
      <c r="AB38" s="843">
        <v>39603184.18</v>
      </c>
      <c r="AC38" s="843">
        <f t="shared" si="17"/>
        <v>56463025.850000001</v>
      </c>
      <c r="AE38" s="843">
        <v>0</v>
      </c>
      <c r="AF38" s="843">
        <f t="shared" si="9"/>
        <v>0</v>
      </c>
    </row>
    <row r="39" spans="1:32" x14ac:dyDescent="0.25">
      <c r="A39" s="855" t="s">
        <v>2817</v>
      </c>
      <c r="B39" s="856">
        <v>781</v>
      </c>
      <c r="C39" s="840">
        <v>0</v>
      </c>
      <c r="E39" s="840">
        <f t="shared" si="13"/>
        <v>0</v>
      </c>
      <c r="F39" s="840">
        <v>32485639.650000002</v>
      </c>
      <c r="G39" s="868">
        <v>20589205.66</v>
      </c>
      <c r="H39" s="840">
        <v>330.5</v>
      </c>
      <c r="I39" s="857">
        <v>49550.23</v>
      </c>
      <c r="J39" s="857">
        <v>11785008.940000001</v>
      </c>
      <c r="K39" s="868">
        <v>61544.32</v>
      </c>
      <c r="L39" s="841"/>
      <c r="N39" s="840">
        <f t="shared" si="14"/>
        <v>32485639.650000002</v>
      </c>
      <c r="O39" s="840">
        <v>9250</v>
      </c>
      <c r="P39" s="840">
        <v>0</v>
      </c>
      <c r="Q39" s="840">
        <f t="shared" si="15"/>
        <v>9250</v>
      </c>
      <c r="R39" s="840">
        <v>740006.24</v>
      </c>
      <c r="S39" s="840">
        <f>S20</f>
        <v>-136389.35999999999</v>
      </c>
      <c r="T39" s="840">
        <f t="shared" si="16"/>
        <v>33098506.530000001</v>
      </c>
      <c r="V39" s="841">
        <f t="shared" si="12"/>
        <v>33098506.530000001</v>
      </c>
      <c r="X39" s="841">
        <v>19091501.589999996</v>
      </c>
      <c r="Y39" s="841">
        <v>11954566.219999999</v>
      </c>
      <c r="Z39" s="858">
        <v>9623496.4199999999</v>
      </c>
      <c r="AA39" s="841">
        <v>6391279.8200000003</v>
      </c>
      <c r="AB39" s="843">
        <v>11635565.220000001</v>
      </c>
      <c r="AC39" s="843">
        <f t="shared" si="17"/>
        <v>21462941.310000002</v>
      </c>
      <c r="AE39" s="843">
        <v>-136389.35999999999</v>
      </c>
      <c r="AF39" s="843">
        <f t="shared" si="9"/>
        <v>0</v>
      </c>
    </row>
    <row r="40" spans="1:32" x14ac:dyDescent="0.25">
      <c r="A40" s="855" t="s">
        <v>2818</v>
      </c>
      <c r="B40" s="856">
        <v>792</v>
      </c>
      <c r="C40" s="857">
        <v>1176036.78</v>
      </c>
      <c r="E40" s="840">
        <f t="shared" si="13"/>
        <v>1176036.78</v>
      </c>
      <c r="F40" s="840">
        <v>94321684.310000002</v>
      </c>
      <c r="G40" s="868">
        <v>55178872.739999987</v>
      </c>
      <c r="H40" s="857">
        <v>3334436.5400000005</v>
      </c>
      <c r="I40" s="857">
        <v>14490222.370000001</v>
      </c>
      <c r="J40" s="857">
        <v>-22305001.429999996</v>
      </c>
      <c r="K40" s="868">
        <v>43623154.090000004</v>
      </c>
      <c r="L40" s="841"/>
      <c r="N40" s="840">
        <f t="shared" si="14"/>
        <v>94321684.310000002</v>
      </c>
      <c r="O40" s="840">
        <v>1510730.41</v>
      </c>
      <c r="P40" s="840">
        <v>250707.47</v>
      </c>
      <c r="Q40" s="840">
        <f t="shared" si="15"/>
        <v>1761437.88</v>
      </c>
      <c r="R40" s="840">
        <v>159754.15999999997</v>
      </c>
      <c r="T40" s="840">
        <f t="shared" si="16"/>
        <v>97418913.129999995</v>
      </c>
      <c r="V40" s="841">
        <f t="shared" si="12"/>
        <v>97418913.129999995</v>
      </c>
      <c r="X40" s="841">
        <v>76895967.040000007</v>
      </c>
      <c r="Y40" s="841">
        <v>39645054.320000008</v>
      </c>
      <c r="Z40" s="858">
        <v>32567069.069999997</v>
      </c>
      <c r="AA40" s="841">
        <v>29367802.829999998</v>
      </c>
      <c r="AB40" s="843">
        <v>24169699.829999998</v>
      </c>
      <c r="AC40" s="843">
        <f t="shared" si="17"/>
        <v>73249213.299999997</v>
      </c>
      <c r="AE40" s="843">
        <v>0</v>
      </c>
      <c r="AF40" s="843">
        <f t="shared" si="9"/>
        <v>0</v>
      </c>
    </row>
    <row r="41" spans="1:32" x14ac:dyDescent="0.25">
      <c r="A41" s="855" t="s">
        <v>2819</v>
      </c>
      <c r="B41" s="856">
        <v>796</v>
      </c>
      <c r="C41" s="840">
        <v>0</v>
      </c>
      <c r="E41" s="840">
        <f t="shared" si="13"/>
        <v>0</v>
      </c>
      <c r="F41" s="840">
        <v>15254982.23</v>
      </c>
      <c r="G41" s="868">
        <v>15254982.23</v>
      </c>
      <c r="H41" s="840">
        <v>0</v>
      </c>
      <c r="I41" s="840">
        <v>0</v>
      </c>
      <c r="J41" s="840">
        <v>0</v>
      </c>
      <c r="K41" s="841">
        <v>0</v>
      </c>
      <c r="L41" s="841"/>
      <c r="M41" s="841"/>
      <c r="N41" s="840">
        <f t="shared" si="14"/>
        <v>15254982.23</v>
      </c>
      <c r="O41" s="840">
        <v>0</v>
      </c>
      <c r="P41" s="840">
        <v>0</v>
      </c>
      <c r="Q41" s="840">
        <f t="shared" si="15"/>
        <v>0</v>
      </c>
      <c r="R41" s="840">
        <v>0</v>
      </c>
      <c r="S41" s="841"/>
      <c r="T41" s="840">
        <f t="shared" si="16"/>
        <v>15254982.23</v>
      </c>
      <c r="U41" s="841"/>
      <c r="V41" s="841">
        <f t="shared" si="12"/>
        <v>15254982.23</v>
      </c>
      <c r="X41" s="841">
        <v>24529508.350000001</v>
      </c>
      <c r="Y41" s="841">
        <v>15415948.379999999</v>
      </c>
      <c r="Z41" s="858">
        <v>12832828.15</v>
      </c>
      <c r="AA41" s="841">
        <v>12141603.110000001</v>
      </c>
      <c r="AB41" s="843">
        <f>10060780.6+979685</f>
        <v>11040465.6</v>
      </c>
      <c r="AC41" s="843">
        <f t="shared" si="17"/>
        <v>4214516.6300000008</v>
      </c>
      <c r="AE41" s="843">
        <v>0</v>
      </c>
      <c r="AF41" s="843">
        <f t="shared" si="9"/>
        <v>0</v>
      </c>
    </row>
    <row r="42" spans="1:32" x14ac:dyDescent="0.25">
      <c r="A42" s="855" t="s">
        <v>2820</v>
      </c>
      <c r="B42" s="856">
        <v>790</v>
      </c>
      <c r="C42" s="859"/>
      <c r="D42" s="859"/>
      <c r="E42" s="859"/>
      <c r="F42" s="859"/>
      <c r="G42" s="859"/>
      <c r="H42" s="859">
        <v>0</v>
      </c>
      <c r="I42" s="859">
        <v>0</v>
      </c>
      <c r="J42" s="859">
        <v>0</v>
      </c>
      <c r="K42" s="859">
        <v>0</v>
      </c>
      <c r="L42" s="859"/>
      <c r="M42" s="859"/>
      <c r="N42" s="859">
        <f t="shared" si="14"/>
        <v>0</v>
      </c>
      <c r="O42" s="859">
        <v>145277786.81</v>
      </c>
      <c r="P42" s="859">
        <v>17590317.48</v>
      </c>
      <c r="Q42" s="859">
        <f t="shared" si="15"/>
        <v>162868104.28999999</v>
      </c>
      <c r="R42" s="859">
        <v>617041.43999999994</v>
      </c>
      <c r="S42" s="859">
        <v>-163485145.72999999</v>
      </c>
      <c r="T42" s="859">
        <f>E42+N42+Q42+R42+S42</f>
        <v>0</v>
      </c>
      <c r="U42" s="859"/>
      <c r="V42" s="859">
        <f t="shared" si="12"/>
        <v>0</v>
      </c>
      <c r="W42" s="859"/>
      <c r="X42" s="859">
        <v>0</v>
      </c>
      <c r="Y42" s="859">
        <v>0</v>
      </c>
      <c r="Z42" s="861">
        <v>0</v>
      </c>
      <c r="AA42" s="859">
        <v>0</v>
      </c>
      <c r="AB42" s="862">
        <v>0</v>
      </c>
      <c r="AC42" s="862"/>
      <c r="AD42" s="842" t="s">
        <v>2802</v>
      </c>
      <c r="AE42" s="843">
        <v>-163485145.72999999</v>
      </c>
      <c r="AF42" s="843">
        <f t="shared" si="9"/>
        <v>0</v>
      </c>
    </row>
    <row r="43" spans="1:32" x14ac:dyDescent="0.25">
      <c r="A43" s="855" t="s">
        <v>902</v>
      </c>
      <c r="B43" s="870"/>
      <c r="C43" s="840">
        <f>SUM(C29:C42)</f>
        <v>5764708.6600000001</v>
      </c>
      <c r="D43" s="840">
        <f>SUM(D29:D42)</f>
        <v>0</v>
      </c>
      <c r="E43" s="840">
        <f>SUM(E29:E42)</f>
        <v>5764708.6600000001</v>
      </c>
      <c r="F43" s="840">
        <f t="shared" ref="F43:AB43" si="18">SUM(F29:F42)</f>
        <v>1608603009.5499997</v>
      </c>
      <c r="G43" s="840">
        <f t="shared" si="18"/>
        <v>1265427144.4100001</v>
      </c>
      <c r="H43" s="840">
        <f t="shared" si="18"/>
        <v>86954239.810000002</v>
      </c>
      <c r="I43" s="840">
        <f t="shared" si="18"/>
        <v>25087905.740000002</v>
      </c>
      <c r="J43" s="840">
        <f t="shared" si="18"/>
        <v>75475787.200000003</v>
      </c>
      <c r="K43" s="840">
        <f t="shared" si="18"/>
        <v>155657932.39000002</v>
      </c>
      <c r="M43" s="840">
        <f>SUM(M29:M42)</f>
        <v>0</v>
      </c>
      <c r="N43" s="840">
        <f>SUM(N29:N42)</f>
        <v>1608603009.5499997</v>
      </c>
      <c r="O43" s="840">
        <f t="shared" si="18"/>
        <v>160168339.78999999</v>
      </c>
      <c r="P43" s="840">
        <f t="shared" si="18"/>
        <v>19293262.100000001</v>
      </c>
      <c r="Q43" s="840">
        <f t="shared" si="18"/>
        <v>179461601.88999999</v>
      </c>
      <c r="R43" s="840">
        <f t="shared" si="18"/>
        <v>2984019.4000000004</v>
      </c>
      <c r="S43" s="840">
        <f t="shared" si="18"/>
        <v>-163621535.09</v>
      </c>
      <c r="T43" s="840">
        <f>SUM(T29:T42)</f>
        <v>1633191804.4099998</v>
      </c>
      <c r="U43" s="840">
        <f>SUM(U29:U42)</f>
        <v>0</v>
      </c>
      <c r="V43" s="840">
        <f>SUM(V29:V42)</f>
        <v>1633191804.4099998</v>
      </c>
      <c r="W43" s="840"/>
      <c r="X43" s="840">
        <v>1475558741.0599999</v>
      </c>
      <c r="Y43" s="840">
        <v>718979918.06999993</v>
      </c>
      <c r="Z43" s="877">
        <v>674430547.11000001</v>
      </c>
      <c r="AA43" s="841">
        <v>617543133.83000016</v>
      </c>
      <c r="AB43" s="843">
        <f t="shared" si="18"/>
        <v>510509904.65000004</v>
      </c>
      <c r="AC43" s="843">
        <f>T43-AB43</f>
        <v>1122681899.7599998</v>
      </c>
      <c r="AE43" s="843">
        <f>SUM(AE29:AE42)</f>
        <v>-163621535.09</v>
      </c>
      <c r="AF43" s="843">
        <f t="shared" si="9"/>
        <v>0</v>
      </c>
    </row>
    <row r="44" spans="1:32" x14ac:dyDescent="0.25">
      <c r="A44" s="878"/>
      <c r="B44" s="879"/>
      <c r="Z44" s="867"/>
      <c r="AA44" s="859"/>
      <c r="AB44" s="843"/>
      <c r="AC44" s="843"/>
      <c r="AF44" s="843">
        <f t="shared" si="9"/>
        <v>0</v>
      </c>
    </row>
    <row r="45" spans="1:32" x14ac:dyDescent="0.25">
      <c r="A45" s="880" t="s">
        <v>2821</v>
      </c>
      <c r="B45" s="870"/>
      <c r="C45" s="871">
        <f>C26-C43</f>
        <v>21653379.080000002</v>
      </c>
      <c r="D45" s="871">
        <f>D26-D43</f>
        <v>0</v>
      </c>
      <c r="E45" s="871">
        <f>E26-E43</f>
        <v>21653379.080000002</v>
      </c>
      <c r="F45" s="871">
        <f t="shared" ref="F45:AB45" si="19">F26-F43</f>
        <v>115063984.99000025</v>
      </c>
      <c r="G45" s="871">
        <f t="shared" si="19"/>
        <v>241960506.77999973</v>
      </c>
      <c r="H45" s="871">
        <f t="shared" si="19"/>
        <v>-70951828.280000001</v>
      </c>
      <c r="I45" s="871">
        <f t="shared" si="19"/>
        <v>-1.9999988377094269E-2</v>
      </c>
      <c r="J45" s="871">
        <f t="shared" si="19"/>
        <v>-55944693.49000001</v>
      </c>
      <c r="K45" s="871">
        <f t="shared" si="19"/>
        <v>0</v>
      </c>
      <c r="L45" s="871"/>
      <c r="M45" s="871">
        <f>M26-M43</f>
        <v>0</v>
      </c>
      <c r="N45" s="871">
        <f>N26-N43</f>
        <v>115063984.99000001</v>
      </c>
      <c r="O45" s="871">
        <f t="shared" si="19"/>
        <v>0</v>
      </c>
      <c r="P45" s="871">
        <f t="shared" si="19"/>
        <v>0</v>
      </c>
      <c r="Q45" s="871">
        <f t="shared" si="19"/>
        <v>0</v>
      </c>
      <c r="R45" s="871">
        <f t="shared" si="19"/>
        <v>0</v>
      </c>
      <c r="S45" s="871">
        <f t="shared" si="19"/>
        <v>0</v>
      </c>
      <c r="T45" s="871">
        <f>T26-T43</f>
        <v>136717364.07000017</v>
      </c>
      <c r="U45" s="871">
        <f t="shared" si="19"/>
        <v>0</v>
      </c>
      <c r="V45" s="871">
        <f t="shared" si="19"/>
        <v>136717364.07000017</v>
      </c>
      <c r="W45" s="859"/>
      <c r="X45" s="871">
        <v>216519334.56999969</v>
      </c>
      <c r="Y45" s="871">
        <v>65078575.930000067</v>
      </c>
      <c r="Z45" s="872">
        <v>64740240.169999719</v>
      </c>
      <c r="AA45" s="859">
        <v>44253837.699999928</v>
      </c>
      <c r="AB45" s="873">
        <f t="shared" si="19"/>
        <v>29271013.829999983</v>
      </c>
      <c r="AC45" s="873">
        <f>T45-AB45</f>
        <v>107446350.24000019</v>
      </c>
      <c r="AE45" s="873">
        <f>AE26-AE43</f>
        <v>0</v>
      </c>
      <c r="AF45" s="843">
        <f t="shared" si="9"/>
        <v>0</v>
      </c>
    </row>
    <row r="46" spans="1:32" x14ac:dyDescent="0.25">
      <c r="A46" s="878"/>
      <c r="B46" s="856"/>
      <c r="Z46" s="867"/>
      <c r="AB46" s="843"/>
      <c r="AC46" s="843"/>
      <c r="AF46" s="843">
        <f t="shared" si="9"/>
        <v>0</v>
      </c>
    </row>
    <row r="47" spans="1:32" x14ac:dyDescent="0.25">
      <c r="A47" s="855" t="s">
        <v>2822</v>
      </c>
      <c r="B47" s="878">
        <v>38</v>
      </c>
      <c r="C47" s="857">
        <v>7241890.7799999993</v>
      </c>
      <c r="E47" s="840">
        <f t="shared" ref="E47:E53" si="20">C47+D47</f>
        <v>7241890.7799999993</v>
      </c>
      <c r="F47" s="840">
        <v>36928982.199999996</v>
      </c>
      <c r="G47" s="868">
        <v>36924034.489999995</v>
      </c>
      <c r="H47" s="857">
        <v>4947.71</v>
      </c>
      <c r="I47" s="840">
        <v>0</v>
      </c>
      <c r="J47" s="840">
        <v>0</v>
      </c>
      <c r="K47" s="841">
        <v>0</v>
      </c>
      <c r="L47" s="841"/>
      <c r="N47" s="840">
        <f t="shared" ref="N47:N53" si="21">F47+M47</f>
        <v>36928982.199999996</v>
      </c>
      <c r="O47" s="840">
        <v>0</v>
      </c>
      <c r="P47" s="840">
        <v>0</v>
      </c>
      <c r="Q47" s="840">
        <f t="shared" ref="Q47:Q52" si="22">O47+P47</f>
        <v>0</v>
      </c>
      <c r="R47" s="840">
        <v>0</v>
      </c>
      <c r="T47" s="840">
        <f t="shared" ref="T47:T53" si="23">E47+N47+Q47+R47+S47</f>
        <v>44170872.979999997</v>
      </c>
      <c r="V47" s="841">
        <f t="shared" ref="V47:V53" si="24">SUM(T47:U47)</f>
        <v>44170872.979999997</v>
      </c>
      <c r="X47" s="841">
        <v>37357168.820000008</v>
      </c>
      <c r="Y47" s="841">
        <v>11185184.659999998</v>
      </c>
      <c r="Z47" s="858">
        <v>1883987.9699999993</v>
      </c>
      <c r="AA47" s="841">
        <v>26509640.489999998</v>
      </c>
      <c r="AB47" s="843">
        <v>54299566.740000002</v>
      </c>
      <c r="AC47" s="843">
        <f>T47-AB47</f>
        <v>-10128693.760000005</v>
      </c>
      <c r="AE47" s="843">
        <v>0</v>
      </c>
      <c r="AF47" s="843">
        <f t="shared" si="9"/>
        <v>0</v>
      </c>
    </row>
    <row r="48" spans="1:32" x14ac:dyDescent="0.25">
      <c r="A48" s="855" t="s">
        <v>2823</v>
      </c>
      <c r="B48" s="878">
        <v>38.5</v>
      </c>
      <c r="C48" s="857">
        <v>10394092.569999998</v>
      </c>
      <c r="E48" s="840">
        <f t="shared" si="20"/>
        <v>10394092.569999998</v>
      </c>
      <c r="F48" s="840">
        <v>13125494.640000001</v>
      </c>
      <c r="G48" s="868">
        <v>13125494.640000001</v>
      </c>
      <c r="H48" s="840">
        <v>0</v>
      </c>
      <c r="I48" s="840">
        <v>0</v>
      </c>
      <c r="J48" s="840">
        <v>0</v>
      </c>
      <c r="K48" s="841">
        <v>0</v>
      </c>
      <c r="L48" s="841"/>
      <c r="N48" s="840">
        <f t="shared" si="21"/>
        <v>13125494.640000001</v>
      </c>
      <c r="O48" s="840">
        <v>0</v>
      </c>
      <c r="P48" s="840">
        <v>0</v>
      </c>
      <c r="Q48" s="840">
        <f t="shared" si="22"/>
        <v>0</v>
      </c>
      <c r="R48" s="840">
        <v>0</v>
      </c>
      <c r="T48" s="840">
        <f t="shared" si="23"/>
        <v>23519587.210000001</v>
      </c>
      <c r="V48" s="841">
        <f t="shared" si="24"/>
        <v>23519587.210000001</v>
      </c>
      <c r="X48" s="841">
        <v>40256790.960000001</v>
      </c>
      <c r="Z48" s="858"/>
      <c r="AB48" s="843"/>
      <c r="AC48" s="843"/>
      <c r="AF48" s="843"/>
    </row>
    <row r="49" spans="1:32" x14ac:dyDescent="0.25">
      <c r="A49" s="878" t="s">
        <v>2824</v>
      </c>
      <c r="B49" s="878">
        <v>39</v>
      </c>
      <c r="C49" s="857">
        <v>690812.06</v>
      </c>
      <c r="E49" s="840">
        <f t="shared" si="20"/>
        <v>690812.06</v>
      </c>
      <c r="F49" s="840">
        <v>107826.00000000022</v>
      </c>
      <c r="G49" s="868">
        <v>107826.00000000022</v>
      </c>
      <c r="H49" s="840">
        <v>0</v>
      </c>
      <c r="I49" s="840">
        <v>0</v>
      </c>
      <c r="J49" s="840">
        <v>0</v>
      </c>
      <c r="K49" s="841">
        <v>0</v>
      </c>
      <c r="L49" s="841"/>
      <c r="N49" s="840">
        <f t="shared" si="21"/>
        <v>107826.00000000022</v>
      </c>
      <c r="O49" s="840">
        <v>0</v>
      </c>
      <c r="P49" s="840">
        <v>0</v>
      </c>
      <c r="Q49" s="840">
        <f t="shared" si="22"/>
        <v>0</v>
      </c>
      <c r="R49" s="840">
        <v>0</v>
      </c>
      <c r="T49" s="840">
        <f t="shared" si="23"/>
        <v>798638.06000000029</v>
      </c>
      <c r="V49" s="841">
        <f t="shared" si="24"/>
        <v>798638.06000000029</v>
      </c>
      <c r="X49" s="841">
        <v>-4702525.6799999988</v>
      </c>
      <c r="Y49" s="841">
        <v>25467574.560000002</v>
      </c>
      <c r="Z49" s="858">
        <v>1463905.05</v>
      </c>
      <c r="AA49" s="841">
        <v>-86654368.800000012</v>
      </c>
      <c r="AB49" s="843">
        <v>60835905.000000007</v>
      </c>
      <c r="AC49" s="843">
        <f>T49-AB49</f>
        <v>-60037266.940000005</v>
      </c>
      <c r="AE49" s="843">
        <v>0</v>
      </c>
      <c r="AF49" s="843">
        <f t="shared" si="9"/>
        <v>0</v>
      </c>
    </row>
    <row r="50" spans="1:32" x14ac:dyDescent="0.25">
      <c r="A50" s="855" t="s">
        <v>2825</v>
      </c>
      <c r="B50" s="878">
        <v>40</v>
      </c>
      <c r="C50" s="857">
        <v>43926.12</v>
      </c>
      <c r="E50" s="840">
        <f t="shared" si="20"/>
        <v>43926.12</v>
      </c>
      <c r="F50" s="840">
        <v>5371072.0099999998</v>
      </c>
      <c r="G50" s="868">
        <v>346017.21</v>
      </c>
      <c r="H50" s="840">
        <v>0</v>
      </c>
      <c r="I50" s="840">
        <v>0</v>
      </c>
      <c r="J50" s="840">
        <v>5025054.8</v>
      </c>
      <c r="K50" s="841">
        <v>0</v>
      </c>
      <c r="L50" s="841"/>
      <c r="N50" s="840">
        <f t="shared" si="21"/>
        <v>5371072.0099999998</v>
      </c>
      <c r="O50" s="840">
        <v>0</v>
      </c>
      <c r="P50" s="840">
        <v>0</v>
      </c>
      <c r="Q50" s="840">
        <f t="shared" si="22"/>
        <v>0</v>
      </c>
      <c r="R50" s="840">
        <v>0</v>
      </c>
      <c r="T50" s="840">
        <f>E50+N50+Q50+R50+S50</f>
        <v>5414998.1299999999</v>
      </c>
      <c r="U50" s="874"/>
      <c r="V50" s="841">
        <f t="shared" si="24"/>
        <v>5414998.1299999999</v>
      </c>
      <c r="X50" s="841">
        <v>-4496038.2799999993</v>
      </c>
      <c r="Y50" s="841">
        <v>-2257599.6100000003</v>
      </c>
      <c r="Z50" s="858">
        <v>-1797268.1499999994</v>
      </c>
      <c r="AA50" s="841">
        <v>-12862995.480000002</v>
      </c>
      <c r="AB50" s="843">
        <v>-8530797.2899999991</v>
      </c>
      <c r="AC50" s="843">
        <f>T50-AB50</f>
        <v>13945795.419999998</v>
      </c>
      <c r="AE50" s="843">
        <v>0</v>
      </c>
      <c r="AF50" s="843">
        <f t="shared" si="9"/>
        <v>0</v>
      </c>
    </row>
    <row r="51" spans="1:32" x14ac:dyDescent="0.25">
      <c r="A51" s="881" t="s">
        <v>2826</v>
      </c>
      <c r="B51" s="878">
        <v>44</v>
      </c>
      <c r="C51" s="857">
        <v>0</v>
      </c>
      <c r="E51" s="840">
        <f t="shared" si="20"/>
        <v>0</v>
      </c>
      <c r="F51" s="840">
        <v>-5940014.9900000002</v>
      </c>
      <c r="G51" s="868">
        <v>-5940014.9900000002</v>
      </c>
      <c r="H51" s="840">
        <v>0</v>
      </c>
      <c r="I51" s="840">
        <v>0</v>
      </c>
      <c r="J51" s="840">
        <v>0</v>
      </c>
      <c r="K51" s="841">
        <v>0</v>
      </c>
      <c r="L51" s="841"/>
      <c r="N51" s="840">
        <f t="shared" si="21"/>
        <v>-5940014.9900000002</v>
      </c>
      <c r="O51" s="840">
        <v>0</v>
      </c>
      <c r="P51" s="840">
        <v>0</v>
      </c>
      <c r="Q51" s="840">
        <f t="shared" si="22"/>
        <v>0</v>
      </c>
      <c r="R51" s="840">
        <v>0</v>
      </c>
      <c r="T51" s="840">
        <f t="shared" si="23"/>
        <v>-5940014.9900000002</v>
      </c>
      <c r="V51" s="841">
        <f t="shared" si="24"/>
        <v>-5940014.9900000002</v>
      </c>
      <c r="X51" s="841">
        <v>6689516.0099999998</v>
      </c>
      <c r="Y51" s="841">
        <v>-8641293</v>
      </c>
      <c r="Z51" s="858">
        <v>-9814225</v>
      </c>
      <c r="AA51" s="841">
        <v>-6914599</v>
      </c>
      <c r="AB51" s="843">
        <v>979685</v>
      </c>
      <c r="AC51" s="843">
        <f>T51-AB51</f>
        <v>-6919699.9900000002</v>
      </c>
      <c r="AE51" s="843">
        <v>0</v>
      </c>
      <c r="AF51" s="843">
        <f t="shared" si="9"/>
        <v>0</v>
      </c>
    </row>
    <row r="52" spans="1:32" x14ac:dyDescent="0.25">
      <c r="A52" s="855" t="s">
        <v>2827</v>
      </c>
      <c r="B52" s="878">
        <v>41</v>
      </c>
      <c r="C52" s="857">
        <v>-76639.259999999995</v>
      </c>
      <c r="E52" s="840">
        <f t="shared" si="20"/>
        <v>-76639.259999999995</v>
      </c>
      <c r="F52" s="840">
        <v>-2874238.0700000003</v>
      </c>
      <c r="G52" s="841">
        <v>-2874238.0700000003</v>
      </c>
      <c r="H52" s="840">
        <v>0</v>
      </c>
      <c r="I52" s="840">
        <v>0</v>
      </c>
      <c r="J52" s="840">
        <v>0</v>
      </c>
      <c r="K52" s="841">
        <v>0</v>
      </c>
      <c r="L52" s="841"/>
      <c r="N52" s="840">
        <f t="shared" si="21"/>
        <v>-2874238.0700000003</v>
      </c>
      <c r="O52" s="840">
        <v>0</v>
      </c>
      <c r="P52" s="840">
        <v>0</v>
      </c>
      <c r="Q52" s="840">
        <f t="shared" si="22"/>
        <v>0</v>
      </c>
      <c r="R52" s="840">
        <v>0</v>
      </c>
      <c r="T52" s="840">
        <f t="shared" si="23"/>
        <v>-2950877.33</v>
      </c>
      <c r="U52" s="841"/>
      <c r="V52" s="841">
        <f t="shared" si="24"/>
        <v>-2950877.33</v>
      </c>
      <c r="X52" s="841">
        <v>0</v>
      </c>
      <c r="Y52" s="841">
        <v>-880490.82</v>
      </c>
      <c r="Z52" s="858">
        <v>0</v>
      </c>
      <c r="AA52" s="841">
        <v>-4470800.6100000003</v>
      </c>
      <c r="AB52" s="862">
        <v>0</v>
      </c>
      <c r="AC52" s="862">
        <f>T52-AB52</f>
        <v>-2950877.33</v>
      </c>
      <c r="AE52" s="843">
        <v>0</v>
      </c>
      <c r="AF52" s="843">
        <f t="shared" si="9"/>
        <v>0</v>
      </c>
    </row>
    <row r="53" spans="1:32" x14ac:dyDescent="0.25">
      <c r="A53" s="881" t="s">
        <v>2828</v>
      </c>
      <c r="B53" s="878">
        <v>45</v>
      </c>
      <c r="E53" s="840">
        <f t="shared" si="20"/>
        <v>0</v>
      </c>
      <c r="H53" s="840">
        <v>0</v>
      </c>
      <c r="I53" s="840">
        <v>0</v>
      </c>
      <c r="J53" s="840">
        <v>0</v>
      </c>
      <c r="K53" s="841">
        <v>0</v>
      </c>
      <c r="L53" s="841"/>
      <c r="N53" s="840">
        <f t="shared" si="21"/>
        <v>0</v>
      </c>
      <c r="T53" s="840">
        <f t="shared" si="23"/>
        <v>0</v>
      </c>
      <c r="U53" s="841"/>
      <c r="V53" s="841">
        <f t="shared" si="24"/>
        <v>0</v>
      </c>
      <c r="X53" s="841">
        <v>0</v>
      </c>
      <c r="Z53" s="858"/>
      <c r="AB53" s="863"/>
      <c r="AC53" s="863"/>
      <c r="AF53" s="843"/>
    </row>
    <row r="54" spans="1:32" ht="13.8" thickBot="1" x14ac:dyDescent="0.3">
      <c r="A54" s="880" t="s">
        <v>2829</v>
      </c>
      <c r="B54" s="880"/>
      <c r="C54" s="882">
        <f>SUM(C45:C53)</f>
        <v>39947461.350000001</v>
      </c>
      <c r="D54" s="882">
        <f>SUM(D45:D53)</f>
        <v>0</v>
      </c>
      <c r="E54" s="882">
        <f>SUM(E45:E53)</f>
        <v>39947461.350000001</v>
      </c>
      <c r="F54" s="882">
        <f>SUM(F45:F53)</f>
        <v>161783106.78000021</v>
      </c>
      <c r="G54" s="882">
        <f t="shared" ref="G54:S54" si="25">SUM(G45:G53)</f>
        <v>283649626.0599997</v>
      </c>
      <c r="H54" s="882">
        <f t="shared" si="25"/>
        <v>-70946880.570000008</v>
      </c>
      <c r="I54" s="882">
        <f t="shared" si="25"/>
        <v>-1.9999988377094269E-2</v>
      </c>
      <c r="J54" s="882">
        <f>SUM(J45:J53)</f>
        <v>-50919638.690000013</v>
      </c>
      <c r="K54" s="882">
        <f t="shared" si="25"/>
        <v>0</v>
      </c>
      <c r="L54" s="882"/>
      <c r="M54" s="882">
        <f t="shared" si="25"/>
        <v>0</v>
      </c>
      <c r="N54" s="882">
        <f t="shared" si="25"/>
        <v>161783106.77999997</v>
      </c>
      <c r="O54" s="883">
        <f t="shared" si="25"/>
        <v>0</v>
      </c>
      <c r="P54" s="883">
        <f t="shared" si="25"/>
        <v>0</v>
      </c>
      <c r="Q54" s="883">
        <f t="shared" si="25"/>
        <v>0</v>
      </c>
      <c r="R54" s="883">
        <f t="shared" si="25"/>
        <v>0</v>
      </c>
      <c r="S54" s="882">
        <f t="shared" si="25"/>
        <v>0</v>
      </c>
      <c r="T54" s="882">
        <f>SUM(T45:T53)</f>
        <v>201730568.13000014</v>
      </c>
      <c r="U54" s="882">
        <f>SUM(U45:U53)</f>
        <v>0</v>
      </c>
      <c r="V54" s="882">
        <f>SUM(V45:V53)</f>
        <v>201730568.13000014</v>
      </c>
      <c r="W54" s="884"/>
      <c r="X54" s="882">
        <v>291624246.39999968</v>
      </c>
      <c r="Y54" s="882">
        <v>89951951.720000073</v>
      </c>
      <c r="Z54" s="885">
        <v>56476640.039999716</v>
      </c>
      <c r="AA54" s="882">
        <v>-40139285.700000092</v>
      </c>
      <c r="AB54" s="886">
        <v>136855373.28</v>
      </c>
      <c r="AC54" s="887">
        <f>T54-AB54</f>
        <v>64875194.850000143</v>
      </c>
      <c r="AE54" s="887">
        <f>SUM(AE45:AE52)</f>
        <v>0</v>
      </c>
      <c r="AF54" s="843">
        <f>S54-AE54</f>
        <v>0</v>
      </c>
    </row>
    <row r="55" spans="1:32" ht="13.8" thickTop="1" x14ac:dyDescent="0.25">
      <c r="C55" s="840">
        <v>0</v>
      </c>
      <c r="F55" s="840">
        <v>5.9604644775390625E-7</v>
      </c>
      <c r="O55" s="840">
        <v>-3.465916975642358E-8</v>
      </c>
      <c r="P55" s="857">
        <v>1.8335413187742233E-9</v>
      </c>
      <c r="R55" s="840">
        <v>9.9680619314312935E-10</v>
      </c>
      <c r="AB55" s="843"/>
    </row>
    <row r="56" spans="1:32" x14ac:dyDescent="0.25">
      <c r="V56" s="868"/>
      <c r="AB56" s="843"/>
    </row>
    <row r="57" spans="1:32" x14ac:dyDescent="0.25">
      <c r="A57" s="889" t="s">
        <v>2830</v>
      </c>
      <c r="B57" s="889">
        <v>30.1</v>
      </c>
      <c r="C57" s="840">
        <v>0</v>
      </c>
      <c r="F57" s="840">
        <v>0</v>
      </c>
      <c r="O57" s="840">
        <v>0</v>
      </c>
      <c r="P57" s="840">
        <v>0</v>
      </c>
      <c r="R57" s="840">
        <v>811</v>
      </c>
      <c r="U57" s="890" t="s">
        <v>2831</v>
      </c>
      <c r="V57" s="868"/>
      <c r="AE57" s="843">
        <v>0</v>
      </c>
    </row>
    <row r="58" spans="1:32" x14ac:dyDescent="0.25">
      <c r="A58" s="889" t="s">
        <v>1765</v>
      </c>
      <c r="B58" s="891">
        <v>38.1</v>
      </c>
      <c r="C58" s="840">
        <v>0</v>
      </c>
      <c r="F58" s="840">
        <v>0</v>
      </c>
      <c r="O58" s="840">
        <v>0</v>
      </c>
      <c r="P58" s="840">
        <v>0</v>
      </c>
      <c r="R58" s="840">
        <v>0</v>
      </c>
      <c r="AE58" s="843">
        <v>0</v>
      </c>
    </row>
    <row r="59" spans="1:32" x14ac:dyDescent="0.25">
      <c r="A59" s="889" t="s">
        <v>349</v>
      </c>
      <c r="B59" s="889">
        <v>40.1</v>
      </c>
      <c r="C59" s="840">
        <v>0</v>
      </c>
      <c r="F59" s="840">
        <v>0</v>
      </c>
      <c r="O59" s="840">
        <v>0</v>
      </c>
      <c r="P59" s="840">
        <v>0</v>
      </c>
      <c r="R59" s="840">
        <v>0</v>
      </c>
      <c r="AE59" s="843">
        <v>0</v>
      </c>
    </row>
    <row r="61" spans="1:32" x14ac:dyDescent="0.25">
      <c r="A61" s="892"/>
      <c r="O61" s="840">
        <v>0</v>
      </c>
      <c r="P61" s="840">
        <v>0</v>
      </c>
      <c r="Q61" s="840">
        <v>0</v>
      </c>
      <c r="R61" s="840">
        <v>0</v>
      </c>
      <c r="S61" s="840">
        <v>0</v>
      </c>
      <c r="T61" s="840">
        <f>+C61+F61</f>
        <v>0</v>
      </c>
      <c r="AE61" s="843">
        <v>0</v>
      </c>
    </row>
    <row r="62" spans="1:32" x14ac:dyDescent="0.25">
      <c r="O62" s="840">
        <f t="shared" ref="O62:T62" si="26">O61-O54</f>
        <v>0</v>
      </c>
      <c r="P62" s="840">
        <f t="shared" si="26"/>
        <v>0</v>
      </c>
      <c r="Q62" s="840">
        <f t="shared" si="26"/>
        <v>0</v>
      </c>
      <c r="R62" s="840">
        <f t="shared" si="26"/>
        <v>0</v>
      </c>
      <c r="S62" s="840">
        <f t="shared" si="26"/>
        <v>0</v>
      </c>
      <c r="T62" s="840">
        <f t="shared" si="26"/>
        <v>-201730568.13000014</v>
      </c>
      <c r="V62" s="840">
        <f>V61-V54</f>
        <v>-201730568.13000014</v>
      </c>
      <c r="W62" s="840"/>
      <c r="X62" s="840"/>
      <c r="Y62" s="840">
        <v>-89951951.720000073</v>
      </c>
      <c r="Z62" s="840"/>
      <c r="AA62" s="840"/>
    </row>
    <row r="63" spans="1:32" x14ac:dyDescent="0.25">
      <c r="G63" s="840">
        <v>281767938.19</v>
      </c>
      <c r="I63" s="840">
        <v>-0.02</v>
      </c>
      <c r="N63" s="840">
        <v>159901418.91</v>
      </c>
    </row>
    <row r="64" spans="1:32" x14ac:dyDescent="0.25">
      <c r="G64" s="840">
        <f>G54-G63</f>
        <v>1881687.8699997067</v>
      </c>
      <c r="I64" s="840">
        <f>I63-I54</f>
        <v>-1.1622905731617506E-8</v>
      </c>
      <c r="N64" s="840">
        <f>N54-N63</f>
        <v>1881687.869999975</v>
      </c>
    </row>
    <row r="68" spans="3:22" x14ac:dyDescent="0.25">
      <c r="C68" s="840">
        <v>39481996.329999998</v>
      </c>
      <c r="D68" s="840">
        <v>0</v>
      </c>
      <c r="E68" s="840">
        <v>39481996.329999998</v>
      </c>
      <c r="F68" s="840">
        <v>159901418.91000056</v>
      </c>
      <c r="G68" s="840">
        <v>281767938.18999982</v>
      </c>
      <c r="H68" s="840">
        <v>-70946880.570000008</v>
      </c>
      <c r="I68" s="840">
        <v>-1.9999982789158821E-2</v>
      </c>
      <c r="J68" s="840">
        <v>-50919638.690000013</v>
      </c>
      <c r="K68" s="840">
        <v>0</v>
      </c>
      <c r="M68" s="840">
        <v>0</v>
      </c>
      <c r="N68" s="840">
        <v>159901418.91000056</v>
      </c>
      <c r="O68" s="840">
        <v>0</v>
      </c>
      <c r="P68" s="840">
        <v>0</v>
      </c>
      <c r="Q68" s="840">
        <v>0</v>
      </c>
      <c r="R68" s="840">
        <v>0</v>
      </c>
      <c r="S68" s="840">
        <v>0</v>
      </c>
      <c r="T68" s="840">
        <v>199383415.24000007</v>
      </c>
    </row>
    <row r="69" spans="3:22" x14ac:dyDescent="0.25">
      <c r="C69" s="840">
        <f>C54-C68</f>
        <v>465465.02000000328</v>
      </c>
      <c r="D69" s="840">
        <f t="shared" ref="D69:T69" si="27">D54-D68</f>
        <v>0</v>
      </c>
      <c r="E69" s="840">
        <f t="shared" si="27"/>
        <v>465465.02000000328</v>
      </c>
      <c r="F69" s="840">
        <f t="shared" si="27"/>
        <v>1881687.8699996471</v>
      </c>
      <c r="G69" s="840">
        <f t="shared" si="27"/>
        <v>1881687.8699998856</v>
      </c>
      <c r="H69" s="840">
        <f t="shared" si="27"/>
        <v>0</v>
      </c>
      <c r="I69" s="840">
        <f t="shared" si="27"/>
        <v>-5.5879354476928711E-9</v>
      </c>
      <c r="J69" s="840">
        <f t="shared" si="27"/>
        <v>0</v>
      </c>
      <c r="K69" s="840">
        <f t="shared" si="27"/>
        <v>0</v>
      </c>
      <c r="L69" s="840">
        <f t="shared" si="27"/>
        <v>0</v>
      </c>
      <c r="M69" s="840">
        <f t="shared" si="27"/>
        <v>0</v>
      </c>
      <c r="N69" s="840">
        <f t="shared" si="27"/>
        <v>1881687.8699994087</v>
      </c>
      <c r="O69" s="840">
        <f t="shared" si="27"/>
        <v>0</v>
      </c>
      <c r="P69" s="840">
        <f t="shared" si="27"/>
        <v>0</v>
      </c>
      <c r="Q69" s="840">
        <f t="shared" si="27"/>
        <v>0</v>
      </c>
      <c r="R69" s="840">
        <f t="shared" si="27"/>
        <v>0</v>
      </c>
      <c r="S69" s="840">
        <f t="shared" si="27"/>
        <v>0</v>
      </c>
      <c r="T69" s="840">
        <f t="shared" si="27"/>
        <v>2347152.8900000751</v>
      </c>
    </row>
    <row r="73" spans="3:22" x14ac:dyDescent="0.25">
      <c r="E73" s="840">
        <v>-32713.139999999992</v>
      </c>
      <c r="F73" s="840">
        <v>2496833.9400000009</v>
      </c>
      <c r="G73" s="840">
        <v>-2528220.86</v>
      </c>
      <c r="H73" s="840">
        <v>0</v>
      </c>
      <c r="I73" s="840">
        <v>0</v>
      </c>
      <c r="J73" s="840">
        <v>5025054.8</v>
      </c>
      <c r="K73" s="840">
        <v>0</v>
      </c>
      <c r="N73" s="840">
        <v>2496833.9400000009</v>
      </c>
      <c r="O73" s="840">
        <v>0</v>
      </c>
      <c r="P73" s="840">
        <v>0</v>
      </c>
      <c r="Q73" s="840">
        <v>0</v>
      </c>
      <c r="R73" s="840">
        <v>0</v>
      </c>
      <c r="T73" s="840">
        <v>2464120.8000000007</v>
      </c>
      <c r="V73" s="841">
        <v>2464120.8000000007</v>
      </c>
    </row>
    <row r="74" spans="3:22" x14ac:dyDescent="0.25">
      <c r="E74" s="840">
        <v>0</v>
      </c>
      <c r="F74" s="840">
        <v>-5940014.9900000002</v>
      </c>
      <c r="G74" s="840">
        <v>-5940014.9900000002</v>
      </c>
      <c r="H74" s="840">
        <v>0</v>
      </c>
      <c r="I74" s="840">
        <v>0</v>
      </c>
      <c r="J74" s="840">
        <v>0</v>
      </c>
      <c r="K74" s="840">
        <v>0</v>
      </c>
      <c r="N74" s="840">
        <v>-5940014.9900000002</v>
      </c>
      <c r="O74" s="840">
        <v>0</v>
      </c>
      <c r="P74" s="840">
        <v>0</v>
      </c>
      <c r="Q74" s="840">
        <v>0</v>
      </c>
      <c r="R74" s="840">
        <v>0</v>
      </c>
      <c r="T74" s="840">
        <v>-5940014.9900000002</v>
      </c>
      <c r="V74" s="841">
        <v>-5940014.9900000002</v>
      </c>
    </row>
    <row r="75" spans="3:22" x14ac:dyDescent="0.25">
      <c r="E75" s="840">
        <v>0</v>
      </c>
      <c r="F75" s="840">
        <v>0</v>
      </c>
      <c r="G75" s="840">
        <v>0</v>
      </c>
      <c r="H75" s="840">
        <v>0</v>
      </c>
      <c r="I75" s="840">
        <v>0</v>
      </c>
      <c r="J75" s="840">
        <v>0</v>
      </c>
      <c r="K75" s="840">
        <v>0</v>
      </c>
      <c r="N75" s="840">
        <v>0</v>
      </c>
      <c r="O75" s="840">
        <v>0</v>
      </c>
      <c r="P75" s="840">
        <v>0</v>
      </c>
      <c r="Q75" s="840">
        <v>0</v>
      </c>
      <c r="R75" s="840">
        <v>0</v>
      </c>
      <c r="T75" s="840">
        <v>0</v>
      </c>
      <c r="V75" s="841">
        <v>0</v>
      </c>
    </row>
    <row r="76" spans="3:22" x14ac:dyDescent="0.25">
      <c r="E76" s="840">
        <v>0</v>
      </c>
      <c r="H76" s="840">
        <v>0</v>
      </c>
      <c r="I76" s="840">
        <v>0</v>
      </c>
      <c r="J76" s="840">
        <v>0</v>
      </c>
      <c r="K76" s="840">
        <v>0</v>
      </c>
      <c r="N76" s="840">
        <v>0</v>
      </c>
      <c r="T76" s="840">
        <v>0</v>
      </c>
      <c r="V76" s="841">
        <v>0</v>
      </c>
    </row>
    <row r="77" spans="3:22" x14ac:dyDescent="0.25">
      <c r="E77" s="840">
        <v>39947461.350000001</v>
      </c>
      <c r="F77" s="840">
        <v>161783106.78000021</v>
      </c>
      <c r="G77" s="840">
        <v>283649626.0599997</v>
      </c>
      <c r="H77" s="840">
        <v>-70946880.570000008</v>
      </c>
      <c r="I77" s="840">
        <v>-1.9999982789158821E-2</v>
      </c>
      <c r="J77" s="840">
        <v>-50919638.690000013</v>
      </c>
      <c r="K77" s="840">
        <v>0</v>
      </c>
      <c r="M77" s="840">
        <v>0</v>
      </c>
      <c r="N77" s="840">
        <v>161783106.78000021</v>
      </c>
      <c r="O77" s="840">
        <v>0</v>
      </c>
      <c r="P77" s="840">
        <v>0</v>
      </c>
      <c r="Q77" s="840">
        <v>0</v>
      </c>
      <c r="R77" s="840">
        <v>0</v>
      </c>
      <c r="S77" s="840">
        <v>0</v>
      </c>
      <c r="T77" s="840">
        <v>201730568.1299997</v>
      </c>
      <c r="U77" s="840">
        <v>0</v>
      </c>
      <c r="V77" s="841">
        <v>201730568.1299997</v>
      </c>
    </row>
    <row r="78" spans="3:22" x14ac:dyDescent="0.25">
      <c r="E78" s="893">
        <f>E73-E50-E52</f>
        <v>0</v>
      </c>
      <c r="F78" s="893">
        <f t="shared" ref="F78:V78" si="28">F73-F50-F52</f>
        <v>0</v>
      </c>
      <c r="G78" s="893">
        <f t="shared" si="28"/>
        <v>0</v>
      </c>
      <c r="H78" s="893">
        <f t="shared" si="28"/>
        <v>0</v>
      </c>
      <c r="I78" s="893">
        <f t="shared" si="28"/>
        <v>0</v>
      </c>
      <c r="J78" s="893">
        <f t="shared" si="28"/>
        <v>0</v>
      </c>
      <c r="K78" s="893">
        <f t="shared" si="28"/>
        <v>0</v>
      </c>
      <c r="L78" s="893">
        <f t="shared" si="28"/>
        <v>0</v>
      </c>
      <c r="M78" s="893">
        <f t="shared" si="28"/>
        <v>0</v>
      </c>
      <c r="N78" s="893">
        <f t="shared" si="28"/>
        <v>0</v>
      </c>
      <c r="O78" s="893">
        <f t="shared" si="28"/>
        <v>0</v>
      </c>
      <c r="P78" s="893">
        <f t="shared" si="28"/>
        <v>0</v>
      </c>
      <c r="Q78" s="893">
        <f t="shared" si="28"/>
        <v>0</v>
      </c>
      <c r="R78" s="893">
        <f t="shared" si="28"/>
        <v>0</v>
      </c>
      <c r="S78" s="893">
        <f t="shared" si="28"/>
        <v>0</v>
      </c>
      <c r="T78" s="893">
        <f t="shared" si="28"/>
        <v>0</v>
      </c>
      <c r="U78" s="893">
        <f t="shared" si="28"/>
        <v>0</v>
      </c>
      <c r="V78" s="893">
        <f t="shared" si="28"/>
        <v>0</v>
      </c>
    </row>
    <row r="79" spans="3:22" x14ac:dyDescent="0.25">
      <c r="E79" s="893">
        <f>E54-E77</f>
        <v>0</v>
      </c>
      <c r="F79" s="893">
        <f t="shared" ref="F79:V79" si="29">F54-F77</f>
        <v>0</v>
      </c>
      <c r="G79" s="893">
        <f t="shared" si="29"/>
        <v>0</v>
      </c>
      <c r="H79" s="893">
        <f t="shared" si="29"/>
        <v>0</v>
      </c>
      <c r="I79" s="893">
        <f t="shared" si="29"/>
        <v>-5.5879354476928711E-9</v>
      </c>
      <c r="J79" s="893">
        <f t="shared" si="29"/>
        <v>0</v>
      </c>
      <c r="K79" s="893">
        <f t="shared" si="29"/>
        <v>0</v>
      </c>
      <c r="L79" s="893">
        <f t="shared" si="29"/>
        <v>0</v>
      </c>
      <c r="M79" s="893">
        <f t="shared" si="29"/>
        <v>0</v>
      </c>
      <c r="N79" s="893">
        <f t="shared" si="29"/>
        <v>-2.384185791015625E-7</v>
      </c>
      <c r="O79" s="893">
        <f t="shared" si="29"/>
        <v>0</v>
      </c>
      <c r="P79" s="893">
        <f t="shared" si="29"/>
        <v>0</v>
      </c>
      <c r="Q79" s="893">
        <f t="shared" si="29"/>
        <v>0</v>
      </c>
      <c r="R79" s="893">
        <f t="shared" si="29"/>
        <v>0</v>
      </c>
      <c r="S79" s="893">
        <f t="shared" si="29"/>
        <v>0</v>
      </c>
      <c r="T79" s="893">
        <f t="shared" si="29"/>
        <v>4.4703483581542969E-7</v>
      </c>
      <c r="U79" s="893">
        <f t="shared" si="29"/>
        <v>0</v>
      </c>
      <c r="V79" s="893">
        <f t="shared" si="29"/>
        <v>4.4703483581542969E-7</v>
      </c>
    </row>
  </sheetData>
  <mergeCells count="2">
    <mergeCell ref="G3:K3"/>
    <mergeCell ref="J4:K4"/>
  </mergeCells>
  <pageMargins left="0.75" right="0.75" top="1" bottom="1" header="0.5" footer="0.5"/>
  <pageSetup paperSize="5" scale="49" fitToHeight="2" orientation="landscape" r:id="rId1"/>
  <headerFooter alignWithMargins="0">
    <oddFooter>&amp;L&amp;Z&amp;F&amp;R&amp;D
Prepared by   MJ</oddFooter>
  </headerFooter>
  <rowBreaks count="1" manualBreakCount="1">
    <brk id="54" max="1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F54" sqref="F54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745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746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747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70" t="s">
        <v>1000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748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749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997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998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999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2"/>
    </row>
    <row r="16" spans="2:13" ht="15.6" thickBot="1" x14ac:dyDescent="0.3">
      <c r="B16" s="144"/>
      <c r="C16" s="8"/>
      <c r="D16" s="8"/>
      <c r="E16" s="8"/>
      <c r="F16" s="8" t="s">
        <v>750</v>
      </c>
      <c r="G16" s="8"/>
      <c r="H16" s="8"/>
      <c r="I16" s="8"/>
      <c r="J16" s="145"/>
    </row>
    <row r="17" spans="2:10" ht="15.6" thickTop="1" x14ac:dyDescent="0.25">
      <c r="B17" s="141"/>
      <c r="C17" s="150" t="s">
        <v>751</v>
      </c>
      <c r="D17" s="150"/>
      <c r="E17" s="142" t="str">
        <f>+data!C84</f>
        <v>Seattle Children's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752</v>
      </c>
      <c r="D18" s="151"/>
      <c r="E18" s="8" t="str">
        <f>+"H-"&amp;data!C83</f>
        <v>H-014</v>
      </c>
      <c r="F18" s="76"/>
      <c r="G18" s="76"/>
      <c r="H18" s="8"/>
      <c r="I18" s="8"/>
      <c r="J18" s="145"/>
    </row>
    <row r="19" spans="2:10" x14ac:dyDescent="0.25">
      <c r="B19" s="144"/>
      <c r="C19" s="151" t="s">
        <v>753</v>
      </c>
      <c r="D19" s="151"/>
      <c r="E19" s="8" t="str">
        <f>+data!C85</f>
        <v>4800 Sand Point Way NE</v>
      </c>
      <c r="F19" s="76"/>
      <c r="G19" s="76"/>
      <c r="H19" s="8"/>
      <c r="I19" s="8"/>
      <c r="J19" s="145"/>
    </row>
    <row r="20" spans="2:10" x14ac:dyDescent="0.25">
      <c r="B20" s="144"/>
      <c r="C20" s="151" t="s">
        <v>754</v>
      </c>
      <c r="D20" s="151"/>
      <c r="E20" s="8" t="str">
        <f>+data!C86</f>
        <v>P.O. Box 5371</v>
      </c>
      <c r="F20" s="76"/>
      <c r="G20" s="76"/>
      <c r="H20" s="8"/>
      <c r="I20" s="8"/>
      <c r="J20" s="145"/>
    </row>
    <row r="21" spans="2:10" x14ac:dyDescent="0.25">
      <c r="B21" s="144"/>
      <c r="C21" s="151" t="s">
        <v>755</v>
      </c>
      <c r="D21" s="151"/>
      <c r="E21" s="8" t="str">
        <f>+data!C87</f>
        <v>Seattle, WA 98105-0371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756</v>
      </c>
      <c r="G26" s="70"/>
      <c r="H26" s="70"/>
      <c r="I26" s="70"/>
      <c r="J26" s="154"/>
    </row>
    <row r="27" spans="2:10" x14ac:dyDescent="0.25">
      <c r="B27" s="155" t="s">
        <v>757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09/30/2019.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758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759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760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761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762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763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761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762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topLeftCell="A13" zoomScale="75" workbookViewId="0">
      <selection activeCell="J25" sqref="J25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764</v>
      </c>
      <c r="H1" s="7"/>
    </row>
    <row r="2" spans="1:13" ht="20.100000000000001" customHeight="1" x14ac:dyDescent="0.25">
      <c r="A2" s="6" t="s">
        <v>765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09/30/2019</v>
      </c>
      <c r="C4" s="38"/>
      <c r="D4" s="120"/>
      <c r="E4" s="70"/>
      <c r="F4" s="127" t="str">
        <f>"License Number:  "&amp;"H-"&amp;FIXED(data!C83,0)</f>
        <v>License Number:  H-14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Seattle Children's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766</v>
      </c>
      <c r="C7" s="24"/>
      <c r="D7" s="127" t="str">
        <f>"  "&amp;data!C89</f>
        <v xml:space="preserve">  Dr. Jeffrey Sperring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767</v>
      </c>
      <c r="C8" s="24"/>
      <c r="D8" s="127" t="str">
        <f>"  "&amp;data!C90</f>
        <v xml:space="preserve">  Suzanne Beitel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768</v>
      </c>
      <c r="C9" s="24"/>
      <c r="D9" s="127" t="str">
        <f>"  "&amp;data!C91</f>
        <v xml:space="preserve">  Susan Mask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769</v>
      </c>
      <c r="C10" s="24"/>
      <c r="D10" s="127" t="str">
        <f>"  "&amp;data!C92</f>
        <v xml:space="preserve">  206 987-2000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770</v>
      </c>
      <c r="C11" s="24"/>
      <c r="D11" s="127" t="str">
        <f>"  "&amp;data!C93</f>
        <v xml:space="preserve">  206 987-3830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771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772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773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774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775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776</v>
      </c>
      <c r="C23" s="38"/>
      <c r="D23" s="38"/>
      <c r="E23" s="38"/>
      <c r="F23" s="13">
        <f>data!C111</f>
        <v>16032</v>
      </c>
      <c r="G23" s="21">
        <f>data!D111</f>
        <v>105432</v>
      </c>
      <c r="H23" s="7"/>
    </row>
    <row r="24" spans="1:9" ht="20.100000000000001" customHeight="1" x14ac:dyDescent="0.25">
      <c r="A24" s="130"/>
      <c r="B24" s="49" t="s">
        <v>777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778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779</v>
      </c>
      <c r="C29" s="24"/>
      <c r="D29" s="15" t="s">
        <v>167</v>
      </c>
      <c r="E29" s="97" t="s">
        <v>779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91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780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781</v>
      </c>
      <c r="C32" s="24"/>
      <c r="D32" s="21">
        <f>data!C118</f>
        <v>217</v>
      </c>
      <c r="E32" s="49" t="s">
        <v>782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783</v>
      </c>
      <c r="C33" s="24"/>
      <c r="D33" s="21">
        <f>data!C119</f>
        <v>0</v>
      </c>
      <c r="E33" s="49" t="s">
        <v>784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785</v>
      </c>
      <c r="C34" s="24"/>
      <c r="D34" s="21">
        <f>data!C120</f>
        <v>0</v>
      </c>
      <c r="E34" s="49" t="s">
        <v>291</v>
      </c>
      <c r="F34" s="24"/>
      <c r="G34" s="21">
        <f>data!E127</f>
        <v>361</v>
      </c>
      <c r="H34" s="7"/>
    </row>
    <row r="35" spans="1:8" ht="20.100000000000001" customHeight="1" x14ac:dyDescent="0.25">
      <c r="A35" s="130"/>
      <c r="B35" s="97" t="s">
        <v>786</v>
      </c>
      <c r="C35" s="24"/>
      <c r="D35" s="21">
        <f>data!C121</f>
        <v>12</v>
      </c>
      <c r="E35" s="49" t="s">
        <v>787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41</v>
      </c>
      <c r="E36" s="49" t="s">
        <v>292</v>
      </c>
      <c r="F36" s="24"/>
      <c r="G36" s="21">
        <f>data!C128</f>
        <v>407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788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topLeftCell="A4" zoomScale="75" workbookViewId="0">
      <selection activeCell="I20" sqref="I20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789</v>
      </c>
      <c r="B1" s="8"/>
      <c r="C1" s="8"/>
      <c r="D1" s="8"/>
      <c r="E1" s="8"/>
      <c r="F1" s="8"/>
      <c r="G1" s="165" t="s">
        <v>790</v>
      </c>
    </row>
    <row r="2" spans="1:13" ht="20.100000000000001" customHeight="1" x14ac:dyDescent="0.25">
      <c r="A2" s="105" t="str">
        <f>"Hospital Name: "&amp;data!C84</f>
        <v>Hospital Name: Seattle Children's</v>
      </c>
      <c r="B2" s="8"/>
      <c r="C2" s="8"/>
      <c r="D2" s="8"/>
      <c r="E2" s="8"/>
      <c r="F2" s="11"/>
      <c r="G2" s="76" t="s">
        <v>791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09/30/2019</v>
      </c>
    </row>
    <row r="4" spans="1:13" ht="20.100000000000001" customHeight="1" x14ac:dyDescent="0.25">
      <c r="A4" s="107" t="s">
        <v>792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793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794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176</v>
      </c>
      <c r="C7" s="48">
        <f>data!B139</f>
        <v>1130</v>
      </c>
      <c r="D7" s="48">
        <f>data!B140</f>
        <v>3048</v>
      </c>
      <c r="E7" s="48">
        <f>data!B141</f>
        <v>19023178.949999999</v>
      </c>
      <c r="F7" s="48">
        <f>data!B142</f>
        <v>22314693.120000001</v>
      </c>
      <c r="G7" s="48">
        <f>data!B141+data!B142</f>
        <v>41337872.07</v>
      </c>
    </row>
    <row r="8" spans="1:13" ht="20.100000000000001" customHeight="1" x14ac:dyDescent="0.25">
      <c r="A8" s="23" t="s">
        <v>297</v>
      </c>
      <c r="B8" s="48">
        <f>data!C138</f>
        <v>7310</v>
      </c>
      <c r="C8" s="48">
        <f>data!C139</f>
        <v>53619</v>
      </c>
      <c r="D8" s="48">
        <f>data!C140</f>
        <v>214519</v>
      </c>
      <c r="E8" s="48">
        <f>data!C141</f>
        <v>906401645.53999996</v>
      </c>
      <c r="F8" s="48">
        <f>data!C142</f>
        <v>419132792.91999996</v>
      </c>
      <c r="G8" s="48">
        <f>data!C141+data!C142</f>
        <v>1325534438.46</v>
      </c>
    </row>
    <row r="9" spans="1:13" ht="20.100000000000001" customHeight="1" x14ac:dyDescent="0.25">
      <c r="A9" s="23" t="s">
        <v>795</v>
      </c>
      <c r="B9" s="48">
        <f>data!D138</f>
        <v>8546</v>
      </c>
      <c r="C9" s="48">
        <f>data!D139</f>
        <v>50683</v>
      </c>
      <c r="D9" s="48">
        <f>data!D140</f>
        <v>334480</v>
      </c>
      <c r="E9" s="48">
        <f>data!D141</f>
        <v>828833414.52999997</v>
      </c>
      <c r="F9" s="48">
        <f>data!D142</f>
        <v>578954808.58000004</v>
      </c>
      <c r="G9" s="48">
        <f>data!D141+data!D142</f>
        <v>1407788223.1100001</v>
      </c>
    </row>
    <row r="10" spans="1:13" ht="20.100000000000001" customHeight="1" x14ac:dyDescent="0.25">
      <c r="A10" s="111" t="s">
        <v>203</v>
      </c>
      <c r="B10" s="48">
        <f>data!E138</f>
        <v>16032</v>
      </c>
      <c r="C10" s="48">
        <f>data!E139</f>
        <v>105432</v>
      </c>
      <c r="D10" s="48">
        <f>data!E140</f>
        <v>552047</v>
      </c>
      <c r="E10" s="48">
        <f>data!E141</f>
        <v>1754258239.02</v>
      </c>
      <c r="F10" s="48">
        <f>data!E142</f>
        <v>1020402294.62</v>
      </c>
      <c r="G10" s="48">
        <f>data!E141+data!E142</f>
        <v>2774660533.6399999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796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793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794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795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797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793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794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795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798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799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800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topLeftCell="A22" zoomScale="75" workbookViewId="0">
      <selection activeCell="C25" sqref="C25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801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Seattle Children's</v>
      </c>
      <c r="B3" s="30"/>
      <c r="C3" s="31" t="str">
        <f>"FYE: "&amp;data!C82</f>
        <v>FYE: 09/30/2019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802</v>
      </c>
      <c r="C6" s="13">
        <f>data!C165</f>
        <v>47170786.009999998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630494.97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4080454.12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87352371.299999997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33074738.399999999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-944448.84999999404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803</v>
      </c>
      <c r="C14" s="13">
        <f>data!D173</f>
        <v>171364395.94999999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804</v>
      </c>
      <c r="C18" s="13">
        <f>data!C175</f>
        <v>30417686.580000002</v>
      </c>
    </row>
    <row r="19" spans="1:3" ht="20.100000000000001" customHeight="1" x14ac:dyDescent="0.25">
      <c r="A19" s="13">
        <v>13</v>
      </c>
      <c r="B19" s="49" t="s">
        <v>805</v>
      </c>
      <c r="C19" s="13">
        <f>data!C176</f>
        <v>2067953.07</v>
      </c>
    </row>
    <row r="20" spans="1:3" ht="20.100000000000001" customHeight="1" x14ac:dyDescent="0.25">
      <c r="A20" s="13">
        <v>14</v>
      </c>
      <c r="B20" s="49" t="s">
        <v>806</v>
      </c>
      <c r="C20" s="13">
        <f>data!D177</f>
        <v>32485639.650000002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807</v>
      </c>
      <c r="C24" s="104"/>
    </row>
    <row r="25" spans="1:3" ht="20.100000000000001" customHeight="1" x14ac:dyDescent="0.25">
      <c r="A25" s="13">
        <v>17</v>
      </c>
      <c r="B25" s="49" t="s">
        <v>808</v>
      </c>
      <c r="C25" s="13">
        <f>data!C179</f>
        <v>684350.01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6357422.6999999993</v>
      </c>
    </row>
    <row r="27" spans="1:3" ht="20.100000000000001" customHeight="1" x14ac:dyDescent="0.25">
      <c r="A27" s="13">
        <v>19</v>
      </c>
      <c r="B27" s="49" t="s">
        <v>809</v>
      </c>
      <c r="C27" s="13">
        <f>data!D181</f>
        <v>7041772.709999999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810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0</v>
      </c>
    </row>
    <row r="32" spans="1:3" ht="20.100000000000001" customHeight="1" x14ac:dyDescent="0.25">
      <c r="A32" s="13">
        <v>22</v>
      </c>
      <c r="B32" s="49" t="s">
        <v>811</v>
      </c>
      <c r="C32" s="13">
        <f>data!C184</f>
        <v>46768157.359999999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812</v>
      </c>
      <c r="C34" s="13">
        <f>data!D186</f>
        <v>46768157.359999999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813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15254982.23</v>
      </c>
    </row>
    <row r="40" spans="1:3" ht="20.100000000000001" customHeight="1" x14ac:dyDescent="0.25">
      <c r="A40" s="13">
        <v>28</v>
      </c>
      <c r="B40" s="49" t="s">
        <v>814</v>
      </c>
      <c r="C40" s="13">
        <f>data!D190</f>
        <v>15254982.23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F36" sqref="F36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815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Seattle Children's</v>
      </c>
      <c r="B3" s="8"/>
      <c r="C3" s="8"/>
      <c r="E3" s="11"/>
      <c r="F3" s="12" t="str">
        <f>" FYE: "&amp;data!C82</f>
        <v xml:space="preserve"> FYE: 09/30/2019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816</v>
      </c>
      <c r="D5" s="47"/>
      <c r="E5" s="47"/>
      <c r="F5" s="72" t="s">
        <v>817</v>
      </c>
    </row>
    <row r="6" spans="1:13" ht="20.100000000000001" customHeight="1" x14ac:dyDescent="0.25">
      <c r="A6" s="19"/>
      <c r="B6" s="20"/>
      <c r="C6" s="18" t="s">
        <v>818</v>
      </c>
      <c r="D6" s="18" t="s">
        <v>329</v>
      </c>
      <c r="E6" s="18" t="s">
        <v>819</v>
      </c>
      <c r="F6" s="18" t="s">
        <v>818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219455313.39999998</v>
      </c>
      <c r="D7" s="21">
        <f>data!C195</f>
        <v>1711000</v>
      </c>
      <c r="E7" s="21">
        <f>data!D195</f>
        <v>0</v>
      </c>
      <c r="F7" s="21">
        <f>data!E195</f>
        <v>221166313.39999998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14657705.77</v>
      </c>
      <c r="D8" s="21">
        <f>data!C196</f>
        <v>32724.030000001192</v>
      </c>
      <c r="E8" s="21">
        <f>data!D196</f>
        <v>0</v>
      </c>
      <c r="F8" s="21">
        <f>data!E196</f>
        <v>14690429.800000001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961783604.61000013</v>
      </c>
      <c r="D9" s="21">
        <f>data!C197</f>
        <v>301503133.79000008</v>
      </c>
      <c r="E9" s="21">
        <f>data!D197</f>
        <v>149282.17000000001</v>
      </c>
      <c r="F9" s="21">
        <f>data!E197</f>
        <v>1263137456.23</v>
      </c>
    </row>
    <row r="10" spans="1:13" ht="20.100000000000001" customHeight="1" x14ac:dyDescent="0.25">
      <c r="A10" s="13">
        <v>4</v>
      </c>
      <c r="B10" s="14" t="s">
        <v>820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821</v>
      </c>
      <c r="C11" s="21">
        <f>data!B199</f>
        <v>44738075.660000004</v>
      </c>
      <c r="D11" s="21">
        <f>data!C199</f>
        <v>19265417.780000001</v>
      </c>
      <c r="E11" s="21">
        <f>data!D199</f>
        <v>0</v>
      </c>
      <c r="F11" s="21">
        <f>data!E199</f>
        <v>64003493.440000005</v>
      </c>
    </row>
    <row r="12" spans="1:13" ht="20.100000000000001" customHeight="1" x14ac:dyDescent="0.25">
      <c r="A12" s="13">
        <v>6</v>
      </c>
      <c r="B12" s="14" t="s">
        <v>822</v>
      </c>
      <c r="C12" s="21">
        <f>data!B200</f>
        <v>498391562.72999996</v>
      </c>
      <c r="D12" s="21">
        <f>data!C200</f>
        <v>62321942.550000191</v>
      </c>
      <c r="E12" s="21">
        <f>data!D200</f>
        <v>7102746.6299999952</v>
      </c>
      <c r="F12" s="21">
        <f>data!E200</f>
        <v>553610758.65000021</v>
      </c>
    </row>
    <row r="13" spans="1:13" ht="20.100000000000001" customHeight="1" x14ac:dyDescent="0.25">
      <c r="A13" s="13">
        <v>7</v>
      </c>
      <c r="B13" s="14" t="s">
        <v>823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58651289.580000006</v>
      </c>
      <c r="D14" s="21">
        <f>data!C202</f>
        <v>14146290.870000005</v>
      </c>
      <c r="E14" s="21">
        <f>data!D202</f>
        <v>405387.55</v>
      </c>
      <c r="F14" s="21">
        <f>data!E202</f>
        <v>72392192.900000021</v>
      </c>
    </row>
    <row r="15" spans="1:13" ht="20.100000000000001" customHeight="1" x14ac:dyDescent="0.25">
      <c r="A15" s="13">
        <v>9</v>
      </c>
      <c r="B15" s="14" t="s">
        <v>824</v>
      </c>
      <c r="C15" s="21">
        <f>data!B203</f>
        <v>245531870.47999933</v>
      </c>
      <c r="D15" s="21">
        <f>data!C203</f>
        <v>348063188.68001431</v>
      </c>
      <c r="E15" s="21">
        <f>data!D203</f>
        <v>398063356.53000093</v>
      </c>
      <c r="F15" s="21">
        <f>data!E203</f>
        <v>195531702.63001275</v>
      </c>
      <c r="M15" s="262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2043209422.2299995</v>
      </c>
      <c r="D16" s="21">
        <f>data!C204</f>
        <v>747043697.70001459</v>
      </c>
      <c r="E16" s="21">
        <f>data!D204</f>
        <v>405720772.88000095</v>
      </c>
      <c r="F16" s="21">
        <f>data!E204</f>
        <v>2384532347.0500135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816</v>
      </c>
      <c r="D21" s="76" t="s">
        <v>203</v>
      </c>
      <c r="E21" s="25"/>
      <c r="F21" s="18" t="s">
        <v>817</v>
      </c>
    </row>
    <row r="22" spans="1:6" ht="20.100000000000001" customHeight="1" x14ac:dyDescent="0.25">
      <c r="A22" s="75"/>
      <c r="B22" s="44"/>
      <c r="C22" s="18" t="s">
        <v>818</v>
      </c>
      <c r="D22" s="18" t="s">
        <v>825</v>
      </c>
      <c r="E22" s="18" t="s">
        <v>819</v>
      </c>
      <c r="F22" s="18" t="s">
        <v>818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7431883.8999999994</v>
      </c>
      <c r="D24" s="21">
        <f>data!C209</f>
        <v>793219.71999999974</v>
      </c>
      <c r="E24" s="21">
        <f>data!D209</f>
        <v>0</v>
      </c>
      <c r="F24" s="21">
        <f>data!E209</f>
        <v>8225103.6199999992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373579471.68000007</v>
      </c>
      <c r="D25" s="21">
        <f>data!C210</f>
        <v>37928225.899999917</v>
      </c>
      <c r="E25" s="21">
        <f>data!D210</f>
        <v>142377.01</v>
      </c>
      <c r="F25" s="21">
        <f>data!E210</f>
        <v>411365320.56999999</v>
      </c>
    </row>
    <row r="26" spans="1:6" ht="20.100000000000001" customHeight="1" x14ac:dyDescent="0.25">
      <c r="A26" s="13">
        <v>14</v>
      </c>
      <c r="B26" s="14" t="s">
        <v>820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821</v>
      </c>
      <c r="C27" s="21">
        <f>data!B212</f>
        <v>25077043.359999999</v>
      </c>
      <c r="D27" s="21">
        <f>data!C212</f>
        <v>2616125.6599999964</v>
      </c>
      <c r="E27" s="21">
        <f>data!D212</f>
        <v>0</v>
      </c>
      <c r="F27" s="21">
        <f>data!E212</f>
        <v>27693169.019999996</v>
      </c>
    </row>
    <row r="28" spans="1:6" ht="20.100000000000001" customHeight="1" x14ac:dyDescent="0.25">
      <c r="A28" s="13">
        <v>16</v>
      </c>
      <c r="B28" s="14" t="s">
        <v>822</v>
      </c>
      <c r="C28" s="21">
        <f>data!B213</f>
        <v>339961016.86000031</v>
      </c>
      <c r="D28" s="21">
        <f>data!C213</f>
        <v>52692738.709999979</v>
      </c>
      <c r="E28" s="21">
        <f>data!D213</f>
        <v>6873288.609999992</v>
      </c>
      <c r="F28" s="21">
        <f>data!E213</f>
        <v>385780466.96000028</v>
      </c>
    </row>
    <row r="29" spans="1:6" ht="20.100000000000001" customHeight="1" x14ac:dyDescent="0.25">
      <c r="A29" s="13">
        <v>17</v>
      </c>
      <c r="B29" s="14" t="s">
        <v>823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16786696.569999997</v>
      </c>
      <c r="D30" s="21">
        <f>data!C215</f>
        <v>5007113.2300000004</v>
      </c>
      <c r="E30" s="21">
        <f>data!D215</f>
        <v>405387.55</v>
      </c>
      <c r="F30" s="21">
        <f>data!E215</f>
        <v>21388422.249999996</v>
      </c>
    </row>
    <row r="31" spans="1:6" ht="20.100000000000001" customHeight="1" x14ac:dyDescent="0.25">
      <c r="A31" s="13">
        <v>19</v>
      </c>
      <c r="B31" s="14" t="s">
        <v>824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762836112.37000048</v>
      </c>
      <c r="D32" s="21">
        <f>data!C217</f>
        <v>99037423.219999894</v>
      </c>
      <c r="E32" s="21">
        <f>data!D217</f>
        <v>7421053.1699999915</v>
      </c>
      <c r="F32" s="21">
        <f>data!E217</f>
        <v>854452482.42000031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topLeftCell="A13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826</v>
      </c>
      <c r="B1" s="6"/>
      <c r="C1" s="6"/>
      <c r="D1" s="169" t="s">
        <v>827</v>
      </c>
    </row>
    <row r="2" spans="1:13" ht="20.100000000000001" customHeight="1" x14ac:dyDescent="0.25">
      <c r="A2" s="29" t="str">
        <f>"Hospital: "&amp;data!C84</f>
        <v>Hospital: Seattle Children's</v>
      </c>
      <c r="B2" s="30"/>
      <c r="C2" s="30"/>
      <c r="D2" s="31" t="str">
        <f>"FYE: "&amp;data!C82</f>
        <v>FYE: 09/30/2019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828</v>
      </c>
      <c r="C4" s="41" t="s">
        <v>829</v>
      </c>
      <c r="D4" s="54"/>
    </row>
    <row r="5" spans="1:13" ht="20.100000000000001" customHeight="1" x14ac:dyDescent="0.25">
      <c r="A5" s="102">
        <v>1</v>
      </c>
      <c r="B5" s="55"/>
      <c r="C5" s="22" t="s">
        <v>992</v>
      </c>
      <c r="D5" s="14">
        <f>data!D221</f>
        <v>2406776.77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33959754.420000002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914668524.26999998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69535592.219999999</v>
      </c>
    </row>
    <row r="11" spans="1:13" ht="20.100000000000001" customHeight="1" x14ac:dyDescent="0.25">
      <c r="A11" s="13">
        <v>7</v>
      </c>
      <c r="B11" s="55">
        <v>5850</v>
      </c>
      <c r="C11" s="14" t="s">
        <v>830</v>
      </c>
      <c r="D11" s="14">
        <f>data!C227</f>
        <v>278655289.38999999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00000000000001" customHeight="1" x14ac:dyDescent="0.25">
      <c r="A13" s="23">
        <v>9</v>
      </c>
      <c r="B13" s="24"/>
      <c r="C13" s="14" t="s">
        <v>831</v>
      </c>
      <c r="D13" s="14">
        <f>data!D229</f>
        <v>1296819160.3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832</v>
      </c>
      <c r="D16" s="140">
        <f>+data!C231</f>
        <v>0</v>
      </c>
      <c r="M16" s="262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4954028.54</v>
      </c>
    </row>
    <row r="19" spans="1:4" ht="20.100000000000001" customHeight="1" x14ac:dyDescent="0.25">
      <c r="A19" s="61">
        <v>15</v>
      </c>
      <c r="B19" s="55">
        <v>5910</v>
      </c>
      <c r="C19" s="22" t="s">
        <v>833</v>
      </c>
      <c r="D19" s="14">
        <f>data!C234</f>
        <v>20975117.41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834</v>
      </c>
      <c r="D22" s="14">
        <f>data!D236</f>
        <v>25929145.949999999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66">
        <v>20</v>
      </c>
      <c r="B24" s="55">
        <v>5970</v>
      </c>
      <c r="C24" s="14" t="s">
        <v>357</v>
      </c>
      <c r="D24" s="14">
        <f>data!C238</f>
        <v>17117981.560000002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835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836</v>
      </c>
      <c r="C27" s="56"/>
      <c r="D27" s="14">
        <f>data!D242</f>
        <v>1342273064.5799999</v>
      </c>
    </row>
    <row r="28" spans="1:4" ht="20.100000000000001" customHeight="1" x14ac:dyDescent="0.25">
      <c r="A28" s="126">
        <v>24</v>
      </c>
      <c r="B28" s="65" t="s">
        <v>837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85" zoomScale="75" workbookViewId="0">
      <selection activeCell="E90" sqref="E90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838</v>
      </c>
      <c r="B1" s="5"/>
      <c r="C1" s="6"/>
    </row>
    <row r="2" spans="1:13" ht="20.100000000000001" customHeight="1" x14ac:dyDescent="0.25">
      <c r="A2" s="4"/>
      <c r="B2" s="5"/>
      <c r="C2" s="167" t="s">
        <v>839</v>
      </c>
    </row>
    <row r="3" spans="1:13" ht="20.100000000000001" customHeight="1" x14ac:dyDescent="0.25">
      <c r="A3" s="29" t="str">
        <f>"HOSPITAL: "&amp;data!C84</f>
        <v>HOSPITAL: Seattle Children's</v>
      </c>
      <c r="B3" s="30"/>
      <c r="C3" s="31" t="str">
        <f>" FYE: "&amp;data!C82</f>
        <v xml:space="preserve"> FYE: 09/30/2019</v>
      </c>
    </row>
    <row r="4" spans="1:13" ht="20.100000000000001" customHeight="1" x14ac:dyDescent="0.25">
      <c r="A4" s="32"/>
      <c r="B4" s="33" t="s">
        <v>840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68511822.88000001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526572379.10000002</v>
      </c>
    </row>
    <row r="9" spans="1:13" ht="20.100000000000001" customHeight="1" x14ac:dyDescent="0.25">
      <c r="A9" s="13">
        <v>5</v>
      </c>
      <c r="B9" s="14" t="s">
        <v>841</v>
      </c>
      <c r="C9" s="21">
        <f>data!C253</f>
        <v>255793096</v>
      </c>
    </row>
    <row r="10" spans="1:13" ht="20.100000000000001" customHeight="1" x14ac:dyDescent="0.25">
      <c r="A10" s="13">
        <v>6</v>
      </c>
      <c r="B10" s="14" t="s">
        <v>842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843</v>
      </c>
      <c r="C11" s="21">
        <f>data!C255</f>
        <v>133908538.84999999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18719563.910000004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27287333.800000001</v>
      </c>
    </row>
    <row r="15" spans="1:13" ht="20.100000000000001" customHeight="1" x14ac:dyDescent="0.25">
      <c r="A15" s="13">
        <v>11</v>
      </c>
      <c r="B15" s="14" t="s">
        <v>844</v>
      </c>
      <c r="C15" s="21">
        <f>data!C259</f>
        <v>24856082.969999999</v>
      </c>
      <c r="M15" s="262"/>
    </row>
    <row r="16" spans="1:13" ht="20.100000000000001" customHeight="1" x14ac:dyDescent="0.25">
      <c r="A16" s="13">
        <v>12</v>
      </c>
      <c r="B16" s="14" t="s">
        <v>845</v>
      </c>
      <c r="C16" s="21">
        <f>data!D260</f>
        <v>544062625.50999999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846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1520187570.5699999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2321839.5699999961</v>
      </c>
    </row>
    <row r="22" spans="1:3" ht="20.100000000000001" customHeight="1" x14ac:dyDescent="0.25">
      <c r="A22" s="13">
        <v>18</v>
      </c>
      <c r="B22" s="14" t="s">
        <v>847</v>
      </c>
      <c r="C22" s="21">
        <f>data!D265</f>
        <v>1522509410.1399999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848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221166313.39999998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14690429.800000001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1263137456.23</v>
      </c>
    </row>
    <row r="28" spans="1:3" ht="20.100000000000001" customHeight="1" x14ac:dyDescent="0.25">
      <c r="A28" s="13">
        <v>24</v>
      </c>
      <c r="B28" s="14" t="s">
        <v>849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64003493.440000005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553610758.65000021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72392192.900000021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195531702.63001275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2384532347.0500135</v>
      </c>
    </row>
    <row r="34" spans="1:3" ht="20.100000000000001" customHeight="1" x14ac:dyDescent="0.25">
      <c r="A34" s="13">
        <v>30</v>
      </c>
      <c r="B34" s="14" t="s">
        <v>850</v>
      </c>
      <c r="C34" s="21">
        <f>data!C276</f>
        <v>854452482.42000031</v>
      </c>
    </row>
    <row r="35" spans="1:3" ht="20.100000000000001" customHeight="1" x14ac:dyDescent="0.25">
      <c r="A35" s="13">
        <v>31</v>
      </c>
      <c r="B35" s="14" t="s">
        <v>851</v>
      </c>
      <c r="C35" s="21">
        <f>data!D277</f>
        <v>1530079864.6300132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852</v>
      </c>
      <c r="C37" s="36"/>
    </row>
    <row r="38" spans="1:3" ht="20.100000000000001" customHeight="1" x14ac:dyDescent="0.25">
      <c r="A38" s="13">
        <v>34</v>
      </c>
      <c r="B38" s="14" t="s">
        <v>853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854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281703765.58999997</v>
      </c>
    </row>
    <row r="42" spans="1:3" ht="20.100000000000001" customHeight="1" x14ac:dyDescent="0.25">
      <c r="A42" s="13">
        <v>38</v>
      </c>
      <c r="B42" s="14" t="s">
        <v>855</v>
      </c>
      <c r="C42" s="21">
        <f>data!D283</f>
        <v>281703765.58999997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856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857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858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859</v>
      </c>
      <c r="C50" s="21">
        <f>data!D292</f>
        <v>3878355665.8700132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860</v>
      </c>
      <c r="B53" s="5"/>
      <c r="C53" s="6"/>
    </row>
    <row r="54" spans="1:3" ht="20.100000000000001" customHeight="1" x14ac:dyDescent="0.25">
      <c r="A54" s="4"/>
      <c r="B54" s="5"/>
      <c r="C54" s="167" t="s">
        <v>861</v>
      </c>
    </row>
    <row r="55" spans="1:3" ht="20.100000000000001" customHeight="1" x14ac:dyDescent="0.25">
      <c r="A55" s="29" t="str">
        <f>"HOSPITAL: "&amp;data!C84</f>
        <v>HOSPITAL: Seattle Children's</v>
      </c>
      <c r="B55" s="30"/>
      <c r="C55" s="31" t="str">
        <f>"FYE: "&amp;data!C82</f>
        <v>FYE: 09/30/2019</v>
      </c>
    </row>
    <row r="56" spans="1:3" ht="20.100000000000001" customHeight="1" x14ac:dyDescent="0.25">
      <c r="A56" s="42"/>
      <c r="B56" s="43" t="s">
        <v>862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863</v>
      </c>
      <c r="C59" s="21">
        <f>data!C305</f>
        <v>102213302.3</v>
      </c>
    </row>
    <row r="60" spans="1:3" ht="20.100000000000001" customHeight="1" x14ac:dyDescent="0.25">
      <c r="A60" s="13">
        <v>4</v>
      </c>
      <c r="B60" s="14" t="s">
        <v>864</v>
      </c>
      <c r="C60" s="21">
        <f>data!C306</f>
        <v>88521308.920000017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13401082.970000001</v>
      </c>
    </row>
    <row r="62" spans="1:3" ht="20.100000000000001" customHeight="1" x14ac:dyDescent="0.25">
      <c r="A62" s="13">
        <v>6</v>
      </c>
      <c r="B62" s="14" t="s">
        <v>865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866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111112510.48000002</v>
      </c>
    </row>
    <row r="67" spans="1:3" ht="20.100000000000001" customHeight="1" x14ac:dyDescent="0.25">
      <c r="A67" s="13">
        <v>11</v>
      </c>
      <c r="B67" s="14" t="s">
        <v>867</v>
      </c>
      <c r="C67" s="21">
        <f>data!C313</f>
        <v>11455000</v>
      </c>
    </row>
    <row r="68" spans="1:3" ht="20.100000000000001" customHeight="1" x14ac:dyDescent="0.25">
      <c r="A68" s="13">
        <v>12</v>
      </c>
      <c r="B68" s="14" t="s">
        <v>868</v>
      </c>
      <c r="C68" s="21">
        <f>data!D314</f>
        <v>326703204.67000008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869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870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871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872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873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699695149.77999997</v>
      </c>
    </row>
    <row r="82" spans="1:3" ht="20.100000000000001" customHeight="1" x14ac:dyDescent="0.25">
      <c r="A82" s="13">
        <v>26</v>
      </c>
      <c r="B82" s="14" t="s">
        <v>874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46375761.579999998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746070911.36000001</v>
      </c>
    </row>
    <row r="85" spans="1:3" ht="20.100000000000001" customHeight="1" x14ac:dyDescent="0.25">
      <c r="A85" s="13">
        <v>29</v>
      </c>
      <c r="B85" s="14" t="s">
        <v>875</v>
      </c>
      <c r="C85" s="21">
        <f>data!D329</f>
        <v>11455000</v>
      </c>
    </row>
    <row r="86" spans="1:3" ht="20.100000000000001" customHeight="1" x14ac:dyDescent="0.25">
      <c r="A86" s="13">
        <v>30</v>
      </c>
      <c r="B86" s="14" t="s">
        <v>876</v>
      </c>
      <c r="C86" s="21">
        <f>data!D330</f>
        <v>734615911.36000001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877</v>
      </c>
      <c r="C88" s="21">
        <f>data!C332</f>
        <v>2817036549.7800021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878</v>
      </c>
      <c r="C90" s="36"/>
    </row>
    <row r="91" spans="1:3" ht="20.100000000000001" customHeight="1" x14ac:dyDescent="0.25">
      <c r="A91" s="13">
        <v>35</v>
      </c>
      <c r="B91" s="14" t="s">
        <v>879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880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881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882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883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884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885</v>
      </c>
      <c r="C101" s="21">
        <f>data!C332+data!C334+data!C335+data!C336+data!C337-data!C338</f>
        <v>2817036549.7800021</v>
      </c>
    </row>
    <row r="102" spans="1:3" ht="20.100000000000001" customHeight="1" x14ac:dyDescent="0.25">
      <c r="A102" s="13">
        <v>46</v>
      </c>
      <c r="B102" s="14" t="s">
        <v>886</v>
      </c>
      <c r="C102" s="21">
        <f>data!D339</f>
        <v>3878355665.8100023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887</v>
      </c>
      <c r="B105" s="5"/>
      <c r="C105" s="6"/>
    </row>
    <row r="106" spans="1:3" ht="20.100000000000001" customHeight="1" x14ac:dyDescent="0.25">
      <c r="A106" s="45"/>
      <c r="B106" s="8"/>
      <c r="C106" s="167" t="s">
        <v>888</v>
      </c>
    </row>
    <row r="107" spans="1:3" ht="20.100000000000001" customHeight="1" x14ac:dyDescent="0.25">
      <c r="A107" s="29" t="str">
        <f>"HOSPITAL: "&amp;data!C84</f>
        <v>HOSPITAL: Seattle Children's</v>
      </c>
      <c r="B107" s="30"/>
      <c r="C107" s="31" t="str">
        <f>" FYE: "&amp;data!C82</f>
        <v xml:space="preserve"> FYE: 09/30/2019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889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1754258239.02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1020402294.62</v>
      </c>
    </row>
    <row r="112" spans="1:3" ht="20.100000000000001" customHeight="1" x14ac:dyDescent="0.25">
      <c r="A112" s="13">
        <v>4</v>
      </c>
      <c r="B112" s="14" t="s">
        <v>890</v>
      </c>
      <c r="C112" s="21">
        <f>data!D361</f>
        <v>2774660533.6399999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891</v>
      </c>
      <c r="C114" s="36"/>
    </row>
    <row r="115" spans="1:3" ht="20.100000000000001" customHeight="1" x14ac:dyDescent="0.25">
      <c r="A115" s="13">
        <v>7</v>
      </c>
      <c r="B115" s="265" t="s">
        <v>450</v>
      </c>
      <c r="C115" s="48">
        <f>data!C363</f>
        <v>2406776.77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1296819160.3</v>
      </c>
    </row>
    <row r="117" spans="1:3" ht="20.100000000000001" customHeight="1" x14ac:dyDescent="0.25">
      <c r="A117" s="13">
        <v>9</v>
      </c>
      <c r="B117" s="14" t="s">
        <v>892</v>
      </c>
      <c r="C117" s="48">
        <f>data!C365</f>
        <v>25929145.949999999</v>
      </c>
    </row>
    <row r="118" spans="1:3" ht="20.100000000000001" customHeight="1" x14ac:dyDescent="0.25">
      <c r="A118" s="13">
        <v>10</v>
      </c>
      <c r="B118" s="14" t="s">
        <v>893</v>
      </c>
      <c r="C118" s="48">
        <f>data!C366</f>
        <v>17117981.560000002</v>
      </c>
    </row>
    <row r="119" spans="1:3" ht="20.100000000000001" customHeight="1" x14ac:dyDescent="0.25">
      <c r="A119" s="13">
        <v>11</v>
      </c>
      <c r="B119" s="14" t="s">
        <v>836</v>
      </c>
      <c r="C119" s="48">
        <f>data!D367</f>
        <v>1342273064.5799999</v>
      </c>
    </row>
    <row r="120" spans="1:3" ht="20.100000000000001" customHeight="1" x14ac:dyDescent="0.25">
      <c r="A120" s="13">
        <v>12</v>
      </c>
      <c r="B120" s="14" t="s">
        <v>894</v>
      </c>
      <c r="C120" s="48">
        <f>data!D368</f>
        <v>1432387469.0599999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291279525.48000002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895</v>
      </c>
      <c r="C125" s="48">
        <f>data!D372</f>
        <v>291279525.48000002</v>
      </c>
    </row>
    <row r="126" spans="1:3" ht="20.100000000000001" customHeight="1" x14ac:dyDescent="0.25">
      <c r="A126" s="13">
        <v>18</v>
      </c>
      <c r="B126" s="14" t="s">
        <v>896</v>
      </c>
      <c r="C126" s="48">
        <f>data!D373</f>
        <v>1723666994.54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897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636328080.69000006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171364395.94999999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0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187692224.5</v>
      </c>
    </row>
    <row r="133" spans="1:3" ht="20.100000000000001" customHeight="1" x14ac:dyDescent="0.25">
      <c r="A133" s="13">
        <v>25</v>
      </c>
      <c r="B133" s="14" t="s">
        <v>898</v>
      </c>
      <c r="C133" s="48">
        <f>data!C382</f>
        <v>14680051.18</v>
      </c>
    </row>
    <row r="134" spans="1:3" ht="20.100000000000001" customHeight="1" x14ac:dyDescent="0.25">
      <c r="A134" s="13">
        <v>26</v>
      </c>
      <c r="B134" s="14" t="s">
        <v>899</v>
      </c>
      <c r="C134" s="48">
        <f>data!C383</f>
        <v>339397040.73000002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95954790.120000005</v>
      </c>
    </row>
    <row r="136" spans="1:3" ht="20.100000000000001" customHeight="1" x14ac:dyDescent="0.25">
      <c r="A136" s="13">
        <v>28</v>
      </c>
      <c r="B136" s="14" t="s">
        <v>900</v>
      </c>
      <c r="C136" s="48">
        <f>data!C385</f>
        <v>32485639.650000002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7041772.709999999</v>
      </c>
    </row>
    <row r="138" spans="1:3" ht="20.100000000000001" customHeight="1" x14ac:dyDescent="0.25">
      <c r="A138" s="13">
        <v>30</v>
      </c>
      <c r="B138" s="14" t="s">
        <v>901</v>
      </c>
      <c r="C138" s="48">
        <f>data!C387</f>
        <v>46768157.359999999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15254982.23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61635874.429999992</v>
      </c>
    </row>
    <row r="141" spans="1:3" ht="20.100000000000001" customHeight="1" x14ac:dyDescent="0.25">
      <c r="A141" s="13">
        <v>34</v>
      </c>
      <c r="B141" s="14" t="s">
        <v>902</v>
      </c>
      <c r="C141" s="48">
        <f>data!D390</f>
        <v>1608603009.5500002</v>
      </c>
    </row>
    <row r="142" spans="1:3" ht="20.100000000000001" customHeight="1" x14ac:dyDescent="0.25">
      <c r="A142" s="13">
        <v>35</v>
      </c>
      <c r="B142" s="14" t="s">
        <v>903</v>
      </c>
      <c r="C142" s="48">
        <f>data!D391</f>
        <v>115063984.98999977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904</v>
      </c>
      <c r="C144" s="48">
        <f>data!C392</f>
        <v>46719121.789999999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905</v>
      </c>
      <c r="C146" s="21">
        <f>data!D393</f>
        <v>161783106.77999976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906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907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908</v>
      </c>
      <c r="C151" s="48">
        <f>data!D396</f>
        <v>161783106.77999976</v>
      </c>
    </row>
    <row r="152" spans="1:3" ht="20.100000000000001" customHeight="1" x14ac:dyDescent="0.25">
      <c r="A152" s="40">
        <v>45</v>
      </c>
      <c r="B152" s="49" t="s">
        <v>909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topLeftCell="A226" zoomScale="65" workbookViewId="0">
      <selection activeCell="D87" sqref="D87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910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911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Seattle Children's</v>
      </c>
      <c r="B4" s="77"/>
      <c r="C4" s="77"/>
      <c r="D4" s="77"/>
      <c r="E4" s="77"/>
      <c r="F4" s="77"/>
      <c r="G4" s="80"/>
      <c r="H4" s="79" t="str">
        <f>"FYE: "&amp;data!C82</f>
        <v>FYE: 09/30/2019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912</v>
      </c>
      <c r="C6" s="88" t="s">
        <v>92</v>
      </c>
      <c r="D6" s="18" t="s">
        <v>913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914</v>
      </c>
      <c r="E7" s="18" t="s">
        <v>163</v>
      </c>
      <c r="F7" s="18" t="s">
        <v>915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916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26349</v>
      </c>
      <c r="D9" s="14">
        <f>data!D59</f>
        <v>0</v>
      </c>
      <c r="E9" s="14">
        <f>data!E59</f>
        <v>64221</v>
      </c>
      <c r="F9" s="14">
        <f>data!F59</f>
        <v>0</v>
      </c>
      <c r="G9" s="14">
        <f>data!G59</f>
        <v>3304</v>
      </c>
      <c r="H9" s="14">
        <f>data!H59</f>
        <v>12292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440.87528900076921</v>
      </c>
      <c r="D10" s="26">
        <f>data!D60</f>
        <v>0</v>
      </c>
      <c r="E10" s="26">
        <f>data!E60</f>
        <v>563.02075844120191</v>
      </c>
      <c r="F10" s="26">
        <f>data!F60</f>
        <v>0</v>
      </c>
      <c r="G10" s="26">
        <f>data!G60</f>
        <v>34.969684074567304</v>
      </c>
      <c r="H10" s="26">
        <f>data!H60</f>
        <v>135.85299381812499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39127082.140000001</v>
      </c>
      <c r="D11" s="14">
        <f>data!D61</f>
        <v>0</v>
      </c>
      <c r="E11" s="14">
        <f>data!E61</f>
        <v>49197781.850000009</v>
      </c>
      <c r="F11" s="14">
        <f>data!F61</f>
        <v>0</v>
      </c>
      <c r="G11" s="14">
        <f>data!G61</f>
        <v>3221821.9800000004</v>
      </c>
      <c r="H11" s="14">
        <f>data!H61</f>
        <v>9180913.8499999996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0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3957814.2900000005</v>
      </c>
      <c r="D14" s="14">
        <f>data!D64</f>
        <v>0</v>
      </c>
      <c r="E14" s="14">
        <f>data!E64</f>
        <v>4227556.0900000008</v>
      </c>
      <c r="F14" s="14">
        <f>data!F64</f>
        <v>0</v>
      </c>
      <c r="G14" s="14">
        <f>data!G64</f>
        <v>173346.37</v>
      </c>
      <c r="H14" s="14">
        <f>data!H64</f>
        <v>282253.45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1131.1200000000001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1396.05</v>
      </c>
      <c r="H15" s="14">
        <f>data!H65</f>
        <v>0</v>
      </c>
      <c r="I15" s="14">
        <f>data!I65</f>
        <v>0</v>
      </c>
      <c r="M15" s="261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13955787.210000003</v>
      </c>
      <c r="D16" s="14">
        <f>data!D66</f>
        <v>0</v>
      </c>
      <c r="E16" s="14">
        <f>data!E66</f>
        <v>4359404.97</v>
      </c>
      <c r="F16" s="14">
        <f>data!F66</f>
        <v>0</v>
      </c>
      <c r="G16" s="14">
        <f>data!G66</f>
        <v>246478.54000000004</v>
      </c>
      <c r="H16" s="14">
        <f>data!H66</f>
        <v>321437.09000000003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0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57844.94</v>
      </c>
      <c r="D18" s="14">
        <f>data!D68</f>
        <v>0</v>
      </c>
      <c r="E18" s="14">
        <f>data!E68</f>
        <v>300035.81</v>
      </c>
      <c r="F18" s="14">
        <f>data!F68</f>
        <v>0</v>
      </c>
      <c r="G18" s="14">
        <f>data!G68</f>
        <v>54312.68</v>
      </c>
      <c r="H18" s="14">
        <f>data!H68</f>
        <v>50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168569.55</v>
      </c>
      <c r="D19" s="14">
        <f>data!D69</f>
        <v>0</v>
      </c>
      <c r="E19" s="14">
        <f>data!E69</f>
        <v>183185.24</v>
      </c>
      <c r="F19" s="14">
        <f>data!F69</f>
        <v>0</v>
      </c>
      <c r="G19" s="14">
        <f>data!G69</f>
        <v>8601.35</v>
      </c>
      <c r="H19" s="14">
        <f>data!H69</f>
        <v>41142.810000000005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-1250</v>
      </c>
      <c r="F20" s="14">
        <f>-data!F70</f>
        <v>0</v>
      </c>
      <c r="G20" s="14">
        <f>-data!G70</f>
        <v>0</v>
      </c>
      <c r="H20" s="14">
        <f>-data!H70</f>
        <v>-13078.07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917</v>
      </c>
      <c r="C21" s="14">
        <f>data!C71</f>
        <v>57268229.249999993</v>
      </c>
      <c r="D21" s="14">
        <f>data!D71</f>
        <v>0</v>
      </c>
      <c r="E21" s="14">
        <f>data!E71</f>
        <v>58266713.960000016</v>
      </c>
      <c r="F21" s="14">
        <f>data!F71</f>
        <v>0</v>
      </c>
      <c r="G21" s="14">
        <f>data!G71</f>
        <v>3705956.9700000007</v>
      </c>
      <c r="H21" s="14">
        <f>data!H71</f>
        <v>9812719.129999999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06"/>
      <c r="D22" s="207"/>
      <c r="E22" s="207"/>
      <c r="F22" s="207"/>
      <c r="G22" s="207"/>
      <c r="H22" s="207"/>
      <c r="I22" s="207"/>
    </row>
    <row r="23" spans="1:9" ht="20.100000000000001" customHeight="1" x14ac:dyDescent="0.25">
      <c r="A23" s="23">
        <v>18</v>
      </c>
      <c r="B23" s="14" t="s">
        <v>918</v>
      </c>
      <c r="C23" s="48">
        <f>+data!M668</f>
        <v>65400168</v>
      </c>
      <c r="D23" s="48">
        <f>+data!M669</f>
        <v>0</v>
      </c>
      <c r="E23" s="48">
        <f>+data!M670</f>
        <v>77326967</v>
      </c>
      <c r="F23" s="48">
        <f>+data!M671</f>
        <v>0</v>
      </c>
      <c r="G23" s="48">
        <f>+data!M672</f>
        <v>4195118</v>
      </c>
      <c r="H23" s="48">
        <f>+data!M673</f>
        <v>17103272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919</v>
      </c>
      <c r="C24" s="14">
        <f>data!C73</f>
        <v>442420526.60000002</v>
      </c>
      <c r="D24" s="14">
        <f>data!D73</f>
        <v>0</v>
      </c>
      <c r="E24" s="14">
        <f>data!E73</f>
        <v>369829768.30000001</v>
      </c>
      <c r="F24" s="14">
        <f>data!F73</f>
        <v>0</v>
      </c>
      <c r="G24" s="14">
        <f>data!G73</f>
        <v>20539573.999999996</v>
      </c>
      <c r="H24" s="14">
        <f>data!H73</f>
        <v>89400560.699999988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920</v>
      </c>
      <c r="C25" s="14">
        <f>data!C74</f>
        <v>432029.8</v>
      </c>
      <c r="D25" s="14">
        <f>data!D74</f>
        <v>0</v>
      </c>
      <c r="E25" s="14">
        <f>data!E74</f>
        <v>26613982.000000004</v>
      </c>
      <c r="F25" s="14">
        <f>data!F74</f>
        <v>0</v>
      </c>
      <c r="G25" s="14">
        <f>data!G74</f>
        <v>1172555.6000000001</v>
      </c>
      <c r="H25" s="14">
        <f>data!H74</f>
        <v>31241</v>
      </c>
      <c r="I25" s="14">
        <f>data!I74</f>
        <v>0</v>
      </c>
    </row>
    <row r="26" spans="1:9" ht="18" customHeight="1" x14ac:dyDescent="0.25">
      <c r="A26" s="23">
        <v>21</v>
      </c>
      <c r="B26" s="48" t="s">
        <v>921</v>
      </c>
      <c r="C26" s="14">
        <f>data!C75</f>
        <v>442852556.40000004</v>
      </c>
      <c r="D26" s="14">
        <f>data!D75</f>
        <v>0</v>
      </c>
      <c r="E26" s="14">
        <f>data!E75</f>
        <v>396443750.30000001</v>
      </c>
      <c r="F26" s="14">
        <f>data!F75</f>
        <v>0</v>
      </c>
      <c r="G26" s="14">
        <f>data!G75</f>
        <v>21712129.599999998</v>
      </c>
      <c r="H26" s="14">
        <f>data!H75</f>
        <v>89431801.699999988</v>
      </c>
      <c r="I26" s="14">
        <f>data!I75</f>
        <v>0</v>
      </c>
    </row>
    <row r="27" spans="1:9" ht="20.100000000000001" customHeight="1" x14ac:dyDescent="0.25">
      <c r="A27" s="23" t="s">
        <v>922</v>
      </c>
      <c r="B27" s="60"/>
      <c r="C27" s="207"/>
      <c r="D27" s="207"/>
      <c r="E27" s="207"/>
      <c r="F27" s="207"/>
      <c r="G27" s="207"/>
      <c r="H27" s="207"/>
      <c r="I27" s="207"/>
    </row>
    <row r="28" spans="1:9" ht="20.100000000000001" customHeight="1" x14ac:dyDescent="0.25">
      <c r="A28" s="23">
        <v>22</v>
      </c>
      <c r="B28" s="14" t="s">
        <v>923</v>
      </c>
      <c r="C28" s="14">
        <f>data!C76</f>
        <v>74287.567999999999</v>
      </c>
      <c r="D28" s="14">
        <f>data!D76</f>
        <v>0</v>
      </c>
      <c r="E28" s="14">
        <f>data!E76</f>
        <v>221362.16399999999</v>
      </c>
      <c r="F28" s="14">
        <f>data!F76</f>
        <v>0</v>
      </c>
      <c r="G28" s="14">
        <f>data!G76</f>
        <v>11962.39</v>
      </c>
      <c r="H28" s="14">
        <f>data!H76</f>
        <v>61556.491999999998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924</v>
      </c>
      <c r="C29" s="14">
        <f>data!C77</f>
        <v>0</v>
      </c>
      <c r="D29" s="14">
        <f>data!D77</f>
        <v>0</v>
      </c>
      <c r="E29" s="14">
        <f>data!E77</f>
        <v>0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925</v>
      </c>
      <c r="C30" s="14">
        <f>data!C78</f>
        <v>227</v>
      </c>
      <c r="D30" s="14">
        <f>data!D78</f>
        <v>0</v>
      </c>
      <c r="E30" s="14">
        <f>data!E78</f>
        <v>22318</v>
      </c>
      <c r="F30" s="14">
        <f>data!F78</f>
        <v>0</v>
      </c>
      <c r="G30" s="14">
        <f>data!G78</f>
        <v>209</v>
      </c>
      <c r="H30" s="14">
        <f>data!H78</f>
        <v>2168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926</v>
      </c>
      <c r="C31" s="14">
        <f>data!C79</f>
        <v>1115228</v>
      </c>
      <c r="D31" s="14">
        <f>data!D79</f>
        <v>0</v>
      </c>
      <c r="E31" s="14">
        <f>data!E79</f>
        <v>1589861</v>
      </c>
      <c r="F31" s="14">
        <f>data!F79</f>
        <v>0</v>
      </c>
      <c r="G31" s="14">
        <f>data!G79</f>
        <v>38072</v>
      </c>
      <c r="H31" s="14">
        <f>data!H79</f>
        <v>230750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329.83001871514426</v>
      </c>
      <c r="D32" s="84">
        <f>data!D80</f>
        <v>0</v>
      </c>
      <c r="E32" s="84">
        <f>data!E80</f>
        <v>422.08266163447115</v>
      </c>
      <c r="F32" s="84">
        <f>data!F80</f>
        <v>0</v>
      </c>
      <c r="G32" s="84">
        <f>data!G80</f>
        <v>23.484523781923073</v>
      </c>
      <c r="H32" s="84">
        <f>data!H80</f>
        <v>35.404777420673071</v>
      </c>
      <c r="I32" s="84">
        <f>data!I80</f>
        <v>0</v>
      </c>
    </row>
    <row r="33" spans="1:9" ht="20.100000000000001" customHeight="1" x14ac:dyDescent="0.25">
      <c r="A33" s="4" t="s">
        <v>910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927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Seattle Children's</v>
      </c>
      <c r="B36" s="77"/>
      <c r="C36" s="77"/>
      <c r="D36" s="77"/>
      <c r="E36" s="77"/>
      <c r="F36" s="77"/>
      <c r="G36" s="80"/>
      <c r="H36" s="79" t="str">
        <f>"FYE: "&amp;data!C82</f>
        <v>FYE: 09/30/2019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912</v>
      </c>
      <c r="C38" s="25"/>
      <c r="D38" s="18" t="s">
        <v>100</v>
      </c>
      <c r="E38" s="18" t="s">
        <v>101</v>
      </c>
      <c r="F38" s="18" t="s">
        <v>928</v>
      </c>
      <c r="G38" s="18" t="s">
        <v>103</v>
      </c>
      <c r="H38" s="18" t="s">
        <v>929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916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1629865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197.73794511677886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18329304.16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0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23621251.949999992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922.29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3053706.2899999996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0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32492.04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1591998.33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-2750</v>
      </c>
    </row>
    <row r="53" spans="1:9" ht="20.100000000000001" customHeight="1" x14ac:dyDescent="0.25">
      <c r="A53" s="23">
        <v>16</v>
      </c>
      <c r="B53" s="48" t="s">
        <v>917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46626925.059999987</v>
      </c>
    </row>
    <row r="54" spans="1:9" ht="20.100000000000001" customHeight="1" x14ac:dyDescent="0.25">
      <c r="A54" s="23">
        <v>17</v>
      </c>
      <c r="B54" s="14" t="s">
        <v>244</v>
      </c>
      <c r="C54" s="207"/>
      <c r="D54" s="207"/>
      <c r="E54" s="207"/>
      <c r="F54" s="207"/>
      <c r="G54" s="207"/>
      <c r="H54" s="207"/>
      <c r="I54" s="207"/>
    </row>
    <row r="55" spans="1:9" ht="20.100000000000001" customHeight="1" x14ac:dyDescent="0.25">
      <c r="A55" s="23">
        <v>18</v>
      </c>
      <c r="B55" s="14" t="s">
        <v>918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47346750</v>
      </c>
    </row>
    <row r="56" spans="1:9" ht="20.100000000000001" customHeight="1" x14ac:dyDescent="0.25">
      <c r="A56" s="23">
        <v>19</v>
      </c>
      <c r="B56" s="48" t="s">
        <v>919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164020990.89000002</v>
      </c>
    </row>
    <row r="57" spans="1:9" ht="20.100000000000001" customHeight="1" x14ac:dyDescent="0.25">
      <c r="A57" s="23">
        <v>20</v>
      </c>
      <c r="B57" s="48" t="s">
        <v>920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136823370.34</v>
      </c>
    </row>
    <row r="58" spans="1:9" ht="20.100000000000001" customHeight="1" x14ac:dyDescent="0.25">
      <c r="A58" s="23">
        <v>21</v>
      </c>
      <c r="B58" s="48" t="s">
        <v>921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300844361.23000002</v>
      </c>
    </row>
    <row r="59" spans="1:9" ht="20.100000000000001" customHeight="1" x14ac:dyDescent="0.25">
      <c r="A59" s="23" t="s">
        <v>922</v>
      </c>
      <c r="B59" s="60"/>
      <c r="C59" s="207"/>
      <c r="D59" s="207"/>
      <c r="E59" s="207"/>
      <c r="F59" s="207"/>
      <c r="G59" s="207"/>
      <c r="H59" s="207"/>
      <c r="I59" s="207"/>
    </row>
    <row r="60" spans="1:9" ht="20.100000000000001" customHeight="1" x14ac:dyDescent="0.25">
      <c r="A60" s="23">
        <v>22</v>
      </c>
      <c r="B60" s="14" t="s">
        <v>923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99722.272694497195</v>
      </c>
    </row>
    <row r="61" spans="1:9" ht="20.100000000000001" customHeight="1" x14ac:dyDescent="0.25">
      <c r="A61" s="23">
        <v>23</v>
      </c>
      <c r="B61" s="14" t="s">
        <v>924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925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4930</v>
      </c>
    </row>
    <row r="63" spans="1:9" ht="20.100000000000001" customHeight="1" x14ac:dyDescent="0.25">
      <c r="A63" s="23">
        <v>25</v>
      </c>
      <c r="B63" s="14" t="s">
        <v>926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73.774646096298085</v>
      </c>
    </row>
    <row r="65" spans="1:9" ht="20.100000000000001" customHeight="1" x14ac:dyDescent="0.25">
      <c r="A65" s="4" t="s">
        <v>910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930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Seattle Children's</v>
      </c>
      <c r="B68" s="77"/>
      <c r="C68" s="77"/>
      <c r="D68" s="77"/>
      <c r="E68" s="77"/>
      <c r="F68" s="77"/>
      <c r="G68" s="80"/>
      <c r="H68" s="79" t="str">
        <f>"FYE: "&amp;data!C82</f>
        <v>FYE: 09/30/2019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912</v>
      </c>
      <c r="C70" s="18" t="s">
        <v>106</v>
      </c>
      <c r="D70" s="25"/>
      <c r="E70" s="18" t="s">
        <v>108</v>
      </c>
      <c r="F70" s="18" t="s">
        <v>931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932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916</v>
      </c>
      <c r="C72" s="15" t="s">
        <v>933</v>
      </c>
      <c r="D72" s="89" t="s">
        <v>934</v>
      </c>
      <c r="E72" s="208"/>
      <c r="F72" s="208"/>
      <c r="G72" s="89" t="s">
        <v>935</v>
      </c>
      <c r="H72" s="89" t="s">
        <v>935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1304740</v>
      </c>
      <c r="D73" s="48">
        <f>data!R59</f>
        <v>2289260</v>
      </c>
      <c r="E73" s="208"/>
      <c r="F73" s="208"/>
      <c r="G73" s="14">
        <f>data!U59</f>
        <v>1348167</v>
      </c>
      <c r="H73" s="14">
        <f>data!V59</f>
        <v>38896</v>
      </c>
      <c r="I73" s="14">
        <f>data!W59</f>
        <v>177339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69.81113457990385</v>
      </c>
      <c r="D74" s="26">
        <f>data!R60</f>
        <v>22.477237208413463</v>
      </c>
      <c r="E74" s="26">
        <f>data!S60</f>
        <v>93.327837122692316</v>
      </c>
      <c r="F74" s="26">
        <f>data!T60</f>
        <v>14.692797816442306</v>
      </c>
      <c r="G74" s="26">
        <f>data!U60</f>
        <v>215.45422856879807</v>
      </c>
      <c r="H74" s="26">
        <f>data!V60</f>
        <v>56.790742401210828</v>
      </c>
      <c r="I74" s="26">
        <f>data!W60</f>
        <v>9.3642263955288438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7726690.7299999995</v>
      </c>
      <c r="D75" s="14">
        <f>data!R61</f>
        <v>1485090.4000000001</v>
      </c>
      <c r="E75" s="14">
        <f>data!S61</f>
        <v>5672865.3700000001</v>
      </c>
      <c r="F75" s="14">
        <f>data!T61</f>
        <v>771265.80000000016</v>
      </c>
      <c r="G75" s="14">
        <f>data!U61</f>
        <v>20087970.109999999</v>
      </c>
      <c r="H75" s="14">
        <f>data!V61</f>
        <v>5230495.05</v>
      </c>
      <c r="I75" s="14">
        <f>data!W61</f>
        <v>1173984.8500000001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0</v>
      </c>
      <c r="F76" s="14">
        <f>data!T62</f>
        <v>0</v>
      </c>
      <c r="G76" s="14">
        <f>data!U62</f>
        <v>0</v>
      </c>
      <c r="H76" s="14">
        <f>data!V62</f>
        <v>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354006.89</v>
      </c>
      <c r="D78" s="14">
        <f>data!R64</f>
        <v>1708087.24</v>
      </c>
      <c r="E78" s="14">
        <f>data!S64</f>
        <v>960974.4299999997</v>
      </c>
      <c r="F78" s="14">
        <f>data!T64</f>
        <v>159181.23000000001</v>
      </c>
      <c r="G78" s="14">
        <f>data!U64</f>
        <v>9216110.4999999981</v>
      </c>
      <c r="H78" s="14">
        <f>data!V64</f>
        <v>262587.96000000002</v>
      </c>
      <c r="I78" s="14">
        <f>data!W64</f>
        <v>80887.23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2935.48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1948.1200000000001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608054.6399999999</v>
      </c>
      <c r="D80" s="14">
        <f>data!R66</f>
        <v>1645023.72</v>
      </c>
      <c r="E80" s="14">
        <f>data!S66</f>
        <v>3302902.4900000007</v>
      </c>
      <c r="F80" s="14">
        <f>data!T66</f>
        <v>0</v>
      </c>
      <c r="G80" s="14">
        <f>data!U66</f>
        <v>9184701.0200000014</v>
      </c>
      <c r="H80" s="14">
        <f>data!V66</f>
        <v>637376.29</v>
      </c>
      <c r="I80" s="14">
        <f>data!W66</f>
        <v>33360.51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0</v>
      </c>
      <c r="F81" s="14">
        <f>data!T67</f>
        <v>0</v>
      </c>
      <c r="G81" s="14">
        <f>data!U67</f>
        <v>0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225631.34999999998</v>
      </c>
      <c r="F82" s="14">
        <f>data!T68</f>
        <v>0</v>
      </c>
      <c r="G82" s="14">
        <f>data!U68</f>
        <v>0</v>
      </c>
      <c r="H82" s="14">
        <f>data!V68</f>
        <v>337678.07000000007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44163.380000000005</v>
      </c>
      <c r="D83" s="14">
        <f>data!R69</f>
        <v>79820.450000000012</v>
      </c>
      <c r="E83" s="14">
        <f>data!S69</f>
        <v>162526.9</v>
      </c>
      <c r="F83" s="14">
        <f>data!T69</f>
        <v>-100493.45</v>
      </c>
      <c r="G83" s="14">
        <f>data!U69</f>
        <v>1389693.7199999997</v>
      </c>
      <c r="H83" s="14">
        <f>data!V69</f>
        <v>233644.30000000002</v>
      </c>
      <c r="I83" s="14">
        <f>data!W69</f>
        <v>630784.25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-2947420.6899999995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917</v>
      </c>
      <c r="C85" s="14">
        <f>data!Q71</f>
        <v>8735851.120000001</v>
      </c>
      <c r="D85" s="14">
        <f>data!R71</f>
        <v>4918021.8100000005</v>
      </c>
      <c r="E85" s="14">
        <f>data!S71</f>
        <v>10324900.540000001</v>
      </c>
      <c r="F85" s="14">
        <f>data!T71</f>
        <v>829953.58000000019</v>
      </c>
      <c r="G85" s="14">
        <f>data!U71</f>
        <v>36931054.660000004</v>
      </c>
      <c r="H85" s="14">
        <f>data!V71</f>
        <v>6703729.79</v>
      </c>
      <c r="I85" s="14">
        <f>data!W71</f>
        <v>1919016.84</v>
      </c>
    </row>
    <row r="86" spans="1:9" ht="20.100000000000001" customHeight="1" x14ac:dyDescent="0.25">
      <c r="A86" s="23">
        <v>17</v>
      </c>
      <c r="B86" s="14" t="s">
        <v>244</v>
      </c>
      <c r="C86" s="207"/>
      <c r="D86" s="207"/>
      <c r="E86" s="207"/>
      <c r="F86" s="207"/>
      <c r="G86" s="207"/>
      <c r="H86" s="207"/>
      <c r="I86" s="207"/>
    </row>
    <row r="87" spans="1:9" ht="20.100000000000001" customHeight="1" x14ac:dyDescent="0.25">
      <c r="A87" s="23">
        <v>18</v>
      </c>
      <c r="B87" s="14" t="s">
        <v>918</v>
      </c>
      <c r="C87" s="48">
        <f>+data!M682</f>
        <v>6364805</v>
      </c>
      <c r="D87" s="48">
        <f>+data!M683</f>
        <v>10704828</v>
      </c>
      <c r="E87" s="48">
        <f>+data!M684</f>
        <v>6946215</v>
      </c>
      <c r="F87" s="48">
        <f>+data!M685</f>
        <v>389421</v>
      </c>
      <c r="G87" s="48">
        <f>+data!M686</f>
        <v>35405597</v>
      </c>
      <c r="H87" s="48">
        <f>+data!M687</f>
        <v>8795005</v>
      </c>
      <c r="I87" s="48">
        <f>+data!M688</f>
        <v>4323077</v>
      </c>
    </row>
    <row r="88" spans="1:9" ht="20.100000000000001" customHeight="1" x14ac:dyDescent="0.25">
      <c r="A88" s="23">
        <v>19</v>
      </c>
      <c r="B88" s="48" t="s">
        <v>919</v>
      </c>
      <c r="C88" s="14">
        <f>data!Q73</f>
        <v>10199223.4</v>
      </c>
      <c r="D88" s="14">
        <f>data!R73</f>
        <v>43734639.200000003</v>
      </c>
      <c r="E88" s="14">
        <f>data!S73</f>
        <v>9584717.5300000012</v>
      </c>
      <c r="F88" s="14">
        <f>data!T73</f>
        <v>0</v>
      </c>
      <c r="G88" s="14">
        <f>data!U73</f>
        <v>102015215.99999999</v>
      </c>
      <c r="H88" s="14">
        <f>data!V73</f>
        <v>22539481.199999999</v>
      </c>
      <c r="I88" s="14">
        <f>data!W73</f>
        <v>8826993.3600000013</v>
      </c>
    </row>
    <row r="89" spans="1:9" ht="20.100000000000001" customHeight="1" x14ac:dyDescent="0.25">
      <c r="A89" s="23">
        <v>20</v>
      </c>
      <c r="B89" s="48" t="s">
        <v>920</v>
      </c>
      <c r="C89" s="14">
        <f>data!Q74</f>
        <v>23442911.599999998</v>
      </c>
      <c r="D89" s="14">
        <f>data!R74</f>
        <v>42734985.100000001</v>
      </c>
      <c r="E89" s="14">
        <f>data!S74</f>
        <v>9246522.0500000026</v>
      </c>
      <c r="F89" s="14">
        <f>data!T74</f>
        <v>0</v>
      </c>
      <c r="G89" s="14">
        <f>data!U74</f>
        <v>77682651.159999996</v>
      </c>
      <c r="H89" s="14">
        <f>data!V74</f>
        <v>43627981.199999996</v>
      </c>
      <c r="I89" s="14">
        <f>data!W74</f>
        <v>31354632.960000001</v>
      </c>
    </row>
    <row r="90" spans="1:9" ht="20.100000000000001" customHeight="1" x14ac:dyDescent="0.25">
      <c r="A90" s="23">
        <v>21</v>
      </c>
      <c r="B90" s="48" t="s">
        <v>921</v>
      </c>
      <c r="C90" s="14">
        <f>data!Q75</f>
        <v>33642135</v>
      </c>
      <c r="D90" s="14">
        <f>data!R75</f>
        <v>86469624.300000012</v>
      </c>
      <c r="E90" s="14">
        <f>data!S75</f>
        <v>18831239.580000006</v>
      </c>
      <c r="F90" s="14">
        <f>data!T75</f>
        <v>0</v>
      </c>
      <c r="G90" s="14">
        <f>data!U75</f>
        <v>179697867.15999997</v>
      </c>
      <c r="H90" s="14">
        <f>data!V75</f>
        <v>66167462.399999991</v>
      </c>
      <c r="I90" s="14">
        <f>data!W75</f>
        <v>40181626.32</v>
      </c>
    </row>
    <row r="91" spans="1:9" ht="20.100000000000001" customHeight="1" x14ac:dyDescent="0.25">
      <c r="A91" s="23" t="s">
        <v>922</v>
      </c>
      <c r="B91" s="60"/>
      <c r="C91" s="207"/>
      <c r="D91" s="207"/>
      <c r="E91" s="207"/>
      <c r="F91" s="207"/>
      <c r="G91" s="207"/>
      <c r="H91" s="207"/>
      <c r="I91" s="207"/>
    </row>
    <row r="92" spans="1:9" ht="20.100000000000001" customHeight="1" x14ac:dyDescent="0.25">
      <c r="A92" s="23">
        <v>22</v>
      </c>
      <c r="B92" s="14" t="s">
        <v>923</v>
      </c>
      <c r="C92" s="14">
        <f>data!Q76</f>
        <v>9803.7900000000009</v>
      </c>
      <c r="D92" s="14">
        <f>data!R76</f>
        <v>7599.174</v>
      </c>
      <c r="E92" s="14">
        <f>data!S76</f>
        <v>33673.906923076924</v>
      </c>
      <c r="F92" s="14">
        <f>data!T76</f>
        <v>477.67</v>
      </c>
      <c r="G92" s="14">
        <f>data!U76</f>
        <v>44203.38</v>
      </c>
      <c r="H92" s="14">
        <f>data!V76</f>
        <v>5472.7139999999999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924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925</v>
      </c>
      <c r="C94" s="14">
        <f>data!Q78</f>
        <v>1154</v>
      </c>
      <c r="D94" s="14">
        <f>data!R78</f>
        <v>9325</v>
      </c>
      <c r="E94" s="14">
        <f>data!S78</f>
        <v>4355</v>
      </c>
      <c r="F94" s="14">
        <f>data!T78</f>
        <v>91</v>
      </c>
      <c r="G94" s="14">
        <f>data!U78</f>
        <v>120565</v>
      </c>
      <c r="H94" s="14">
        <f>data!V78</f>
        <v>7567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926</v>
      </c>
      <c r="C95" s="14">
        <f>data!Q79</f>
        <v>0</v>
      </c>
      <c r="D95" s="14">
        <f>data!R79</f>
        <v>0</v>
      </c>
      <c r="E95" s="14">
        <f>data!S79</f>
        <v>29114</v>
      </c>
      <c r="F95" s="14">
        <f>data!T79</f>
        <v>0</v>
      </c>
      <c r="G95" s="14">
        <f>data!U79</f>
        <v>0</v>
      </c>
      <c r="H95" s="14">
        <f>data!V79</f>
        <v>49457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52.524235049519234</v>
      </c>
      <c r="D96" s="84">
        <f>data!R80</f>
        <v>0.97546654302884628</v>
      </c>
      <c r="E96" s="84">
        <f>data!S80</f>
        <v>0</v>
      </c>
      <c r="F96" s="84">
        <f>data!T80</f>
        <v>13.775504143365383</v>
      </c>
      <c r="G96" s="84">
        <f>data!U80</f>
        <v>0</v>
      </c>
      <c r="H96" s="84">
        <f>data!V80</f>
        <v>5.4699519230769239E-2</v>
      </c>
      <c r="I96" s="84">
        <f>data!W80</f>
        <v>4.6874999999999998E-3</v>
      </c>
    </row>
    <row r="97" spans="1:9" ht="20.100000000000001" customHeight="1" x14ac:dyDescent="0.25">
      <c r="A97" s="4" t="s">
        <v>910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936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Seattle Children's</v>
      </c>
      <c r="B100" s="77"/>
      <c r="C100" s="77"/>
      <c r="D100" s="77"/>
      <c r="E100" s="77"/>
      <c r="F100" s="77"/>
      <c r="G100" s="80"/>
      <c r="H100" s="79" t="str">
        <f>"FYE: "&amp;data!C82</f>
        <v>FYE: 09/30/2019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912</v>
      </c>
      <c r="C102" s="18" t="s">
        <v>937</v>
      </c>
      <c r="D102" s="18" t="s">
        <v>938</v>
      </c>
      <c r="E102" s="18" t="s">
        <v>938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916</v>
      </c>
      <c r="C104" s="89" t="s">
        <v>224</v>
      </c>
      <c r="D104" s="15" t="s">
        <v>939</v>
      </c>
      <c r="E104" s="15" t="s">
        <v>939</v>
      </c>
      <c r="F104" s="15" t="s">
        <v>939</v>
      </c>
      <c r="G104" s="208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70089</v>
      </c>
      <c r="D105" s="14">
        <f>data!Y59</f>
        <v>169839</v>
      </c>
      <c r="E105" s="14">
        <f>data!Z59</f>
        <v>0</v>
      </c>
      <c r="F105" s="14">
        <f>data!AA59</f>
        <v>6140</v>
      </c>
      <c r="G105" s="208"/>
      <c r="H105" s="14">
        <f>data!AC59</f>
        <v>211798</v>
      </c>
      <c r="I105" s="14">
        <f>data!AD59</f>
        <v>12851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10.321781016442308</v>
      </c>
      <c r="D106" s="26">
        <f>data!Y60</f>
        <v>103.90500204512098</v>
      </c>
      <c r="E106" s="26">
        <f>data!Z60</f>
        <v>4.4984276538461543E-2</v>
      </c>
      <c r="F106" s="26">
        <f>data!AA60</f>
        <v>4.0959493603365384</v>
      </c>
      <c r="G106" s="26">
        <f>data!AB60</f>
        <v>188.93410824529323</v>
      </c>
      <c r="H106" s="26">
        <f>data!AC60</f>
        <v>128.21707271913462</v>
      </c>
      <c r="I106" s="26">
        <f>data!AD60</f>
        <v>34.306853882932685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1164817.6300000001</v>
      </c>
      <c r="D107" s="14">
        <f>data!Y61</f>
        <v>9929428.9900000021</v>
      </c>
      <c r="E107" s="14">
        <f>data!Z61</f>
        <v>5555.04</v>
      </c>
      <c r="F107" s="14">
        <f>data!AA61</f>
        <v>480631.19999999995</v>
      </c>
      <c r="G107" s="14">
        <f>data!AB61</f>
        <v>19511439.059999999</v>
      </c>
      <c r="H107" s="14">
        <f>data!AC61</f>
        <v>11022059.310000001</v>
      </c>
      <c r="I107" s="14">
        <f>data!AD61</f>
        <v>3573164.6999999997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0</v>
      </c>
      <c r="E108" s="14">
        <f>data!Z62</f>
        <v>0</v>
      </c>
      <c r="F108" s="14">
        <f>data!AA62</f>
        <v>0</v>
      </c>
      <c r="G108" s="14">
        <f>data!AB62</f>
        <v>0</v>
      </c>
      <c r="H108" s="14">
        <f>data!AC62</f>
        <v>0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65931.450000000012</v>
      </c>
      <c r="D110" s="14">
        <f>data!Y64</f>
        <v>5097982.46</v>
      </c>
      <c r="E110" s="14">
        <f>data!Z64</f>
        <v>2329.1200000000003</v>
      </c>
      <c r="F110" s="14">
        <f>data!AA64</f>
        <v>683527.18</v>
      </c>
      <c r="G110" s="14">
        <f>data!AB64</f>
        <v>85609220.48999998</v>
      </c>
      <c r="H110" s="14">
        <f>data!AC64</f>
        <v>3811463.62</v>
      </c>
      <c r="I110" s="14">
        <f>data!AD64</f>
        <v>1221187.6700000002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689.75</v>
      </c>
      <c r="E111" s="14">
        <f>data!Z65</f>
        <v>0</v>
      </c>
      <c r="F111" s="14">
        <f>data!AA65</f>
        <v>0</v>
      </c>
      <c r="G111" s="14">
        <f>data!AB65</f>
        <v>473.51</v>
      </c>
      <c r="H111" s="14">
        <f>data!AC65</f>
        <v>440.78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30440.320000000003</v>
      </c>
      <c r="D112" s="14">
        <f>data!Y66</f>
        <v>1630834.62</v>
      </c>
      <c r="E112" s="14">
        <f>data!Z66</f>
        <v>759817.27999999991</v>
      </c>
      <c r="F112" s="14">
        <f>data!AA66</f>
        <v>38025.51</v>
      </c>
      <c r="G112" s="14">
        <f>data!AB66</f>
        <v>417683.06000000006</v>
      </c>
      <c r="H112" s="14">
        <f>data!AC66</f>
        <v>1717067.7100000002</v>
      </c>
      <c r="I112" s="14">
        <f>data!AD66</f>
        <v>389268.58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0</v>
      </c>
      <c r="E113" s="14">
        <f>data!Z67</f>
        <v>0</v>
      </c>
      <c r="F113" s="14">
        <f>data!AA67</f>
        <v>0</v>
      </c>
      <c r="G113" s="14">
        <f>data!AB67</f>
        <v>0</v>
      </c>
      <c r="H113" s="14">
        <f>data!AC67</f>
        <v>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1965.29</v>
      </c>
      <c r="G114" s="14">
        <f>data!AB68</f>
        <v>4516</v>
      </c>
      <c r="H114" s="14">
        <f>data!AC68</f>
        <v>248905.52000000002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620673.29</v>
      </c>
      <c r="D115" s="14">
        <f>data!Y69</f>
        <v>1209940.93</v>
      </c>
      <c r="E115" s="14">
        <f>data!Z69</f>
        <v>0</v>
      </c>
      <c r="F115" s="14">
        <f>data!AA69</f>
        <v>224606.64999999997</v>
      </c>
      <c r="G115" s="14">
        <f>data!AB69</f>
        <v>320702.43</v>
      </c>
      <c r="H115" s="14">
        <f>data!AC69</f>
        <v>185086.29999999996</v>
      </c>
      <c r="I115" s="14">
        <f>data!AD69</f>
        <v>104653.18999999999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-26867.280000000002</v>
      </c>
      <c r="E116" s="14">
        <f>-data!Z70</f>
        <v>-18471.36</v>
      </c>
      <c r="F116" s="14">
        <f>-data!AA70</f>
        <v>0</v>
      </c>
      <c r="G116" s="14">
        <f>-data!AB70</f>
        <v>0</v>
      </c>
      <c r="H116" s="14">
        <f>-data!AC70</f>
        <v>-50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917</v>
      </c>
      <c r="C117" s="14">
        <f>data!X71</f>
        <v>1881862.6900000002</v>
      </c>
      <c r="D117" s="14">
        <f>data!Y71</f>
        <v>17842009.470000003</v>
      </c>
      <c r="E117" s="14">
        <f>data!Z71</f>
        <v>749230.07999999996</v>
      </c>
      <c r="F117" s="14">
        <f>data!AA71</f>
        <v>1428755.8299999998</v>
      </c>
      <c r="G117" s="14">
        <f>data!AB71</f>
        <v>105864034.55</v>
      </c>
      <c r="H117" s="14">
        <f>data!AC71</f>
        <v>16984973.240000002</v>
      </c>
      <c r="I117" s="14">
        <f>data!AD71</f>
        <v>5288274.1400000006</v>
      </c>
    </row>
    <row r="118" spans="1:9" ht="20.100000000000001" customHeight="1" x14ac:dyDescent="0.25">
      <c r="A118" s="23">
        <v>17</v>
      </c>
      <c r="B118" s="14" t="s">
        <v>244</v>
      </c>
      <c r="C118" s="207"/>
      <c r="D118" s="207"/>
      <c r="E118" s="207"/>
      <c r="F118" s="207"/>
      <c r="G118" s="207"/>
      <c r="H118" s="207"/>
      <c r="I118" s="207"/>
    </row>
    <row r="119" spans="1:9" ht="20.100000000000001" customHeight="1" x14ac:dyDescent="0.25">
      <c r="A119" s="23">
        <v>18</v>
      </c>
      <c r="B119" s="14" t="s">
        <v>918</v>
      </c>
      <c r="C119" s="48">
        <f>+data!M689</f>
        <v>3120093</v>
      </c>
      <c r="D119" s="48">
        <f>+data!M690</f>
        <v>20863523</v>
      </c>
      <c r="E119" s="48">
        <f>+data!M691</f>
        <v>311607</v>
      </c>
      <c r="F119" s="48">
        <f>+data!M692</f>
        <v>1319602</v>
      </c>
      <c r="G119" s="48">
        <f>+data!M693</f>
        <v>59882217</v>
      </c>
      <c r="H119" s="48">
        <f>+data!M694</f>
        <v>13820881</v>
      </c>
      <c r="I119" s="48">
        <f>+data!M695</f>
        <v>5202191</v>
      </c>
    </row>
    <row r="120" spans="1:9" ht="20.100000000000001" customHeight="1" x14ac:dyDescent="0.25">
      <c r="A120" s="23">
        <v>19</v>
      </c>
      <c r="B120" s="48" t="s">
        <v>919</v>
      </c>
      <c r="C120" s="14">
        <f>data!X73</f>
        <v>9728743.3499999978</v>
      </c>
      <c r="D120" s="14">
        <f>data!Y73</f>
        <v>45807140.280000001</v>
      </c>
      <c r="E120" s="14">
        <f>data!Z73</f>
        <v>1676408.9</v>
      </c>
      <c r="F120" s="14">
        <f>data!AA73</f>
        <v>1123748.1000000001</v>
      </c>
      <c r="G120" s="14">
        <f>data!AB73</f>
        <v>234439052.41</v>
      </c>
      <c r="H120" s="14">
        <f>data!AC73</f>
        <v>102155555.30000001</v>
      </c>
      <c r="I120" s="14">
        <f>data!AD73</f>
        <v>11367186.399999999</v>
      </c>
    </row>
    <row r="121" spans="1:9" ht="20.100000000000001" customHeight="1" x14ac:dyDescent="0.25">
      <c r="A121" s="23">
        <v>20</v>
      </c>
      <c r="B121" s="48" t="s">
        <v>920</v>
      </c>
      <c r="C121" s="14">
        <f>data!X74</f>
        <v>14842354.949999999</v>
      </c>
      <c r="D121" s="14">
        <f>data!Y74</f>
        <v>80018741.089999989</v>
      </c>
      <c r="E121" s="14">
        <f>data!Z74</f>
        <v>37668.9</v>
      </c>
      <c r="F121" s="14">
        <f>data!AA74</f>
        <v>3770267.0000000005</v>
      </c>
      <c r="G121" s="14">
        <f>data!AB74</f>
        <v>185927315.67000002</v>
      </c>
      <c r="H121" s="14">
        <f>data!AC74</f>
        <v>2399902.2999999998</v>
      </c>
      <c r="I121" s="14">
        <f>data!AD74</f>
        <v>24702800.100000001</v>
      </c>
    </row>
    <row r="122" spans="1:9" ht="20.100000000000001" customHeight="1" x14ac:dyDescent="0.25">
      <c r="A122" s="23">
        <v>21</v>
      </c>
      <c r="B122" s="48" t="s">
        <v>921</v>
      </c>
      <c r="C122" s="14">
        <f>data!X75</f>
        <v>24571098.299999997</v>
      </c>
      <c r="D122" s="14">
        <f>data!Y75</f>
        <v>125825881.36999999</v>
      </c>
      <c r="E122" s="14">
        <f>data!Z75</f>
        <v>1714077.7999999998</v>
      </c>
      <c r="F122" s="14">
        <f>data!AA75</f>
        <v>4894015.1000000006</v>
      </c>
      <c r="G122" s="14">
        <f>data!AB75</f>
        <v>420366368.08000004</v>
      </c>
      <c r="H122" s="14">
        <f>data!AC75</f>
        <v>104555457.60000001</v>
      </c>
      <c r="I122" s="14">
        <f>data!AD75</f>
        <v>36069986.5</v>
      </c>
    </row>
    <row r="123" spans="1:9" ht="20.100000000000001" customHeight="1" x14ac:dyDescent="0.25">
      <c r="A123" s="23" t="s">
        <v>922</v>
      </c>
      <c r="B123" s="60"/>
      <c r="C123" s="207"/>
      <c r="D123" s="207"/>
      <c r="E123" s="207"/>
      <c r="F123" s="207"/>
      <c r="G123" s="207"/>
      <c r="H123" s="207"/>
      <c r="I123" s="207"/>
    </row>
    <row r="124" spans="1:9" ht="20.100000000000001" customHeight="1" x14ac:dyDescent="0.25">
      <c r="A124" s="23">
        <v>22</v>
      </c>
      <c r="B124" s="14" t="s">
        <v>923</v>
      </c>
      <c r="C124" s="14">
        <f>data!X76</f>
        <v>4161.9791323313448</v>
      </c>
      <c r="D124" s="14">
        <f>data!Y76</f>
        <v>52193.572901298903</v>
      </c>
      <c r="E124" s="14">
        <f>data!Z76</f>
        <v>388.48906929758834</v>
      </c>
      <c r="F124" s="14">
        <f>data!AA76</f>
        <v>2220.0539544764915</v>
      </c>
      <c r="G124" s="14">
        <f>data!AB76</f>
        <v>16736</v>
      </c>
      <c r="H124" s="14">
        <f>data!AC76</f>
        <v>5081.18</v>
      </c>
      <c r="I124" s="14">
        <f>data!AD76</f>
        <v>4836.8999999999996</v>
      </c>
    </row>
    <row r="125" spans="1:9" ht="20.100000000000001" customHeight="1" x14ac:dyDescent="0.25">
      <c r="A125" s="23">
        <v>23</v>
      </c>
      <c r="B125" s="14" t="s">
        <v>924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925</v>
      </c>
      <c r="C126" s="14">
        <f>data!X78</f>
        <v>0</v>
      </c>
      <c r="D126" s="14">
        <f>data!Y78</f>
        <v>4131</v>
      </c>
      <c r="E126" s="14">
        <f>data!Z78</f>
        <v>208</v>
      </c>
      <c r="F126" s="14">
        <f>data!AA78</f>
        <v>6719</v>
      </c>
      <c r="G126" s="14">
        <f>data!AB78</f>
        <v>7321</v>
      </c>
      <c r="H126" s="14">
        <f>data!AC78</f>
        <v>34</v>
      </c>
      <c r="I126" s="14">
        <f>data!AD78</f>
        <v>573</v>
      </c>
    </row>
    <row r="127" spans="1:9" ht="20.100000000000001" customHeight="1" x14ac:dyDescent="0.25">
      <c r="A127" s="23">
        <v>25</v>
      </c>
      <c r="B127" s="14" t="s">
        <v>926</v>
      </c>
      <c r="C127" s="14">
        <f>data!X79</f>
        <v>0</v>
      </c>
      <c r="D127" s="14">
        <f>data!Y79</f>
        <v>278191</v>
      </c>
      <c r="E127" s="14">
        <f>data!Z79</f>
        <v>0</v>
      </c>
      <c r="F127" s="14">
        <f>data!AA79</f>
        <v>0</v>
      </c>
      <c r="G127" s="14">
        <f>data!AB79</f>
        <v>14237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22.197241910576924</v>
      </c>
      <c r="E128" s="26">
        <f>data!Z80</f>
        <v>4.4984276538461543E-2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22.969061258317307</v>
      </c>
    </row>
    <row r="129" spans="1:9" ht="20.100000000000001" customHeight="1" x14ac:dyDescent="0.25">
      <c r="A129" s="4" t="s">
        <v>910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940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Seattle Children's</v>
      </c>
      <c r="B132" s="77"/>
      <c r="C132" s="77"/>
      <c r="D132" s="77"/>
      <c r="E132" s="77"/>
      <c r="F132" s="77"/>
      <c r="G132" s="80"/>
      <c r="H132" s="79" t="str">
        <f>"FYE: "&amp;data!C82</f>
        <v>FYE: 09/30/2019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912</v>
      </c>
      <c r="C134" s="18" t="s">
        <v>96</v>
      </c>
      <c r="D134" s="18" t="s">
        <v>97</v>
      </c>
      <c r="E134" s="18" t="s">
        <v>118</v>
      </c>
      <c r="F134" s="25"/>
      <c r="G134" s="18" t="s">
        <v>941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916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942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168042</v>
      </c>
      <c r="D137" s="14">
        <f>data!AF59</f>
        <v>46771</v>
      </c>
      <c r="E137" s="14">
        <f>data!AG59</f>
        <v>50644</v>
      </c>
      <c r="F137" s="14">
        <f>data!AH59</f>
        <v>568</v>
      </c>
      <c r="G137" s="14">
        <f>data!AI59</f>
        <v>0</v>
      </c>
      <c r="H137" s="14">
        <f>data!AJ59</f>
        <v>326826</v>
      </c>
      <c r="I137" s="14">
        <f>data!AK59</f>
        <v>67850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68.117153632980759</v>
      </c>
      <c r="D138" s="26">
        <f>data!AF60</f>
        <v>111.91438237606368</v>
      </c>
      <c r="E138" s="26">
        <f>data!AG60</f>
        <v>124.06569752389422</v>
      </c>
      <c r="F138" s="26">
        <f>data!AH60</f>
        <v>26.128417485096151</v>
      </c>
      <c r="G138" s="26">
        <f>data!AI60</f>
        <v>0</v>
      </c>
      <c r="H138" s="26">
        <f>data!AJ60</f>
        <v>884.97917136038473</v>
      </c>
      <c r="I138" s="26">
        <f>data!AK60</f>
        <v>23.291976545721155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5702915.8900000006</v>
      </c>
      <c r="D139" s="14">
        <f>data!AF61</f>
        <v>9744031.5099999998</v>
      </c>
      <c r="E139" s="14">
        <f>data!AG61</f>
        <v>11965544.700000001</v>
      </c>
      <c r="F139" s="14">
        <f>data!AH61</f>
        <v>3158199.9000000004</v>
      </c>
      <c r="G139" s="14">
        <f>data!AI61</f>
        <v>0</v>
      </c>
      <c r="H139" s="14">
        <f>data!AJ61</f>
        <v>84487649.929999977</v>
      </c>
      <c r="I139" s="14">
        <f>data!AK61</f>
        <v>2162176.75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0</v>
      </c>
      <c r="F140" s="14">
        <f>data!AH62</f>
        <v>0</v>
      </c>
      <c r="G140" s="14">
        <f>data!AI62</f>
        <v>0</v>
      </c>
      <c r="H140" s="14">
        <f>data!AJ62</f>
        <v>0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171385.97</v>
      </c>
      <c r="D142" s="14">
        <f>data!AF64</f>
        <v>258108.97</v>
      </c>
      <c r="E142" s="14">
        <f>data!AG64</f>
        <v>1662153.8599999999</v>
      </c>
      <c r="F142" s="14">
        <f>data!AH64</f>
        <v>74998.5</v>
      </c>
      <c r="G142" s="14">
        <f>data!AI64</f>
        <v>0</v>
      </c>
      <c r="H142" s="14">
        <f>data!AJ64</f>
        <v>3972254.3100000005</v>
      </c>
      <c r="I142" s="14">
        <f>data!AK64</f>
        <v>129081.07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14813.67</v>
      </c>
      <c r="E143" s="14">
        <f>data!AG65</f>
        <v>0</v>
      </c>
      <c r="F143" s="14">
        <f>data!AH65</f>
        <v>3384.1800000000003</v>
      </c>
      <c r="G143" s="14">
        <f>data!AI65</f>
        <v>0</v>
      </c>
      <c r="H143" s="14">
        <f>data!AJ65</f>
        <v>132316.1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52304.55</v>
      </c>
      <c r="D144" s="14">
        <f>data!AF66</f>
        <v>1888351.5</v>
      </c>
      <c r="E144" s="14">
        <f>data!AG66</f>
        <v>1192084.8699999999</v>
      </c>
      <c r="F144" s="14">
        <f>data!AH66</f>
        <v>344334.95999999996</v>
      </c>
      <c r="G144" s="14">
        <f>data!AI66</f>
        <v>0</v>
      </c>
      <c r="H144" s="14">
        <f>data!AJ66</f>
        <v>4445808.3899999997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0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50</v>
      </c>
      <c r="D146" s="14">
        <f>data!AF68</f>
        <v>1102146.75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877044.00999999989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58872.51</v>
      </c>
      <c r="D147" s="14">
        <f>data!AF69</f>
        <v>450343.62</v>
      </c>
      <c r="E147" s="14">
        <f>data!AG69</f>
        <v>34594.25</v>
      </c>
      <c r="F147" s="14">
        <f>data!AH69</f>
        <v>18209.05</v>
      </c>
      <c r="G147" s="14">
        <f>data!AI69</f>
        <v>0</v>
      </c>
      <c r="H147" s="14">
        <f>data!AJ69</f>
        <v>2118628.3699999996</v>
      </c>
      <c r="I147" s="14">
        <f>data!AK69</f>
        <v>11381.5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-116062.43999999999</v>
      </c>
      <c r="D148" s="14">
        <f>-data!AF70</f>
        <v>-1368714.07</v>
      </c>
      <c r="E148" s="14">
        <f>-data!AG70</f>
        <v>-191383.47</v>
      </c>
      <c r="F148" s="14">
        <f>-data!AH70</f>
        <v>-619133.48999999976</v>
      </c>
      <c r="G148" s="14">
        <f>-data!AI70</f>
        <v>0</v>
      </c>
      <c r="H148" s="14">
        <f>-data!AJ70</f>
        <v>-1953348.6199999999</v>
      </c>
      <c r="I148" s="14">
        <f>-data!AK70</f>
        <v>-4150</v>
      </c>
    </row>
    <row r="149" spans="1:9" ht="20.100000000000001" customHeight="1" x14ac:dyDescent="0.25">
      <c r="A149" s="23">
        <v>16</v>
      </c>
      <c r="B149" s="48" t="s">
        <v>917</v>
      </c>
      <c r="C149" s="14">
        <f>data!AE71</f>
        <v>5869466.4799999995</v>
      </c>
      <c r="D149" s="14">
        <f>data!AF71</f>
        <v>12089081.949999999</v>
      </c>
      <c r="E149" s="14">
        <f>data!AG71</f>
        <v>14662994.209999999</v>
      </c>
      <c r="F149" s="14">
        <f>data!AH71</f>
        <v>2979993.1000000006</v>
      </c>
      <c r="G149" s="14">
        <f>data!AI71</f>
        <v>0</v>
      </c>
      <c r="H149" s="14">
        <f>data!AJ71</f>
        <v>94080352.48999998</v>
      </c>
      <c r="I149" s="14">
        <f>data!AK71</f>
        <v>2298489.3199999998</v>
      </c>
    </row>
    <row r="150" spans="1:9" ht="20.100000000000001" customHeight="1" x14ac:dyDescent="0.25">
      <c r="A150" s="23">
        <v>17</v>
      </c>
      <c r="B150" s="14" t="s">
        <v>244</v>
      </c>
      <c r="C150" s="207"/>
      <c r="D150" s="207"/>
      <c r="E150" s="207"/>
      <c r="F150" s="207"/>
      <c r="G150" s="207"/>
      <c r="H150" s="207"/>
      <c r="I150" s="207"/>
    </row>
    <row r="151" spans="1:9" ht="20.100000000000001" customHeight="1" x14ac:dyDescent="0.25">
      <c r="A151" s="23">
        <v>18</v>
      </c>
      <c r="B151" s="14" t="s">
        <v>918</v>
      </c>
      <c r="C151" s="48">
        <f>+data!M696</f>
        <v>4539969</v>
      </c>
      <c r="D151" s="48">
        <f>+data!M697</f>
        <v>4427484</v>
      </c>
      <c r="E151" s="48">
        <f>+data!M698</f>
        <v>16912828</v>
      </c>
      <c r="F151" s="48">
        <f>+data!M699</f>
        <v>812665</v>
      </c>
      <c r="G151" s="48">
        <f>+data!M700</f>
        <v>0</v>
      </c>
      <c r="H151" s="48">
        <f>+data!M701</f>
        <v>50429485</v>
      </c>
      <c r="I151" s="48">
        <f>+data!M702</f>
        <v>1589013</v>
      </c>
    </row>
    <row r="152" spans="1:9" ht="20.100000000000001" customHeight="1" x14ac:dyDescent="0.25">
      <c r="A152" s="23">
        <v>19</v>
      </c>
      <c r="B152" s="48" t="s">
        <v>919</v>
      </c>
      <c r="C152" s="14">
        <f>data!AE73</f>
        <v>5902459.9000000004</v>
      </c>
      <c r="D152" s="14">
        <f>data!AF73</f>
        <v>888014.43</v>
      </c>
      <c r="E152" s="14">
        <f>data!AG73</f>
        <v>29763594.400000002</v>
      </c>
      <c r="F152" s="14">
        <f>data!AH73</f>
        <v>782502.00000000012</v>
      </c>
      <c r="G152" s="14">
        <f>data!AI73</f>
        <v>0</v>
      </c>
      <c r="H152" s="14">
        <f>data!AJ73</f>
        <v>3041549.0700000003</v>
      </c>
      <c r="I152" s="14">
        <f>data!AK73</f>
        <v>5161211.8</v>
      </c>
    </row>
    <row r="153" spans="1:9" ht="20.100000000000001" customHeight="1" x14ac:dyDescent="0.25">
      <c r="A153" s="23">
        <v>20</v>
      </c>
      <c r="B153" s="48" t="s">
        <v>920</v>
      </c>
      <c r="C153" s="14">
        <f>data!AE74</f>
        <v>17065461.469999999</v>
      </c>
      <c r="D153" s="14">
        <f>data!AF74</f>
        <v>11863142.860000001</v>
      </c>
      <c r="E153" s="14">
        <f>data!AG74</f>
        <v>75594614.399999991</v>
      </c>
      <c r="F153" s="14">
        <f>data!AH74</f>
        <v>46872</v>
      </c>
      <c r="G153" s="14">
        <f>data!AI74</f>
        <v>0</v>
      </c>
      <c r="H153" s="14">
        <f>data!AJ74</f>
        <v>125095968.86</v>
      </c>
      <c r="I153" s="14">
        <f>data!AK74</f>
        <v>3271265.34</v>
      </c>
    </row>
    <row r="154" spans="1:9" ht="20.100000000000001" customHeight="1" x14ac:dyDescent="0.25">
      <c r="A154" s="23">
        <v>21</v>
      </c>
      <c r="B154" s="48" t="s">
        <v>921</v>
      </c>
      <c r="C154" s="14">
        <f>data!AE75</f>
        <v>22967921.369999997</v>
      </c>
      <c r="D154" s="14">
        <f>data!AF75</f>
        <v>12751157.290000001</v>
      </c>
      <c r="E154" s="14">
        <f>data!AG75</f>
        <v>105358208.8</v>
      </c>
      <c r="F154" s="14">
        <f>data!AH75</f>
        <v>829374.00000000012</v>
      </c>
      <c r="G154" s="14">
        <f>data!AI75</f>
        <v>0</v>
      </c>
      <c r="H154" s="14">
        <f>data!AJ75</f>
        <v>128137517.93000001</v>
      </c>
      <c r="I154" s="14">
        <f>data!AK75</f>
        <v>8432477.1400000006</v>
      </c>
    </row>
    <row r="155" spans="1:9" ht="20.100000000000001" customHeight="1" x14ac:dyDescent="0.25">
      <c r="A155" s="23" t="s">
        <v>922</v>
      </c>
      <c r="B155" s="60"/>
      <c r="C155" s="207"/>
      <c r="D155" s="207"/>
      <c r="E155" s="207"/>
      <c r="F155" s="207"/>
      <c r="G155" s="207"/>
      <c r="H155" s="207"/>
      <c r="I155" s="207"/>
    </row>
    <row r="156" spans="1:9" ht="20.100000000000001" customHeight="1" x14ac:dyDescent="0.25">
      <c r="A156" s="23">
        <v>22</v>
      </c>
      <c r="B156" s="14" t="s">
        <v>923</v>
      </c>
      <c r="C156" s="14">
        <f>data!AE76</f>
        <v>11296.93</v>
      </c>
      <c r="D156" s="14">
        <f>data!AF76</f>
        <v>10764.396000000001</v>
      </c>
      <c r="E156" s="14">
        <f>data!AG76</f>
        <v>33302.934000000001</v>
      </c>
      <c r="F156" s="14">
        <f>data!AH76</f>
        <v>212.64</v>
      </c>
      <c r="G156" s="14">
        <f>data!AI76</f>
        <v>0</v>
      </c>
      <c r="H156" s="14">
        <f>data!AJ76</f>
        <v>189519.525005109</v>
      </c>
      <c r="I156" s="14">
        <f>data!AK76</f>
        <v>3745.2</v>
      </c>
    </row>
    <row r="157" spans="1:9" ht="20.100000000000001" customHeight="1" x14ac:dyDescent="0.25">
      <c r="A157" s="23">
        <v>23</v>
      </c>
      <c r="B157" s="14" t="s">
        <v>924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925</v>
      </c>
      <c r="C158" s="14">
        <f>data!AE78</f>
        <v>2246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12436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926</v>
      </c>
      <c r="C159" s="14">
        <f>data!AE79</f>
        <v>0</v>
      </c>
      <c r="D159" s="14">
        <f>data!AF79</f>
        <v>0</v>
      </c>
      <c r="E159" s="14">
        <f>data!AG79</f>
        <v>85116</v>
      </c>
      <c r="F159" s="14">
        <f>data!AH79</f>
        <v>0</v>
      </c>
      <c r="G159" s="14">
        <f>data!AI79</f>
        <v>0</v>
      </c>
      <c r="H159" s="14">
        <f>data!AJ79</f>
        <v>102208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8.1090706333653841</v>
      </c>
      <c r="E160" s="26">
        <f>data!AG80</f>
        <v>72.283463223461524</v>
      </c>
      <c r="F160" s="26">
        <f>data!AH80</f>
        <v>17.603270897403842</v>
      </c>
      <c r="G160" s="26">
        <f>data!AI80</f>
        <v>0</v>
      </c>
      <c r="H160" s="26">
        <f>data!AJ80</f>
        <v>315.37840448754815</v>
      </c>
      <c r="I160" s="26">
        <f>data!AK80</f>
        <v>0</v>
      </c>
    </row>
    <row r="161" spans="1:9" ht="20.100000000000001" customHeight="1" x14ac:dyDescent="0.25">
      <c r="A161" s="4" t="s">
        <v>910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943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Seattle Children's</v>
      </c>
      <c r="B164" s="77"/>
      <c r="C164" s="77"/>
      <c r="D164" s="77"/>
      <c r="E164" s="77"/>
      <c r="F164" s="77"/>
      <c r="G164" s="80"/>
      <c r="H164" s="79" t="str">
        <f>"FYE: "&amp;data!C82</f>
        <v>FYE: 09/30/2019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912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944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945</v>
      </c>
      <c r="F167" s="18" t="s">
        <v>182</v>
      </c>
      <c r="G167" s="18" t="s">
        <v>121</v>
      </c>
      <c r="H167" s="88" t="s">
        <v>946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916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50189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55812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19.225307530288465</v>
      </c>
      <c r="D170" s="26">
        <f>data!AM60</f>
        <v>28.932992713365383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7.0407269951923077E-2</v>
      </c>
      <c r="I170" s="26">
        <f>data!AR60</f>
        <v>65.711088843086543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1794375.29</v>
      </c>
      <c r="D171" s="14">
        <f>data!AM61</f>
        <v>2008540.5400000003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9874.43</v>
      </c>
      <c r="I171" s="14">
        <f>data!AR61</f>
        <v>5444828.5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34033.819999999992</v>
      </c>
      <c r="D174" s="14">
        <f>data!AM64</f>
        <v>9544.26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9495.65</v>
      </c>
      <c r="I174" s="14">
        <f>data!AR64</f>
        <v>6586611.3599999994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45665.94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430.42999999999995</v>
      </c>
      <c r="D176" s="14">
        <f>data!AM66</f>
        <v>901.68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365215.5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454927.67000000004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9666.02</v>
      </c>
      <c r="D179" s="14">
        <f>data!AM69</f>
        <v>7507.15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316158.39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917</v>
      </c>
      <c r="C181" s="14">
        <f>data!AL71</f>
        <v>1838505.56</v>
      </c>
      <c r="D181" s="14">
        <f>data!AM71</f>
        <v>2026493.6300000001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19370.080000000002</v>
      </c>
      <c r="I181" s="14">
        <f>data!AR71</f>
        <v>13213407.359999999</v>
      </c>
    </row>
    <row r="182" spans="1:9" ht="20.100000000000001" customHeight="1" x14ac:dyDescent="0.25">
      <c r="A182" s="23">
        <v>17</v>
      </c>
      <c r="B182" s="14" t="s">
        <v>244</v>
      </c>
      <c r="C182" s="207"/>
      <c r="D182" s="207"/>
      <c r="E182" s="207"/>
      <c r="F182" s="207"/>
      <c r="G182" s="207"/>
      <c r="H182" s="207"/>
      <c r="I182" s="207"/>
    </row>
    <row r="183" spans="1:9" ht="20.100000000000001" customHeight="1" x14ac:dyDescent="0.25">
      <c r="A183" s="23">
        <v>18</v>
      </c>
      <c r="B183" s="14" t="s">
        <v>918</v>
      </c>
      <c r="C183" s="48">
        <f>+data!M703</f>
        <v>1334957</v>
      </c>
      <c r="D183" s="48">
        <f>+data!M704</f>
        <v>996596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3379</v>
      </c>
      <c r="I183" s="48">
        <f>+data!M709</f>
        <v>8824974</v>
      </c>
    </row>
    <row r="184" spans="1:9" ht="20.100000000000001" customHeight="1" x14ac:dyDescent="0.25">
      <c r="A184" s="23">
        <v>19</v>
      </c>
      <c r="B184" s="48" t="s">
        <v>919</v>
      </c>
      <c r="C184" s="14">
        <f>data!AL73</f>
        <v>2567109.7999999998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920</v>
      </c>
      <c r="C185" s="14">
        <f>data!AL74</f>
        <v>4964185.0999999996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66090910.5</v>
      </c>
    </row>
    <row r="186" spans="1:9" ht="20.100000000000001" customHeight="1" x14ac:dyDescent="0.25">
      <c r="A186" s="23">
        <v>21</v>
      </c>
      <c r="B186" s="48" t="s">
        <v>921</v>
      </c>
      <c r="C186" s="14">
        <f>data!AL75</f>
        <v>7531294.8999999994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66090910.5</v>
      </c>
    </row>
    <row r="187" spans="1:9" ht="20.100000000000001" customHeight="1" x14ac:dyDescent="0.25">
      <c r="A187" s="23" t="s">
        <v>922</v>
      </c>
      <c r="B187" s="60"/>
      <c r="C187" s="207"/>
      <c r="D187" s="207"/>
      <c r="E187" s="207"/>
      <c r="F187" s="207"/>
      <c r="G187" s="207"/>
      <c r="H187" s="207"/>
      <c r="I187" s="207"/>
    </row>
    <row r="188" spans="1:9" ht="20.100000000000001" customHeight="1" x14ac:dyDescent="0.25">
      <c r="A188" s="23">
        <v>22</v>
      </c>
      <c r="B188" s="14" t="s">
        <v>923</v>
      </c>
      <c r="C188" s="14">
        <f>data!AL76</f>
        <v>2801.58</v>
      </c>
      <c r="D188" s="14">
        <f>data!AM76</f>
        <v>6698.07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924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925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926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3.7465026249999998E-2</v>
      </c>
      <c r="I192" s="26">
        <f>data!AR80</f>
        <v>6.2364694772884626</v>
      </c>
    </row>
    <row r="193" spans="1:9" ht="20.100000000000001" customHeight="1" x14ac:dyDescent="0.25">
      <c r="A193" s="4" t="s">
        <v>910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947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Seattle Children's</v>
      </c>
      <c r="B196" s="77"/>
      <c r="C196" s="77"/>
      <c r="D196" s="77"/>
      <c r="E196" s="77"/>
      <c r="F196" s="77"/>
      <c r="G196" s="80"/>
      <c r="H196" s="79" t="str">
        <f>"FYE: "&amp;data!C82</f>
        <v>FYE: 09/30/2019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912</v>
      </c>
      <c r="C198" s="25"/>
      <c r="D198" s="18" t="s">
        <v>130</v>
      </c>
      <c r="E198" s="18" t="s">
        <v>131</v>
      </c>
      <c r="F198" s="18" t="s">
        <v>132</v>
      </c>
      <c r="G198" s="18" t="s">
        <v>948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949</v>
      </c>
      <c r="E199" s="18" t="s">
        <v>950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916</v>
      </c>
      <c r="C200" s="15" t="s">
        <v>226</v>
      </c>
      <c r="D200" s="15" t="s">
        <v>949</v>
      </c>
      <c r="E200" s="15" t="s">
        <v>228</v>
      </c>
      <c r="F200" s="208"/>
      <c r="G200" s="208"/>
      <c r="H200" s="208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62</v>
      </c>
      <c r="E201" s="14">
        <f>data!AU59</f>
        <v>0</v>
      </c>
      <c r="F201" s="208"/>
      <c r="G201" s="208"/>
      <c r="H201" s="208"/>
      <c r="I201" s="14">
        <f>data!AY59</f>
        <v>1092264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4.3117860256730776</v>
      </c>
      <c r="E202" s="26">
        <f>data!AU60</f>
        <v>0</v>
      </c>
      <c r="F202" s="26">
        <f>data!AV60</f>
        <v>53.505362160432689</v>
      </c>
      <c r="G202" s="26">
        <f>data!AW60</f>
        <v>1045.7790074429133</v>
      </c>
      <c r="H202" s="26">
        <f>data!AX60</f>
        <v>0</v>
      </c>
      <c r="I202" s="26">
        <f>data!AY60</f>
        <v>192.43877219187499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499878.43</v>
      </c>
      <c r="E203" s="14">
        <f>data!AU61</f>
        <v>0</v>
      </c>
      <c r="F203" s="14">
        <f>data!AV61</f>
        <v>4097793.64</v>
      </c>
      <c r="G203" s="14">
        <f>data!AW61</f>
        <v>77036410.25</v>
      </c>
      <c r="H203" s="14">
        <f>data!AX61</f>
        <v>0</v>
      </c>
      <c r="I203" s="14">
        <f>data!AY61</f>
        <v>11395014.579999998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0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13550.800000000001</v>
      </c>
      <c r="E206" s="14">
        <f>data!AU64</f>
        <v>0</v>
      </c>
      <c r="F206" s="14">
        <f>data!AV64</f>
        <v>821840.03999999992</v>
      </c>
      <c r="G206" s="14">
        <f>data!AW64</f>
        <v>20355360.539999995</v>
      </c>
      <c r="H206" s="14">
        <f>data!AX64</f>
        <v>802121.61999999988</v>
      </c>
      <c r="I206" s="14">
        <f>data!AY64</f>
        <v>3675916.29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59.95</v>
      </c>
      <c r="E207" s="14">
        <f>data!AU65</f>
        <v>0</v>
      </c>
      <c r="F207" s="14">
        <f>data!AV65</f>
        <v>3298.36</v>
      </c>
      <c r="G207" s="14">
        <f>data!AW65</f>
        <v>2065280.38</v>
      </c>
      <c r="H207" s="14">
        <f>data!AX65</f>
        <v>0</v>
      </c>
      <c r="I207" s="14">
        <f>data!AY65</f>
        <v>216.24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3204828.34</v>
      </c>
      <c r="E208" s="14">
        <f>data!AU66</f>
        <v>0</v>
      </c>
      <c r="F208" s="14">
        <f>data!AV66</f>
        <v>533988.54999999993</v>
      </c>
      <c r="G208" s="14">
        <f>data!AW66</f>
        <v>152997765.66</v>
      </c>
      <c r="H208" s="14">
        <f>data!AX66</f>
        <v>756475.44</v>
      </c>
      <c r="I208" s="14">
        <f>data!AY66</f>
        <v>202274.08000000002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0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11896433.99</v>
      </c>
      <c r="H210" s="14">
        <f>data!AX68</f>
        <v>792076.1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72185.84</v>
      </c>
      <c r="E211" s="14">
        <f>data!AU69</f>
        <v>0</v>
      </c>
      <c r="F211" s="14">
        <f>data!AV69</f>
        <v>261862.23000000004</v>
      </c>
      <c r="G211" s="14">
        <f>data!AW69</f>
        <v>16788505.489999987</v>
      </c>
      <c r="H211" s="14">
        <f>data!AX69</f>
        <v>1487496.75</v>
      </c>
      <c r="I211" s="14">
        <f>data!AY69</f>
        <v>220217.03000000006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-50</v>
      </c>
      <c r="E212" s="14">
        <f>-data!AU70</f>
        <v>0</v>
      </c>
      <c r="F212" s="14">
        <f>-data!AV70</f>
        <v>-1864216.9000000001</v>
      </c>
      <c r="G212" s="14">
        <f>-data!AW70</f>
        <v>-216279343.34999996</v>
      </c>
      <c r="H212" s="14">
        <f>-data!AX70</f>
        <v>0</v>
      </c>
      <c r="I212" s="14">
        <f>-data!AY70</f>
        <v>-4711171.7700000005</v>
      </c>
    </row>
    <row r="213" spans="1:9" ht="20.100000000000001" customHeight="1" x14ac:dyDescent="0.25">
      <c r="A213" s="23">
        <v>16</v>
      </c>
      <c r="B213" s="48" t="s">
        <v>917</v>
      </c>
      <c r="C213" s="14">
        <f>data!AS71</f>
        <v>0</v>
      </c>
      <c r="D213" s="14">
        <f>data!AT71</f>
        <v>3790453.36</v>
      </c>
      <c r="E213" s="14">
        <f>data!AU71</f>
        <v>0</v>
      </c>
      <c r="F213" s="14">
        <f>data!AV71</f>
        <v>3854565.92</v>
      </c>
      <c r="G213" s="14">
        <f>data!AW71</f>
        <v>64860412.960000038</v>
      </c>
      <c r="H213" s="14">
        <f>data!AX71</f>
        <v>3838169.9099999997</v>
      </c>
      <c r="I213" s="14">
        <f>data!AY71</f>
        <v>10782466.449999996</v>
      </c>
    </row>
    <row r="214" spans="1:9" ht="20.100000000000001" customHeight="1" x14ac:dyDescent="0.25">
      <c r="A214" s="23">
        <v>17</v>
      </c>
      <c r="B214" s="14" t="s">
        <v>244</v>
      </c>
      <c r="C214" s="207"/>
      <c r="D214" s="207"/>
      <c r="E214" s="207"/>
      <c r="F214" s="207"/>
      <c r="G214" s="207"/>
      <c r="H214" s="207"/>
      <c r="I214" s="207"/>
    </row>
    <row r="215" spans="1:9" ht="20.100000000000001" customHeight="1" x14ac:dyDescent="0.25">
      <c r="A215" s="23">
        <v>18</v>
      </c>
      <c r="B215" s="14" t="s">
        <v>918</v>
      </c>
      <c r="C215" s="48">
        <f>+data!M710</f>
        <v>0</v>
      </c>
      <c r="D215" s="48">
        <f>+data!M711</f>
        <v>1245888</v>
      </c>
      <c r="E215" s="48">
        <f>+data!M712</f>
        <v>0</v>
      </c>
      <c r="F215" s="48">
        <f>+data!M713</f>
        <v>2005356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919</v>
      </c>
      <c r="C216" s="14">
        <f>data!AS73</f>
        <v>0</v>
      </c>
      <c r="D216" s="14">
        <f>data!AT73</f>
        <v>6387250</v>
      </c>
      <c r="E216" s="14">
        <f>data!AU73</f>
        <v>0</v>
      </c>
      <c r="F216" s="14">
        <f>data!AV73</f>
        <v>10689264</v>
      </c>
      <c r="G216" s="209" t="str">
        <f>IF(data!AW73&gt;0,data!AW73,"")</f>
        <v>x</v>
      </c>
      <c r="H216" s="209" t="str">
        <f>IF(data!AX73&gt;0,data!AX73,"")</f>
        <v>x</v>
      </c>
      <c r="I216" s="209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920</v>
      </c>
      <c r="C217" s="14">
        <f>data!AS74</f>
        <v>0</v>
      </c>
      <c r="D217" s="14">
        <f>data!AT74</f>
        <v>60701.4</v>
      </c>
      <c r="E217" s="14">
        <f>data!AU74</f>
        <v>0</v>
      </c>
      <c r="F217" s="14">
        <f>data!AV74</f>
        <v>32392</v>
      </c>
      <c r="G217" s="209" t="str">
        <f>IF(data!AW74&gt;0,data!AW74,"")</f>
        <v>x</v>
      </c>
      <c r="H217" s="209" t="str">
        <f>IF(data!AX74&gt;0,data!AX74,"")</f>
        <v>x</v>
      </c>
      <c r="I217" s="209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921</v>
      </c>
      <c r="C218" s="14">
        <f>data!AS75</f>
        <v>0</v>
      </c>
      <c r="D218" s="14">
        <f>data!AT75</f>
        <v>6447951.4000000004</v>
      </c>
      <c r="E218" s="14">
        <f>data!AU75</f>
        <v>0</v>
      </c>
      <c r="F218" s="14">
        <f>data!AV75</f>
        <v>10721656</v>
      </c>
      <c r="G218" s="209" t="str">
        <f>IF(data!AW75&gt;0,data!AW75,"")</f>
        <v>x</v>
      </c>
      <c r="H218" s="209" t="str">
        <f>IF(data!AX75&gt;0,data!AX75,"")</f>
        <v>x</v>
      </c>
      <c r="I218" s="209" t="str">
        <f>IF(data!AY75&gt;0,data!AY75,"")</f>
        <v>x</v>
      </c>
    </row>
    <row r="219" spans="1:9" ht="20.100000000000001" customHeight="1" x14ac:dyDescent="0.25">
      <c r="A219" s="23" t="s">
        <v>922</v>
      </c>
      <c r="B219" s="60"/>
      <c r="C219" s="207"/>
      <c r="D219" s="207"/>
      <c r="E219" s="207"/>
      <c r="F219" s="207"/>
      <c r="G219" s="207"/>
      <c r="H219" s="207"/>
      <c r="I219" s="207"/>
    </row>
    <row r="220" spans="1:9" ht="20.100000000000001" customHeight="1" x14ac:dyDescent="0.25">
      <c r="A220" s="23">
        <v>22</v>
      </c>
      <c r="B220" s="14" t="s">
        <v>923</v>
      </c>
      <c r="C220" s="14">
        <f>data!AS76</f>
        <v>0</v>
      </c>
      <c r="D220" s="14">
        <f>data!AT76</f>
        <v>99.05</v>
      </c>
      <c r="E220" s="14">
        <f>data!AU76</f>
        <v>0</v>
      </c>
      <c r="F220" s="14">
        <f>data!AV76</f>
        <v>671.43</v>
      </c>
      <c r="G220" s="14">
        <f>data!AW76</f>
        <v>5529.58</v>
      </c>
      <c r="H220" s="14">
        <f>data!AX76</f>
        <v>0</v>
      </c>
      <c r="I220" s="85">
        <f>data!AY76</f>
        <v>34829</v>
      </c>
    </row>
    <row r="221" spans="1:9" ht="20.100000000000001" customHeight="1" x14ac:dyDescent="0.25">
      <c r="A221" s="23">
        <v>23</v>
      </c>
      <c r="B221" s="14" t="s">
        <v>924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09" t="str">
        <f>IF(data!AX77&gt;0,data!AX77,"")</f>
        <v>x</v>
      </c>
      <c r="I221" s="209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925</v>
      </c>
      <c r="C222" s="14">
        <f>data!AS78</f>
        <v>0</v>
      </c>
      <c r="D222" s="14">
        <f>data!AT78</f>
        <v>987</v>
      </c>
      <c r="E222" s="14">
        <f>data!AU78</f>
        <v>0</v>
      </c>
      <c r="F222" s="14">
        <f>data!AV78</f>
        <v>0</v>
      </c>
      <c r="G222" s="14">
        <f>data!AW78</f>
        <v>0</v>
      </c>
      <c r="H222" s="209" t="str">
        <f>IF(data!AX78&gt;0,data!AX78,"")</f>
        <v>x</v>
      </c>
      <c r="I222" s="209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926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09" t="str">
        <f>IF(data!AX79&gt;0,data!AX79,"")</f>
        <v>x</v>
      </c>
      <c r="I223" s="209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3.5083166990865386</v>
      </c>
      <c r="E224" s="26">
        <f>data!AU80</f>
        <v>0</v>
      </c>
      <c r="F224" s="26">
        <f>data!AV80</f>
        <v>7.1643909856730756</v>
      </c>
      <c r="G224" s="209" t="str">
        <f>IF(data!AW80&gt;0,data!AW80,"")</f>
        <v>x</v>
      </c>
      <c r="H224" s="209" t="str">
        <f>IF(data!AX80&gt;0,data!AX80,"")</f>
        <v>x</v>
      </c>
      <c r="I224" s="209" t="str">
        <f>IF(data!AY80&gt;0,data!AY80,"")</f>
        <v>x</v>
      </c>
    </row>
    <row r="225" spans="1:9" ht="20.100000000000001" customHeight="1" x14ac:dyDescent="0.25">
      <c r="A225" s="4" t="s">
        <v>910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951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Seattle Children's</v>
      </c>
      <c r="B228" s="77"/>
      <c r="C228" s="77"/>
      <c r="D228" s="77"/>
      <c r="E228" s="77"/>
      <c r="F228" s="77"/>
      <c r="G228" s="80"/>
      <c r="H228" s="79" t="str">
        <f>"FYE: "&amp;data!C82</f>
        <v>FYE: 09/30/2019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912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952</v>
      </c>
      <c r="F231" s="18" t="s">
        <v>953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916</v>
      </c>
      <c r="C232" s="15" t="s">
        <v>954</v>
      </c>
      <c r="D232" s="15" t="s">
        <v>955</v>
      </c>
      <c r="E232" s="208"/>
      <c r="F232" s="208"/>
      <c r="G232" s="208"/>
      <c r="H232" s="15" t="s">
        <v>232</v>
      </c>
      <c r="I232" s="208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1092264</v>
      </c>
      <c r="D233" s="14">
        <f>data!BA59</f>
        <v>0</v>
      </c>
      <c r="E233" s="208"/>
      <c r="F233" s="208"/>
      <c r="G233" s="208"/>
      <c r="H233" s="14">
        <f>data!BE59</f>
        <v>1380937.6146800872</v>
      </c>
      <c r="I233" s="208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2.490883668173077</v>
      </c>
      <c r="D234" s="26">
        <f>data!BA60</f>
        <v>3.1612808900480767</v>
      </c>
      <c r="E234" s="26">
        <f>data!BB60</f>
        <v>120.91489942322114</v>
      </c>
      <c r="F234" s="26">
        <f>data!BC60</f>
        <v>6.5225020025961538</v>
      </c>
      <c r="G234" s="26">
        <f>data!BD60</f>
        <v>26.787820072884614</v>
      </c>
      <c r="H234" s="26">
        <f>data!BE60</f>
        <v>200.88570786229326</v>
      </c>
      <c r="I234" s="26">
        <f>data!BF60</f>
        <v>155.7756358491346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111519.44</v>
      </c>
      <c r="D235" s="14">
        <f>data!BA61</f>
        <v>154122.40000000002</v>
      </c>
      <c r="E235" s="14">
        <f>data!BB61</f>
        <v>9346809.9100000001</v>
      </c>
      <c r="F235" s="14">
        <f>data!BC61</f>
        <v>280047.98</v>
      </c>
      <c r="G235" s="14">
        <f>data!BD61</f>
        <v>2015480.95</v>
      </c>
      <c r="H235" s="14">
        <f>data!BE61</f>
        <v>14852413.139999999</v>
      </c>
      <c r="I235" s="14">
        <f>data!BF61</f>
        <v>7451036.1899999985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0</v>
      </c>
      <c r="H236" s="14">
        <f>data!BE62</f>
        <v>0</v>
      </c>
      <c r="I236" s="14">
        <f>data!BF62</f>
        <v>0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87181.840000000011</v>
      </c>
      <c r="D238" s="14">
        <f>data!BA64</f>
        <v>79210.100000000006</v>
      </c>
      <c r="E238" s="14">
        <f>data!BB64</f>
        <v>239986.43</v>
      </c>
      <c r="F238" s="14">
        <f>data!BC64</f>
        <v>0</v>
      </c>
      <c r="G238" s="14">
        <f>data!BD64</f>
        <v>337636.65</v>
      </c>
      <c r="H238" s="14">
        <f>data!BE64</f>
        <v>1125212.49</v>
      </c>
      <c r="I238" s="14">
        <f>data!BF64</f>
        <v>1061184.99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6692.18</v>
      </c>
      <c r="F239" s="14">
        <f>data!BC65</f>
        <v>0</v>
      </c>
      <c r="G239" s="14">
        <f>data!BD65</f>
        <v>216.24</v>
      </c>
      <c r="H239" s="14">
        <f>data!BE65</f>
        <v>6690157.2299999995</v>
      </c>
      <c r="I239" s="14">
        <f>data!BF65</f>
        <v>1409701.8800000001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3239.5</v>
      </c>
      <c r="D240" s="14">
        <f>data!BA66</f>
        <v>3076531.49</v>
      </c>
      <c r="E240" s="14">
        <f>data!BB66</f>
        <v>3613425.2399999993</v>
      </c>
      <c r="F240" s="14">
        <f>data!BC66</f>
        <v>0</v>
      </c>
      <c r="G240" s="14">
        <f>data!BD66</f>
        <v>466696.85</v>
      </c>
      <c r="H240" s="14">
        <f>data!BE66</f>
        <v>2782884.09</v>
      </c>
      <c r="I240" s="14">
        <f>data!BF66</f>
        <v>308080.90000000002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0</v>
      </c>
      <c r="I241" s="14">
        <f>data!BF67</f>
        <v>0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282596.29999999993</v>
      </c>
      <c r="I242" s="14">
        <f>data!BF68</f>
        <v>179.46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6497.7400000000007</v>
      </c>
      <c r="D243" s="14">
        <f>data!BA69</f>
        <v>0</v>
      </c>
      <c r="E243" s="14">
        <f>data!BB69</f>
        <v>434338.51999999996</v>
      </c>
      <c r="F243" s="14">
        <f>data!BC69</f>
        <v>0</v>
      </c>
      <c r="G243" s="14">
        <f>data!BD69</f>
        <v>11165.120000000003</v>
      </c>
      <c r="H243" s="14">
        <f>data!BE69</f>
        <v>8002261.2999999998</v>
      </c>
      <c r="I243" s="14">
        <f>data!BF69</f>
        <v>104255.48000000001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-161167.00999999998</v>
      </c>
      <c r="D244" s="14">
        <f>-data!BA70</f>
        <v>0</v>
      </c>
      <c r="E244" s="14">
        <f>-data!BB70</f>
        <v>50319</v>
      </c>
      <c r="F244" s="14">
        <f>-data!BC70</f>
        <v>0</v>
      </c>
      <c r="G244" s="14">
        <f>-data!BD70</f>
        <v>0</v>
      </c>
      <c r="H244" s="14">
        <f>-data!BE70</f>
        <v>-277.39999999999964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917</v>
      </c>
      <c r="C245" s="14">
        <f>data!AZ71</f>
        <v>47271.510000000038</v>
      </c>
      <c r="D245" s="14">
        <f>data!BA71</f>
        <v>3309863.99</v>
      </c>
      <c r="E245" s="14">
        <f>data!BB71</f>
        <v>13691571.279999997</v>
      </c>
      <c r="F245" s="14">
        <f>data!BC71</f>
        <v>280047.98</v>
      </c>
      <c r="G245" s="14">
        <f>data!BD71</f>
        <v>2831195.8100000005</v>
      </c>
      <c r="H245" s="14">
        <f>data!BE71</f>
        <v>33735247.149999999</v>
      </c>
      <c r="I245" s="14">
        <f>data!BF71</f>
        <v>10334438.9</v>
      </c>
    </row>
    <row r="246" spans="1:9" ht="20.100000000000001" customHeight="1" x14ac:dyDescent="0.25">
      <c r="A246" s="23">
        <v>17</v>
      </c>
      <c r="B246" s="14" t="s">
        <v>244</v>
      </c>
      <c r="C246" s="207"/>
      <c r="D246" s="207"/>
      <c r="E246" s="207"/>
      <c r="F246" s="207"/>
      <c r="G246" s="207"/>
      <c r="H246" s="207"/>
      <c r="I246" s="207"/>
    </row>
    <row r="247" spans="1:9" ht="20.100000000000001" customHeight="1" x14ac:dyDescent="0.25">
      <c r="A247" s="23">
        <v>18</v>
      </c>
      <c r="B247" s="14" t="s">
        <v>918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919</v>
      </c>
      <c r="C248" s="209" t="str">
        <f>IF(data!AZ73&gt;0,data!AZ73,"")</f>
        <v>x</v>
      </c>
      <c r="D248" s="209" t="str">
        <f>IF(data!BA73&gt;0,data!BA73,"")</f>
        <v>x</v>
      </c>
      <c r="E248" s="209" t="str">
        <f>IF(data!BB73&gt;0,data!BB73,"")</f>
        <v>x</v>
      </c>
      <c r="F248" s="209" t="str">
        <f>IF(data!BC73&gt;0,data!BC73,"")</f>
        <v>x</v>
      </c>
      <c r="G248" s="209" t="str">
        <f>IF(data!BD73&gt;0,data!BD73,"")</f>
        <v>x</v>
      </c>
      <c r="H248" s="209" t="str">
        <f>IF(data!BE73&gt;0,data!BE73,"")</f>
        <v>x</v>
      </c>
      <c r="I248" s="209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920</v>
      </c>
      <c r="C249" s="209" t="str">
        <f>IF(data!AZ74&gt;0,data!AZ74,"")</f>
        <v>x</v>
      </c>
      <c r="D249" s="209" t="str">
        <f>IF(data!BA74&gt;0,data!BA74,"")</f>
        <v>x</v>
      </c>
      <c r="E249" s="209" t="str">
        <f>IF(data!BB74&gt;0,data!BB74,"")</f>
        <v>x</v>
      </c>
      <c r="F249" s="209" t="str">
        <f>IF(data!BC74&gt;0,data!BC74,"")</f>
        <v>x</v>
      </c>
      <c r="G249" s="209" t="str">
        <f>IF(data!BD74&gt;0,data!BD74,"")</f>
        <v>x</v>
      </c>
      <c r="H249" s="209" t="str">
        <f>IF(data!BE74&gt;0,data!BE74,"")</f>
        <v>x</v>
      </c>
      <c r="I249" s="209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921</v>
      </c>
      <c r="C250" s="209" t="str">
        <f>IF(data!AZ75&gt;0,data!AZ75,"")</f>
        <v>x</v>
      </c>
      <c r="D250" s="209" t="str">
        <f>IF(data!BA75&gt;0,data!BA75,"")</f>
        <v>x</v>
      </c>
      <c r="E250" s="209" t="str">
        <f>IF(data!BB75&gt;0,data!BB75,"")</f>
        <v>x</v>
      </c>
      <c r="F250" s="209" t="str">
        <f>IF(data!BC75&gt;0,data!BC75,"")</f>
        <v>x</v>
      </c>
      <c r="G250" s="209" t="str">
        <f>IF(data!BD75&gt;0,data!BD75,"")</f>
        <v>x</v>
      </c>
      <c r="H250" s="209" t="str">
        <f>IF(data!BE75&gt;0,data!BE75,"")</f>
        <v>x</v>
      </c>
      <c r="I250" s="209" t="str">
        <f>IF(data!BF75&gt;0,data!BF75,"")</f>
        <v>x</v>
      </c>
    </row>
    <row r="251" spans="1:9" ht="20.100000000000001" customHeight="1" x14ac:dyDescent="0.25">
      <c r="A251" s="23" t="s">
        <v>922</v>
      </c>
      <c r="B251" s="60"/>
      <c r="C251" s="207"/>
      <c r="D251" s="207"/>
      <c r="E251" s="207"/>
      <c r="F251" s="207"/>
      <c r="G251" s="207"/>
      <c r="H251" s="207"/>
      <c r="I251" s="207"/>
    </row>
    <row r="252" spans="1:9" ht="20.100000000000001" customHeight="1" x14ac:dyDescent="0.25">
      <c r="A252" s="23">
        <v>22</v>
      </c>
      <c r="B252" s="14" t="s">
        <v>923</v>
      </c>
      <c r="C252" s="85">
        <f>data!AZ76</f>
        <v>7974</v>
      </c>
      <c r="D252" s="85">
        <f>data!BA76</f>
        <v>0</v>
      </c>
      <c r="E252" s="85">
        <f>data!BB76</f>
        <v>13182.046</v>
      </c>
      <c r="F252" s="85">
        <f>data!BC76</f>
        <v>0</v>
      </c>
      <c r="G252" s="85">
        <f>data!BD76</f>
        <v>6035.4440000000004</v>
      </c>
      <c r="H252" s="85">
        <f>data!BE76</f>
        <v>151600.48699999999</v>
      </c>
      <c r="I252" s="85">
        <f>data!BF76</f>
        <v>6368.5300000000007</v>
      </c>
    </row>
    <row r="253" spans="1:9" ht="20.100000000000001" customHeight="1" x14ac:dyDescent="0.25">
      <c r="A253" s="23">
        <v>23</v>
      </c>
      <c r="B253" s="14" t="s">
        <v>924</v>
      </c>
      <c r="C253" s="85">
        <f>data!AZ77</f>
        <v>1092264</v>
      </c>
      <c r="D253" s="85">
        <f>data!BA77</f>
        <v>0</v>
      </c>
      <c r="E253" s="85">
        <f>data!BB77</f>
        <v>0</v>
      </c>
      <c r="F253" s="85">
        <f>data!BC77</f>
        <v>0</v>
      </c>
      <c r="G253" s="209" t="str">
        <f>IF(data!BD77&gt;0,data!BD77,"")</f>
        <v>x</v>
      </c>
      <c r="H253" s="209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925</v>
      </c>
      <c r="C254" s="209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09" t="str">
        <f>IF(data!BD78&gt;0,data!BD78,"")</f>
        <v>x</v>
      </c>
      <c r="H254" s="209" t="str">
        <f>IF(data!BE78&gt;0,data!BE78,"")</f>
        <v>x</v>
      </c>
      <c r="I254" s="209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926</v>
      </c>
      <c r="C255" s="209" t="str">
        <f>IF(data!AZ79&gt;0,data!AZ79,"")</f>
        <v>x</v>
      </c>
      <c r="D255" s="209" t="str">
        <f>IF(data!BA79&gt;0,data!BA79,"")</f>
        <v>x</v>
      </c>
      <c r="E255" s="85">
        <f>data!BB79</f>
        <v>0</v>
      </c>
      <c r="F255" s="85">
        <f>data!BC79</f>
        <v>0</v>
      </c>
      <c r="G255" s="209" t="str">
        <f>IF(data!BD79&gt;0,data!BD79,"")</f>
        <v>x</v>
      </c>
      <c r="H255" s="209" t="str">
        <f>IF(data!BE79&gt;0,data!BE79,"")</f>
        <v>x</v>
      </c>
      <c r="I255" s="209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09" t="str">
        <f>IF(data!AZ80&gt;0,data!AZ80,"")</f>
        <v>x</v>
      </c>
      <c r="D256" s="209" t="str">
        <f>IF(data!BA80&gt;0,data!BA80,"")</f>
        <v>x</v>
      </c>
      <c r="E256" s="209" t="str">
        <f>IF(data!BB80&gt;0,data!BB80,"")</f>
        <v>x</v>
      </c>
      <c r="F256" s="209" t="str">
        <f>IF(data!BC80&gt;0,data!BC80,"")</f>
        <v>x</v>
      </c>
      <c r="G256" s="209" t="str">
        <f>IF(data!BD80&gt;0,data!BD80,"")</f>
        <v>x</v>
      </c>
      <c r="H256" s="209" t="str">
        <f>IF(data!BE80&gt;0,data!BE80,"")</f>
        <v>x</v>
      </c>
      <c r="I256" s="209" t="str">
        <f>IF(data!BF80&gt;0,data!BF80,"")</f>
        <v>x</v>
      </c>
    </row>
    <row r="257" spans="1:9" ht="20.100000000000001" customHeight="1" x14ac:dyDescent="0.25">
      <c r="A257" s="4" t="s">
        <v>910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956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Seattle Children's</v>
      </c>
      <c r="B260" s="77"/>
      <c r="C260" s="77"/>
      <c r="D260" s="77"/>
      <c r="E260" s="77"/>
      <c r="F260" s="77"/>
      <c r="G260" s="80"/>
      <c r="H260" s="79" t="str">
        <f>"FYE: "&amp;data!C82</f>
        <v>FYE: 09/30/2019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912</v>
      </c>
      <c r="C262" s="18" t="s">
        <v>957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958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959</v>
      </c>
    </row>
    <row r="264" spans="1:9" ht="20.100000000000001" customHeight="1" x14ac:dyDescent="0.25">
      <c r="A264" s="23">
        <v>3</v>
      </c>
      <c r="B264" s="14" t="s">
        <v>916</v>
      </c>
      <c r="C264" s="208"/>
      <c r="D264" s="208"/>
      <c r="E264" s="208"/>
      <c r="F264" s="208"/>
      <c r="G264" s="208"/>
      <c r="H264" s="208"/>
      <c r="I264" s="208"/>
    </row>
    <row r="265" spans="1:9" ht="20.100000000000001" customHeight="1" x14ac:dyDescent="0.25">
      <c r="A265" s="23">
        <v>4</v>
      </c>
      <c r="B265" s="14" t="s">
        <v>233</v>
      </c>
      <c r="C265" s="208"/>
      <c r="D265" s="208"/>
      <c r="E265" s="208"/>
      <c r="F265" s="208"/>
      <c r="G265" s="208"/>
      <c r="H265" s="208"/>
      <c r="I265" s="208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24.517057141120016</v>
      </c>
      <c r="D266" s="26">
        <f>data!BH60</f>
        <v>221.21941527750212</v>
      </c>
      <c r="E266" s="26">
        <f>data!BI60</f>
        <v>45.190519733028843</v>
      </c>
      <c r="F266" s="26">
        <f>data!BJ60</f>
        <v>55.436784737548066</v>
      </c>
      <c r="G266" s="26">
        <f>data!BK60</f>
        <v>191.7233157489423</v>
      </c>
      <c r="H266" s="26">
        <f>data!BL60</f>
        <v>105.61902525682693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1623163.1500000001</v>
      </c>
      <c r="D267" s="14">
        <f>data!BH61</f>
        <v>26485596.149999999</v>
      </c>
      <c r="E267" s="14">
        <f>data!BI61</f>
        <v>5826750.1000000015</v>
      </c>
      <c r="F267" s="14">
        <f>data!BJ61</f>
        <v>5709411.129999999</v>
      </c>
      <c r="G267" s="14">
        <f>data!BK61</f>
        <v>13633351.970000001</v>
      </c>
      <c r="H267" s="14">
        <f>data!BL61</f>
        <v>5756849.1500000004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59644.450000000012</v>
      </c>
      <c r="D270" s="14">
        <f>data!BH64</f>
        <v>1145221.7800000003</v>
      </c>
      <c r="E270" s="14">
        <f>data!BI64</f>
        <v>50659.580000000009</v>
      </c>
      <c r="F270" s="14">
        <f>data!BJ64</f>
        <v>75276.989999999991</v>
      </c>
      <c r="G270" s="14">
        <f>data!BK64</f>
        <v>231144.75</v>
      </c>
      <c r="H270" s="14">
        <f>data!BL64</f>
        <v>59278.299999999996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1132375.4100000001</v>
      </c>
      <c r="D271" s="14">
        <f>data!BH65</f>
        <v>2799664.0599999996</v>
      </c>
      <c r="E271" s="14">
        <f>data!BI65</f>
        <v>209510.2</v>
      </c>
      <c r="F271" s="14">
        <f>data!BJ65</f>
        <v>20380.260000000006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772645.27</v>
      </c>
      <c r="D272" s="14">
        <f>data!BH66</f>
        <v>35483264.209999993</v>
      </c>
      <c r="E272" s="14">
        <f>data!BI66</f>
        <v>4511955.0699999994</v>
      </c>
      <c r="F272" s="14">
        <f>data!BJ66</f>
        <v>5099433.8600000003</v>
      </c>
      <c r="G272" s="14">
        <f>data!BK66</f>
        <v>2044128.0000000002</v>
      </c>
      <c r="H272" s="14">
        <f>data!BL66</f>
        <v>15452.16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2211.6000000000058</v>
      </c>
      <c r="D274" s="14">
        <f>data!BH68</f>
        <v>1011843.9400000002</v>
      </c>
      <c r="E274" s="14">
        <f>data!BI68</f>
        <v>698201.54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150225.35000000003</v>
      </c>
      <c r="D275" s="14">
        <f>data!BH69</f>
        <v>4335445.3200000012</v>
      </c>
      <c r="E275" s="14">
        <f>data!BI69</f>
        <v>344845.7</v>
      </c>
      <c r="F275" s="14">
        <f>data!BJ69</f>
        <v>-403803.37000000005</v>
      </c>
      <c r="G275" s="14">
        <f>data!BK69</f>
        <v>137555.29</v>
      </c>
      <c r="H275" s="14">
        <f>data!BL69</f>
        <v>896.48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-326073.87</v>
      </c>
      <c r="E276" s="14">
        <f>-data!BI70</f>
        <v>-4256317.7799999993</v>
      </c>
      <c r="F276" s="14">
        <f>-data!BJ70</f>
        <v>0</v>
      </c>
      <c r="G276" s="14">
        <f>-data!BK70</f>
        <v>-6403273.7300000004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917</v>
      </c>
      <c r="C277" s="14">
        <f>data!BG71</f>
        <v>3740265.2300000004</v>
      </c>
      <c r="D277" s="14">
        <f>data!BH71</f>
        <v>70934961.589999989</v>
      </c>
      <c r="E277" s="14">
        <f>data!BI71</f>
        <v>7385604.410000002</v>
      </c>
      <c r="F277" s="14">
        <f>data!BJ71</f>
        <v>10500698.869999999</v>
      </c>
      <c r="G277" s="14">
        <f>data!BK71</f>
        <v>9642906.2799999993</v>
      </c>
      <c r="H277" s="14">
        <f>data!BL71</f>
        <v>5832476.0900000008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07"/>
      <c r="D278" s="207"/>
      <c r="E278" s="207"/>
      <c r="F278" s="207"/>
      <c r="G278" s="207"/>
      <c r="H278" s="207"/>
      <c r="I278" s="207"/>
    </row>
    <row r="279" spans="1:9" ht="20.100000000000001" customHeight="1" x14ac:dyDescent="0.25">
      <c r="A279" s="23">
        <v>18</v>
      </c>
      <c r="B279" s="14" t="s">
        <v>918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919</v>
      </c>
      <c r="C280" s="209" t="str">
        <f>IF(data!BG73&gt;0,data!BG73,"")</f>
        <v>x</v>
      </c>
      <c r="D280" s="209" t="str">
        <f>IF(data!BH73&gt;0,data!BH73,"")</f>
        <v>x</v>
      </c>
      <c r="E280" s="209" t="str">
        <f>IF(data!BI73&gt;0,data!BI73,"")</f>
        <v>x</v>
      </c>
      <c r="F280" s="209" t="str">
        <f>IF(data!BJ73&gt;0,data!BJ73,"")</f>
        <v>x</v>
      </c>
      <c r="G280" s="209" t="str">
        <f>IF(data!BK73&gt;0,data!BK73,"")</f>
        <v>x</v>
      </c>
      <c r="H280" s="209" t="str">
        <f>IF(data!BL73&gt;0,data!BL73,"")</f>
        <v>x</v>
      </c>
      <c r="I280" s="209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920</v>
      </c>
      <c r="C281" s="209" t="str">
        <f>IF(data!BG74&gt;0,data!BG74,"")</f>
        <v>x</v>
      </c>
      <c r="D281" s="209" t="str">
        <f>IF(data!BH74&gt;0,data!BH74,"")</f>
        <v>x</v>
      </c>
      <c r="E281" s="209" t="str">
        <f>IF(data!BI74&gt;0,data!BI74,"")</f>
        <v>x</v>
      </c>
      <c r="F281" s="209" t="str">
        <f>IF(data!BJ74&gt;0,data!BJ74,"")</f>
        <v>x</v>
      </c>
      <c r="G281" s="209" t="str">
        <f>IF(data!BK74&gt;0,data!BK74,"")</f>
        <v>x</v>
      </c>
      <c r="H281" s="209" t="str">
        <f>IF(data!BL74&gt;0,data!BL74,"")</f>
        <v>x</v>
      </c>
      <c r="I281" s="209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921</v>
      </c>
      <c r="C282" s="209" t="str">
        <f>IF(data!BG75&gt;0,data!BG75,"")</f>
        <v>x</v>
      </c>
      <c r="D282" s="209" t="str">
        <f>IF(data!BH75&gt;0,data!BH75,"")</f>
        <v>x</v>
      </c>
      <c r="E282" s="209" t="str">
        <f>IF(data!BI75&gt;0,data!BI75,"")</f>
        <v>x</v>
      </c>
      <c r="F282" s="209" t="str">
        <f>IF(data!BJ75&gt;0,data!BJ75,"")</f>
        <v>x</v>
      </c>
      <c r="G282" s="209" t="str">
        <f>IF(data!BK75&gt;0,data!BK75,"")</f>
        <v>x</v>
      </c>
      <c r="H282" s="209" t="str">
        <f>IF(data!BL75&gt;0,data!BL75,"")</f>
        <v>x</v>
      </c>
      <c r="I282" s="209" t="str">
        <f>IF(data!BM75&gt;0,data!BM75,"")</f>
        <v>x</v>
      </c>
    </row>
    <row r="283" spans="1:9" ht="20.100000000000001" customHeight="1" x14ac:dyDescent="0.25">
      <c r="A283" s="23" t="s">
        <v>922</v>
      </c>
      <c r="B283" s="60"/>
      <c r="C283" s="211"/>
      <c r="D283" s="211"/>
      <c r="E283" s="211"/>
      <c r="F283" s="211"/>
      <c r="G283" s="211"/>
      <c r="H283" s="211"/>
      <c r="I283" s="211"/>
    </row>
    <row r="284" spans="1:9" ht="20.100000000000001" customHeight="1" x14ac:dyDescent="0.25">
      <c r="A284" s="23">
        <v>22</v>
      </c>
      <c r="B284" s="14" t="s">
        <v>923</v>
      </c>
      <c r="C284" s="85">
        <f>data!BG76</f>
        <v>1369.3</v>
      </c>
      <c r="D284" s="85">
        <f>data!BH76</f>
        <v>49236.720000000008</v>
      </c>
      <c r="E284" s="85">
        <f>data!BI76</f>
        <v>1157.22</v>
      </c>
      <c r="F284" s="85">
        <f>data!BJ76</f>
        <v>221.34</v>
      </c>
      <c r="G284" s="85">
        <f>data!BK76</f>
        <v>384.73</v>
      </c>
      <c r="H284" s="85">
        <f>data!BL76</f>
        <v>1133.1000000000001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924</v>
      </c>
      <c r="C285" s="209" t="str">
        <f>IF(data!BG77&gt;0,data!BG77,"")</f>
        <v>x</v>
      </c>
      <c r="D285" s="85">
        <f>data!BH77</f>
        <v>0</v>
      </c>
      <c r="E285" s="85">
        <f>data!BI77</f>
        <v>0</v>
      </c>
      <c r="F285" s="209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925</v>
      </c>
      <c r="C286" s="209" t="str">
        <f>IF(data!BG78&gt;0,data!BG78,"")</f>
        <v>x</v>
      </c>
      <c r="D286" s="85">
        <f>data!BH78</f>
        <v>0</v>
      </c>
      <c r="E286" s="85">
        <f>data!BI78</f>
        <v>0</v>
      </c>
      <c r="F286" s="209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926</v>
      </c>
      <c r="C287" s="209" t="str">
        <f>IF(data!BG79&gt;0,data!BG79,"")</f>
        <v>x</v>
      </c>
      <c r="D287" s="85">
        <f>data!BH79</f>
        <v>0</v>
      </c>
      <c r="E287" s="85">
        <f>data!BI79</f>
        <v>8415</v>
      </c>
      <c r="F287" s="209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09" t="str">
        <f>IF(data!BG80&gt;0,data!BG80,"")</f>
        <v>x</v>
      </c>
      <c r="D288" s="209" t="str">
        <f>IF(data!BH80&gt;0,data!BH80,"")</f>
        <v>x</v>
      </c>
      <c r="E288" s="209" t="str">
        <f>IF(data!BI80&gt;0,data!BI80,"")</f>
        <v>x</v>
      </c>
      <c r="F288" s="209" t="str">
        <f>IF(data!BJ80&gt;0,data!BJ80,"")</f>
        <v>x</v>
      </c>
      <c r="G288" s="209" t="str">
        <f>IF(data!BK80&gt;0,data!BK80,"")</f>
        <v>x</v>
      </c>
      <c r="H288" s="209" t="str">
        <f>IF(data!BL80&gt;0,data!BL80,"")</f>
        <v>x</v>
      </c>
      <c r="I288" s="209" t="str">
        <f>IF(data!BM80&gt;0,data!BM80,"")</f>
        <v>x</v>
      </c>
    </row>
    <row r="289" spans="1:9" ht="20.100000000000001" customHeight="1" x14ac:dyDescent="0.25">
      <c r="A289" s="4" t="s">
        <v>910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960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Seattle Children's</v>
      </c>
      <c r="B292" s="77"/>
      <c r="C292" s="77"/>
      <c r="D292" s="77"/>
      <c r="E292" s="77"/>
      <c r="F292" s="77"/>
      <c r="G292" s="80"/>
      <c r="H292" s="79" t="str">
        <f>"FYE: "&amp;data!C82</f>
        <v>FYE: 09/30/2019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912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961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916</v>
      </c>
      <c r="C296" s="208"/>
      <c r="D296" s="208"/>
      <c r="E296" s="208"/>
      <c r="F296" s="208"/>
      <c r="G296" s="208"/>
      <c r="H296" s="208"/>
      <c r="I296" s="208"/>
    </row>
    <row r="297" spans="1:9" ht="20.100000000000001" customHeight="1" x14ac:dyDescent="0.25">
      <c r="A297" s="23">
        <v>4</v>
      </c>
      <c r="B297" s="14" t="s">
        <v>233</v>
      </c>
      <c r="C297" s="208"/>
      <c r="D297" s="208"/>
      <c r="E297" s="208"/>
      <c r="F297" s="208"/>
      <c r="G297" s="208"/>
      <c r="H297" s="208"/>
      <c r="I297" s="208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91.911283734230778</v>
      </c>
      <c r="D298" s="26">
        <f>data!BO60</f>
        <v>13.162403874855766</v>
      </c>
      <c r="E298" s="26">
        <f>data!BP60</f>
        <v>34.573640761009614</v>
      </c>
      <c r="F298" s="26">
        <f>data!BQ60</f>
        <v>42.959501805384626</v>
      </c>
      <c r="G298" s="26">
        <f>data!BR60</f>
        <v>73.433898573846164</v>
      </c>
      <c r="H298" s="26">
        <f>data!BS60</f>
        <v>5.7102259592307689</v>
      </c>
      <c r="I298" s="26">
        <f>data!BT60</f>
        <v>7.4657756552884615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17698307.950000003</v>
      </c>
      <c r="D299" s="14">
        <f>data!BO61</f>
        <v>1268755.9899999998</v>
      </c>
      <c r="E299" s="14">
        <f>data!BP61</f>
        <v>2960894.4299999997</v>
      </c>
      <c r="F299" s="14">
        <f>data!BQ61</f>
        <v>4520814.1500000004</v>
      </c>
      <c r="G299" s="14">
        <f>data!BR61</f>
        <v>8104179.1100000003</v>
      </c>
      <c r="H299" s="14">
        <f>data!BS61</f>
        <v>386380.5</v>
      </c>
      <c r="I299" s="14">
        <f>data!BT61</f>
        <v>703453.20000000007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0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249890.59</v>
      </c>
      <c r="D302" s="14">
        <f>data!BO64</f>
        <v>720190.64000000013</v>
      </c>
      <c r="E302" s="14">
        <f>data!BP64</f>
        <v>128379.36999999998</v>
      </c>
      <c r="F302" s="14">
        <f>data!BQ64</f>
        <v>177043.29</v>
      </c>
      <c r="G302" s="14">
        <f>data!BR64</f>
        <v>208119.72000000006</v>
      </c>
      <c r="H302" s="14">
        <f>data!BS64</f>
        <v>4702.630000000001</v>
      </c>
      <c r="I302" s="14">
        <f>data!BT64</f>
        <v>21774.34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8348.2800000000007</v>
      </c>
      <c r="D303" s="14">
        <f>data!BO65</f>
        <v>0</v>
      </c>
      <c r="E303" s="14">
        <f>data!BP65</f>
        <v>1199.3800000000001</v>
      </c>
      <c r="F303" s="14">
        <f>data!BQ65</f>
        <v>1000.26</v>
      </c>
      <c r="G303" s="14">
        <f>data!BR65</f>
        <v>5094.18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6885847.3799999999</v>
      </c>
      <c r="D304" s="14">
        <f>data!BO66</f>
        <v>48730.16</v>
      </c>
      <c r="E304" s="14">
        <f>data!BP66</f>
        <v>3804603.68</v>
      </c>
      <c r="F304" s="14">
        <f>data!BQ66</f>
        <v>1849730.81</v>
      </c>
      <c r="G304" s="14">
        <f>data!BR66</f>
        <v>3602829.65</v>
      </c>
      <c r="H304" s="14">
        <f>data!BS66</f>
        <v>5835</v>
      </c>
      <c r="I304" s="14">
        <f>data!BT66</f>
        <v>13283.5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0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5742.69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1545670.1</v>
      </c>
      <c r="D307" s="14">
        <f>data!BO69</f>
        <v>21922.400000000001</v>
      </c>
      <c r="E307" s="14">
        <f>data!BP69</f>
        <v>157746.65000000002</v>
      </c>
      <c r="F307" s="14">
        <f>data!BQ69</f>
        <v>170735.97000000003</v>
      </c>
      <c r="G307" s="14">
        <f>data!BR69</f>
        <v>769059.96</v>
      </c>
      <c r="H307" s="14">
        <f>data!BS69</f>
        <v>6592.2</v>
      </c>
      <c r="I307" s="14">
        <f>data!BT69</f>
        <v>8191.0500000000011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-366015.25</v>
      </c>
      <c r="D308" s="14">
        <f>-data!BO70</f>
        <v>0</v>
      </c>
      <c r="E308" s="14">
        <f>-data!BP70</f>
        <v>-405.26</v>
      </c>
      <c r="F308" s="14">
        <f>-data!BQ70</f>
        <v>-34610.57</v>
      </c>
      <c r="G308" s="14">
        <f>-data!BR70</f>
        <v>-359.40000000000009</v>
      </c>
      <c r="H308" s="14">
        <f>-data!BS70</f>
        <v>0</v>
      </c>
      <c r="I308" s="14">
        <f>-data!BT70</f>
        <v>-20000</v>
      </c>
    </row>
    <row r="309" spans="1:9" ht="20.100000000000001" customHeight="1" x14ac:dyDescent="0.25">
      <c r="A309" s="23">
        <v>16</v>
      </c>
      <c r="B309" s="48" t="s">
        <v>917</v>
      </c>
      <c r="C309" s="14">
        <f>data!BN71</f>
        <v>26022049.050000004</v>
      </c>
      <c r="D309" s="14">
        <f>data!BO71</f>
        <v>2059599.1899999997</v>
      </c>
      <c r="E309" s="14">
        <f>data!BP71</f>
        <v>7052418.25</v>
      </c>
      <c r="F309" s="14">
        <f>data!BQ71</f>
        <v>6684713.9099999992</v>
      </c>
      <c r="G309" s="14">
        <f>data!BR71</f>
        <v>12694665.909999998</v>
      </c>
      <c r="H309" s="14">
        <f>data!BS71</f>
        <v>403510.33</v>
      </c>
      <c r="I309" s="14">
        <f>data!BT71</f>
        <v>726702.09000000008</v>
      </c>
    </row>
    <row r="310" spans="1:9" ht="20.100000000000001" customHeight="1" x14ac:dyDescent="0.25">
      <c r="A310" s="23">
        <v>17</v>
      </c>
      <c r="B310" s="14" t="s">
        <v>244</v>
      </c>
      <c r="C310" s="207"/>
      <c r="D310" s="207"/>
      <c r="E310" s="207"/>
      <c r="F310" s="207"/>
      <c r="G310" s="207"/>
      <c r="H310" s="207"/>
      <c r="I310" s="207"/>
    </row>
    <row r="311" spans="1:9" ht="20.100000000000001" customHeight="1" x14ac:dyDescent="0.25">
      <c r="A311" s="23">
        <v>18</v>
      </c>
      <c r="B311" s="14" t="s">
        <v>918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919</v>
      </c>
      <c r="C312" s="209" t="str">
        <f>IF(data!BN73&gt;0,data!BN73,"")</f>
        <v>x</v>
      </c>
      <c r="D312" s="209" t="str">
        <f>IF(data!BO73&gt;0,data!BO73,"")</f>
        <v>x</v>
      </c>
      <c r="E312" s="209" t="str">
        <f>IF(data!BP73&gt;0,data!BP73,"")</f>
        <v>x</v>
      </c>
      <c r="F312" s="209" t="str">
        <f>IF(data!BQ73&gt;0,data!BQ73,"")</f>
        <v>x</v>
      </c>
      <c r="G312" s="209" t="str">
        <f>IF(data!BR73&gt;0,data!BR73,"")</f>
        <v>x</v>
      </c>
      <c r="H312" s="209" t="str">
        <f>IF(data!BS73&gt;0,data!BS73,"")</f>
        <v>x</v>
      </c>
      <c r="I312" s="209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920</v>
      </c>
      <c r="C313" s="209" t="str">
        <f>IF(data!BN74&gt;0,data!BN74,"")</f>
        <v>x</v>
      </c>
      <c r="D313" s="209" t="str">
        <f>IF(data!BO74&gt;0,data!BO74,"")</f>
        <v>x</v>
      </c>
      <c r="E313" s="209" t="str">
        <f>IF(data!BP74&gt;0,data!BP74,"")</f>
        <v>x</v>
      </c>
      <c r="F313" s="209" t="str">
        <f>IF(data!BQ74&gt;0,data!BQ74,"")</f>
        <v>x</v>
      </c>
      <c r="G313" s="209" t="str">
        <f>IF(data!BR74&gt;0,data!BR74,"")</f>
        <v>x</v>
      </c>
      <c r="H313" s="209" t="str">
        <f>IF(data!BS74&gt;0,data!BS74,"")</f>
        <v>x</v>
      </c>
      <c r="I313" s="209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921</v>
      </c>
      <c r="C314" s="209" t="str">
        <f>IF(data!BN75&gt;0,data!BN75,"")</f>
        <v>x</v>
      </c>
      <c r="D314" s="209" t="str">
        <f>IF(data!BO75&gt;0,data!BO75,"")</f>
        <v>x</v>
      </c>
      <c r="E314" s="209" t="str">
        <f>IF(data!BP75&gt;0,data!BP75,"")</f>
        <v>x</v>
      </c>
      <c r="F314" s="209" t="str">
        <f>IF(data!BQ75&gt;0,data!BQ75,"")</f>
        <v>x</v>
      </c>
      <c r="G314" s="209" t="str">
        <f>IF(data!BR75&gt;0,data!BR75,"")</f>
        <v>x</v>
      </c>
      <c r="H314" s="209" t="str">
        <f>IF(data!BS75&gt;0,data!BS75,"")</f>
        <v>x</v>
      </c>
      <c r="I314" s="209" t="str">
        <f>IF(data!BT75&gt;0,data!BT75,"")</f>
        <v>x</v>
      </c>
    </row>
    <row r="315" spans="1:9" ht="20.100000000000001" customHeight="1" x14ac:dyDescent="0.25">
      <c r="A315" s="23" t="s">
        <v>922</v>
      </c>
      <c r="B315" s="60"/>
      <c r="C315" s="207"/>
      <c r="D315" s="207"/>
      <c r="E315" s="207"/>
      <c r="F315" s="207"/>
      <c r="G315" s="207"/>
      <c r="H315" s="207"/>
      <c r="I315" s="207"/>
    </row>
    <row r="316" spans="1:9" ht="20.100000000000001" customHeight="1" x14ac:dyDescent="0.25">
      <c r="A316" s="23">
        <v>22</v>
      </c>
      <c r="B316" s="14" t="s">
        <v>923</v>
      </c>
      <c r="C316" s="85">
        <f>data!BN76</f>
        <v>54949.67</v>
      </c>
      <c r="D316" s="85">
        <f>data!BO76</f>
        <v>0</v>
      </c>
      <c r="E316" s="85">
        <f>data!BP76</f>
        <v>7988.15</v>
      </c>
      <c r="F316" s="85">
        <f>data!BQ76</f>
        <v>3427.38</v>
      </c>
      <c r="G316" s="85">
        <f>data!BR76</f>
        <v>13009.1</v>
      </c>
      <c r="H316" s="85">
        <f>data!BS76</f>
        <v>2853.14</v>
      </c>
      <c r="I316" s="85">
        <f>data!BT76</f>
        <v>1635.85</v>
      </c>
    </row>
    <row r="317" spans="1:9" ht="20.100000000000001" customHeight="1" x14ac:dyDescent="0.25">
      <c r="A317" s="23">
        <v>23</v>
      </c>
      <c r="B317" s="14" t="s">
        <v>924</v>
      </c>
      <c r="C317" s="209" t="str">
        <f>IF(data!BN77&gt;0,data!BN77,"")</f>
        <v>x</v>
      </c>
      <c r="D317" s="209" t="str">
        <f>IF(data!BO77&gt;0,data!BO77,"")</f>
        <v>x</v>
      </c>
      <c r="E317" s="209" t="str">
        <f>IF(data!BP77&gt;0,data!BP77,"")</f>
        <v>x</v>
      </c>
      <c r="F317" s="209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925</v>
      </c>
      <c r="C318" s="209" t="str">
        <f>IF(data!BN78&gt;0,data!BN78,"")</f>
        <v>x</v>
      </c>
      <c r="D318" s="209" t="str">
        <f>IF(data!BO78&gt;0,data!BO78,"")</f>
        <v>x</v>
      </c>
      <c r="E318" s="209" t="str">
        <f>IF(data!BP78&gt;0,data!BP78,"")</f>
        <v>x</v>
      </c>
      <c r="F318" s="209" t="str">
        <f>IF(data!BQ78&gt;0,data!BQ78,"")</f>
        <v>x</v>
      </c>
      <c r="G318" s="209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926</v>
      </c>
      <c r="C319" s="209" t="str">
        <f>IF(data!BN79&gt;0,data!BN79,"")</f>
        <v>x</v>
      </c>
      <c r="D319" s="209" t="str">
        <f>IF(data!BO79&gt;0,data!BO79,"")</f>
        <v>x</v>
      </c>
      <c r="E319" s="209" t="str">
        <f>IF(data!BP79&gt;0,data!BP79,"")</f>
        <v>x</v>
      </c>
      <c r="F319" s="209" t="str">
        <f>IF(data!BQ79&gt;0,data!BQ79,"")</f>
        <v>x</v>
      </c>
      <c r="G319" s="209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2" t="str">
        <f>IF(data!BN80&gt;0,data!BN80,"")</f>
        <v>x</v>
      </c>
      <c r="D320" s="212" t="str">
        <f>IF(data!BO80&gt;0,data!BO80,"")</f>
        <v>x</v>
      </c>
      <c r="E320" s="212" t="str">
        <f>IF(data!BP80&gt;0,data!BP80,"")</f>
        <v>x</v>
      </c>
      <c r="F320" s="212" t="str">
        <f>IF(data!BQ80&gt;0,data!BQ80,"")</f>
        <v>x</v>
      </c>
      <c r="G320" s="212" t="str">
        <f>IF(data!BR80&gt;0,data!BR80,"")</f>
        <v>x</v>
      </c>
      <c r="H320" s="212" t="str">
        <f>IF(data!BS80&gt;0,data!BS80,"")</f>
        <v>x</v>
      </c>
      <c r="I320" s="212" t="str">
        <f>IF(data!BT80&gt;0,data!BT80,"")</f>
        <v>x</v>
      </c>
    </row>
    <row r="321" spans="1:9" ht="20.100000000000001" customHeight="1" x14ac:dyDescent="0.25">
      <c r="A321" s="4" t="s">
        <v>910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962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Seattle Children's</v>
      </c>
      <c r="B324" s="77"/>
      <c r="C324" s="77"/>
      <c r="D324" s="77"/>
      <c r="E324" s="77"/>
      <c r="F324" s="77"/>
      <c r="G324" s="80"/>
      <c r="H324" s="79" t="str">
        <f>"FYE: "&amp;data!C82</f>
        <v>FYE: 09/30/2019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912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961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916</v>
      </c>
      <c r="C328" s="208"/>
      <c r="D328" s="208"/>
      <c r="E328" s="208"/>
      <c r="F328" s="208"/>
      <c r="G328" s="208"/>
      <c r="H328" s="208"/>
      <c r="I328" s="208"/>
    </row>
    <row r="329" spans="1:9" ht="20.100000000000001" customHeight="1" x14ac:dyDescent="0.25">
      <c r="A329" s="23">
        <v>4</v>
      </c>
      <c r="B329" s="14" t="s">
        <v>233</v>
      </c>
      <c r="C329" s="208"/>
      <c r="D329" s="208"/>
      <c r="E329" s="208"/>
      <c r="F329" s="208"/>
      <c r="G329" s="208"/>
      <c r="H329" s="208"/>
      <c r="I329" s="208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2.8431745793269232</v>
      </c>
      <c r="D330" s="26">
        <f>data!BV60</f>
        <v>54.784807692692304</v>
      </c>
      <c r="E330" s="26">
        <f>data!BW60</f>
        <v>25.204429075673076</v>
      </c>
      <c r="F330" s="26">
        <f>data!BX60</f>
        <v>102.37927850938932</v>
      </c>
      <c r="G330" s="26">
        <f>data!BY60</f>
        <v>62.192664729903846</v>
      </c>
      <c r="H330" s="26">
        <f>data!BZ60</f>
        <v>81.312402773317288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252991.29000000004</v>
      </c>
      <c r="D331" s="86">
        <f>data!BV61</f>
        <v>3713435.6799999997</v>
      </c>
      <c r="E331" s="86">
        <f>data!BW61</f>
        <v>2210344.15</v>
      </c>
      <c r="F331" s="86">
        <f>data!BX61</f>
        <v>10831540.929999996</v>
      </c>
      <c r="G331" s="86">
        <f>data!BY61</f>
        <v>6338649.1299999999</v>
      </c>
      <c r="H331" s="86">
        <f>data!BZ61</f>
        <v>5718191.8899999997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0</v>
      </c>
      <c r="G332" s="86">
        <f>data!BY62</f>
        <v>0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1573.19</v>
      </c>
      <c r="D334" s="86">
        <f>data!BV64</f>
        <v>23077.46</v>
      </c>
      <c r="E334" s="86">
        <f>data!BW64</f>
        <v>690827.98</v>
      </c>
      <c r="F334" s="86">
        <f>data!BX64</f>
        <v>271278.90999999997</v>
      </c>
      <c r="G334" s="86">
        <f>data!BY64</f>
        <v>66926.829999999987</v>
      </c>
      <c r="H334" s="86">
        <f>data!BZ64</f>
        <v>6290.9299999999994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1794</v>
      </c>
      <c r="E335" s="86">
        <f>data!BW65</f>
        <v>2745.13</v>
      </c>
      <c r="F335" s="86">
        <f>data!BX65</f>
        <v>523.5</v>
      </c>
      <c r="G335" s="86">
        <f>data!BY65</f>
        <v>1027.6600000000001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47580.369999999995</v>
      </c>
      <c r="D336" s="86">
        <f>data!BV66</f>
        <v>1096627.9200000002</v>
      </c>
      <c r="E336" s="86">
        <f>data!BW66</f>
        <v>28921730.530000001</v>
      </c>
      <c r="F336" s="86">
        <f>data!BX66</f>
        <v>2490660.6399999997</v>
      </c>
      <c r="G336" s="86">
        <f>data!BY66</f>
        <v>204672.21000000002</v>
      </c>
      <c r="H336" s="86">
        <f>data!BZ66</f>
        <v>364754.47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0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833247.15999999992</v>
      </c>
      <c r="D339" s="86">
        <f>data!BV69</f>
        <v>19545.289999999997</v>
      </c>
      <c r="E339" s="86">
        <f>data!BW69</f>
        <v>595134.31999999995</v>
      </c>
      <c r="F339" s="86">
        <f>data!BX69</f>
        <v>359493.32000000007</v>
      </c>
      <c r="G339" s="86">
        <f>data!BY69</f>
        <v>236934.13</v>
      </c>
      <c r="H339" s="86">
        <f>data!BZ69</f>
        <v>3271.73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-13415.840000000002</v>
      </c>
      <c r="E340" s="14">
        <f>-data!BW70</f>
        <v>-58660.959999999999</v>
      </c>
      <c r="F340" s="14">
        <f>-data!BX70</f>
        <v>0</v>
      </c>
      <c r="G340" s="14">
        <f>-data!BY70</f>
        <v>8410.3799999999974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917</v>
      </c>
      <c r="C341" s="14">
        <f>data!BU71</f>
        <v>1135392.01</v>
      </c>
      <c r="D341" s="14">
        <f>data!BV71</f>
        <v>4841064.51</v>
      </c>
      <c r="E341" s="14">
        <f>data!BW71</f>
        <v>32362121.149999999</v>
      </c>
      <c r="F341" s="14">
        <f>data!BX71</f>
        <v>13953497.299999997</v>
      </c>
      <c r="G341" s="14">
        <f>data!BY71</f>
        <v>6856620.3399999999</v>
      </c>
      <c r="H341" s="14">
        <f>data!BZ71</f>
        <v>6092509.0199999996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07"/>
      <c r="D342" s="207"/>
      <c r="E342" s="207"/>
      <c r="F342" s="207"/>
      <c r="G342" s="207"/>
      <c r="H342" s="207"/>
      <c r="I342" s="207"/>
    </row>
    <row r="343" spans="1:9" ht="20.100000000000001" customHeight="1" x14ac:dyDescent="0.25">
      <c r="A343" s="23">
        <v>18</v>
      </c>
      <c r="B343" s="14" t="s">
        <v>918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919</v>
      </c>
      <c r="C344" s="209" t="str">
        <f>IF(data!BU73&gt;0,data!BU73,"")</f>
        <v>x</v>
      </c>
      <c r="D344" s="209" t="str">
        <f>IF(data!BV73&gt;0,data!BV73,"")</f>
        <v>x</v>
      </c>
      <c r="E344" s="209" t="str">
        <f>IF(data!BW73&gt;0,data!BW73,"")</f>
        <v>x</v>
      </c>
      <c r="F344" s="209" t="str">
        <f>IF(data!BX73&gt;0,data!BX73,"")</f>
        <v>x</v>
      </c>
      <c r="G344" s="209" t="str">
        <f>IF(data!BY73&gt;0,data!BY73,"")</f>
        <v>x</v>
      </c>
      <c r="H344" s="209" t="str">
        <f>IF(data!BZ73&gt;0,data!BZ73,"")</f>
        <v>x</v>
      </c>
      <c r="I344" s="209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920</v>
      </c>
      <c r="C345" s="209" t="str">
        <f>IF(data!BU74&gt;0,data!BU74,"")</f>
        <v>x</v>
      </c>
      <c r="D345" s="209" t="str">
        <f>IF(data!BV74&gt;0,data!BV74,"")</f>
        <v>x</v>
      </c>
      <c r="E345" s="209" t="str">
        <f>IF(data!BW74&gt;0,data!BW74,"")</f>
        <v>x</v>
      </c>
      <c r="F345" s="209" t="str">
        <f>IF(data!BX74&gt;0,data!BX74,"")</f>
        <v>x</v>
      </c>
      <c r="G345" s="209" t="str">
        <f>IF(data!BY74&gt;0,data!BY74,"")</f>
        <v>x</v>
      </c>
      <c r="H345" s="209" t="str">
        <f>IF(data!BZ74&gt;0,data!BZ74,"")</f>
        <v>x</v>
      </c>
      <c r="I345" s="209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921</v>
      </c>
      <c r="C346" s="209" t="str">
        <f>IF(data!BU75&gt;0,data!BU75,"")</f>
        <v>x</v>
      </c>
      <c r="D346" s="209" t="str">
        <f>IF(data!BV75&gt;0,data!BV75,"")</f>
        <v>x</v>
      </c>
      <c r="E346" s="209" t="str">
        <f>IF(data!BW75&gt;0,data!BW75,"")</f>
        <v>x</v>
      </c>
      <c r="F346" s="209" t="str">
        <f>IF(data!BX75&gt;0,data!BX75,"")</f>
        <v>x</v>
      </c>
      <c r="G346" s="209" t="str">
        <f>IF(data!BY75&gt;0,data!BY75,"")</f>
        <v>x</v>
      </c>
      <c r="H346" s="209" t="str">
        <f>IF(data!BZ75&gt;0,data!BZ75,"")</f>
        <v>x</v>
      </c>
      <c r="I346" s="209" t="str">
        <f>IF(data!CA75&gt;0,data!CA75,"")</f>
        <v>x</v>
      </c>
    </row>
    <row r="347" spans="1:9" ht="20.100000000000001" customHeight="1" x14ac:dyDescent="0.25">
      <c r="A347" s="23" t="s">
        <v>922</v>
      </c>
      <c r="B347" s="60"/>
      <c r="C347" s="207"/>
      <c r="D347" s="207"/>
      <c r="E347" s="207"/>
      <c r="F347" s="207"/>
      <c r="G347" s="207"/>
      <c r="H347" s="207"/>
      <c r="I347" s="207"/>
    </row>
    <row r="348" spans="1:9" ht="20.100000000000001" customHeight="1" x14ac:dyDescent="0.25">
      <c r="A348" s="23">
        <v>22</v>
      </c>
      <c r="B348" s="14" t="s">
        <v>923</v>
      </c>
      <c r="C348" s="85">
        <f>data!BU76</f>
        <v>4108.68</v>
      </c>
      <c r="D348" s="85">
        <f>data!BV76</f>
        <v>14228.98</v>
      </c>
      <c r="E348" s="85">
        <f>data!BW76</f>
        <v>43517.156000000003</v>
      </c>
      <c r="F348" s="85">
        <f>data!BX76</f>
        <v>3691.0499999999997</v>
      </c>
      <c r="G348" s="85">
        <f>data!BY76</f>
        <v>4977.0499999999993</v>
      </c>
      <c r="H348" s="85">
        <f>data!BZ76</f>
        <v>2392.9499999999998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924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925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926</v>
      </c>
      <c r="C351" s="85">
        <f>data!BU79</f>
        <v>0</v>
      </c>
      <c r="D351" s="85">
        <f>data!BV79</f>
        <v>0</v>
      </c>
      <c r="E351" s="85">
        <f>data!BW79</f>
        <v>22139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2" t="str">
        <f>IF(data!BU80&gt;0,data!BU80,"")</f>
        <v/>
      </c>
      <c r="D352" s="212" t="str">
        <f>IF(data!BV80&gt;0,data!BV80,"")</f>
        <v/>
      </c>
      <c r="E352" s="212" t="str">
        <f>IF(data!BW80&gt;0,data!BW80,"")</f>
        <v/>
      </c>
      <c r="F352" s="212" t="str">
        <f>IF(data!BX80&gt;0,data!BX80,"")</f>
        <v/>
      </c>
      <c r="G352" s="212" t="str">
        <f>IF(data!BY80&gt;0,data!BY80,"")</f>
        <v/>
      </c>
      <c r="H352" s="212" t="str">
        <f>IF(data!BZ80&gt;0,data!BZ80,"")</f>
        <v/>
      </c>
      <c r="I352" s="212" t="str">
        <f>IF(data!CA80&gt;0,data!CA80,"")</f>
        <v/>
      </c>
    </row>
    <row r="353" spans="1:9" ht="20.100000000000001" customHeight="1" x14ac:dyDescent="0.25">
      <c r="A353" s="4" t="s">
        <v>910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963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Seattle Children's</v>
      </c>
      <c r="B356" s="77"/>
      <c r="C356" s="77"/>
      <c r="D356" s="77"/>
      <c r="E356" s="77"/>
      <c r="F356" s="77"/>
      <c r="G356" s="80"/>
      <c r="H356" s="79" t="str">
        <f>"FYE: "&amp;data!C82</f>
        <v>FYE: 09/30/2019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912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964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916</v>
      </c>
      <c r="C360" s="208"/>
      <c r="D360" s="208"/>
      <c r="E360" s="208"/>
      <c r="F360" s="208"/>
      <c r="G360" s="208"/>
      <c r="H360" s="208"/>
      <c r="I360" s="208"/>
    </row>
    <row r="361" spans="1:9" ht="20.100000000000001" customHeight="1" x14ac:dyDescent="0.25">
      <c r="A361" s="23">
        <v>4</v>
      </c>
      <c r="B361" s="14" t="s">
        <v>233</v>
      </c>
      <c r="C361" s="208"/>
      <c r="D361" s="208"/>
      <c r="E361" s="208"/>
      <c r="F361" s="208"/>
      <c r="G361" s="208"/>
      <c r="H361" s="208"/>
      <c r="I361" s="208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252.54076322846151</v>
      </c>
      <c r="E362" s="213"/>
      <c r="F362" s="207"/>
      <c r="G362" s="207"/>
      <c r="H362" s="207"/>
      <c r="I362" s="87">
        <f>data!CE60</f>
        <v>6983.3912478078864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51973994.07</v>
      </c>
      <c r="E363" s="214"/>
      <c r="F363" s="215"/>
      <c r="G363" s="215"/>
      <c r="H363" s="215"/>
      <c r="I363" s="86">
        <f>data!CE61</f>
        <v>636328080.68999982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4"/>
      <c r="F364" s="215"/>
      <c r="G364" s="215"/>
      <c r="H364" s="215"/>
      <c r="I364" s="86">
        <f>data!CE62</f>
        <v>0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4"/>
      <c r="F365" s="215"/>
      <c r="G365" s="215"/>
      <c r="H365" s="215"/>
      <c r="I365" s="86">
        <f>data!CE63</f>
        <v>0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498353.58999999921</v>
      </c>
      <c r="E366" s="214"/>
      <c r="F366" s="215"/>
      <c r="G366" s="215"/>
      <c r="H366" s="215"/>
      <c r="I366" s="86">
        <f>data!CE64</f>
        <v>187692224.50000003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114649.41000000002</v>
      </c>
      <c r="E367" s="214"/>
      <c r="F367" s="215"/>
      <c r="G367" s="215"/>
      <c r="H367" s="215"/>
      <c r="I367" s="86">
        <f>data!CE65</f>
        <v>14680051.180000002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23566283.969999999</v>
      </c>
      <c r="E368" s="214"/>
      <c r="F368" s="215"/>
      <c r="G368" s="215"/>
      <c r="H368" s="215"/>
      <c r="I368" s="86">
        <f>data!CE66</f>
        <v>339397040.73000002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4"/>
      <c r="F369" s="215"/>
      <c r="G369" s="215"/>
      <c r="H369" s="215"/>
      <c r="I369" s="86">
        <f>data!CE67</f>
        <v>0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14098753.899999999</v>
      </c>
      <c r="E370" s="214"/>
      <c r="F370" s="215"/>
      <c r="G370" s="215"/>
      <c r="H370" s="215"/>
      <c r="I370" s="86">
        <f>data!CE68</f>
        <v>32485639.650000002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6690644.8699999973</v>
      </c>
      <c r="E371" s="86">
        <f>data!CD69</f>
        <v>61949004</v>
      </c>
      <c r="F371" s="215"/>
      <c r="G371" s="215"/>
      <c r="H371" s="215"/>
      <c r="I371" s="86">
        <f>data!CE69</f>
        <v>115445803.89999998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-49580216.240000002</v>
      </c>
      <c r="E372" s="224">
        <f>data!CD70</f>
        <v>0</v>
      </c>
      <c r="F372" s="216"/>
      <c r="G372" s="216"/>
      <c r="H372" s="216"/>
      <c r="I372" s="14">
        <f>-data!CE70</f>
        <v>-291279525.43999994</v>
      </c>
    </row>
    <row r="373" spans="1:9" ht="20.100000000000001" customHeight="1" x14ac:dyDescent="0.25">
      <c r="A373" s="23">
        <v>16</v>
      </c>
      <c r="B373" s="48" t="s">
        <v>917</v>
      </c>
      <c r="C373" s="86">
        <f>data!CB71</f>
        <v>0</v>
      </c>
      <c r="D373" s="86">
        <f>data!CC71</f>
        <v>47362463.57</v>
      </c>
      <c r="E373" s="86">
        <f>data!CD71</f>
        <v>61949004</v>
      </c>
      <c r="F373" s="215"/>
      <c r="G373" s="215"/>
      <c r="H373" s="215"/>
      <c r="I373" s="14">
        <f>data!CE71</f>
        <v>1034749315.2100002</v>
      </c>
    </row>
    <row r="374" spans="1:9" ht="20.100000000000001" customHeight="1" x14ac:dyDescent="0.25">
      <c r="A374" s="23">
        <v>17</v>
      </c>
      <c r="B374" s="14" t="s">
        <v>244</v>
      </c>
      <c r="C374" s="215"/>
      <c r="D374" s="215"/>
      <c r="E374" s="215"/>
      <c r="F374" s="215"/>
      <c r="G374" s="215"/>
      <c r="H374" s="215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918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919</v>
      </c>
      <c r="C376" s="209" t="str">
        <f>IF(data!CB73&gt;0,data!CB73,"")</f>
        <v>x</v>
      </c>
      <c r="D376" s="209" t="str">
        <f>IF(data!CC73&gt;0,data!CC73,"")</f>
        <v>x</v>
      </c>
      <c r="E376" s="210"/>
      <c r="F376" s="207"/>
      <c r="G376" s="207"/>
      <c r="H376" s="207"/>
      <c r="I376" s="85">
        <f>data!CE73</f>
        <v>1754592481.3200004</v>
      </c>
    </row>
    <row r="377" spans="1:9" ht="20.100000000000001" customHeight="1" x14ac:dyDescent="0.25">
      <c r="A377" s="23">
        <v>20</v>
      </c>
      <c r="B377" s="48" t="s">
        <v>920</v>
      </c>
      <c r="C377" s="209" t="str">
        <f>IF(data!CB74&gt;0,data!CB74,"")</f>
        <v>x</v>
      </c>
      <c r="D377" s="209" t="str">
        <f>IF(data!CC74&gt;0,data!CC74,"")</f>
        <v>x</v>
      </c>
      <c r="E377" s="210"/>
      <c r="F377" s="207"/>
      <c r="G377" s="207"/>
      <c r="H377" s="207"/>
      <c r="I377" s="85">
        <f>data!CE74</f>
        <v>1008947426.7499999</v>
      </c>
    </row>
    <row r="378" spans="1:9" ht="20.100000000000001" customHeight="1" x14ac:dyDescent="0.25">
      <c r="A378" s="23">
        <v>21</v>
      </c>
      <c r="B378" s="48" t="s">
        <v>921</v>
      </c>
      <c r="C378" s="209" t="str">
        <f>IF(data!CB75&gt;0,data!CB75,"")</f>
        <v>x</v>
      </c>
      <c r="D378" s="209" t="str">
        <f>IF(data!CC75&gt;0,data!CC75,"")</f>
        <v>x</v>
      </c>
      <c r="E378" s="210"/>
      <c r="F378" s="207"/>
      <c r="G378" s="207"/>
      <c r="H378" s="207"/>
      <c r="I378" s="85">
        <f>data!CE75</f>
        <v>2763539908.0699997</v>
      </c>
    </row>
    <row r="379" spans="1:9" ht="20.100000000000001" customHeight="1" x14ac:dyDescent="0.25">
      <c r="A379" s="23" t="s">
        <v>922</v>
      </c>
      <c r="B379" s="60"/>
      <c r="C379" s="207"/>
      <c r="D379" s="207"/>
      <c r="E379" s="207"/>
      <c r="F379" s="207"/>
      <c r="G379" s="207"/>
      <c r="H379" s="207"/>
      <c r="I379" s="207"/>
    </row>
    <row r="380" spans="1:9" ht="20.100000000000001" customHeight="1" x14ac:dyDescent="0.25">
      <c r="A380" s="23">
        <v>22</v>
      </c>
      <c r="B380" s="14" t="s">
        <v>923</v>
      </c>
      <c r="C380" s="85">
        <f>data!CB76</f>
        <v>0</v>
      </c>
      <c r="D380" s="85">
        <f>data!CC76</f>
        <v>30285.510000000002</v>
      </c>
      <c r="E380" s="210"/>
      <c r="F380" s="207"/>
      <c r="G380" s="207"/>
      <c r="H380" s="207"/>
      <c r="I380" s="14">
        <f>data!CE76</f>
        <v>1380937.6146800872</v>
      </c>
    </row>
    <row r="381" spans="1:9" ht="20.100000000000001" customHeight="1" x14ac:dyDescent="0.25">
      <c r="A381" s="23">
        <v>23</v>
      </c>
      <c r="B381" s="14" t="s">
        <v>924</v>
      </c>
      <c r="C381" s="14" t="str">
        <f>IF(data!CB77&gt;0,data!CB77,"")</f>
        <v/>
      </c>
      <c r="D381" s="209" t="str">
        <f>IF(data!CC77&gt;0,data!CC77,"")</f>
        <v>x</v>
      </c>
      <c r="E381" s="210"/>
      <c r="F381" s="207"/>
      <c r="G381" s="207"/>
      <c r="H381" s="207"/>
      <c r="I381" s="14">
        <f>data!CE77</f>
        <v>1092264</v>
      </c>
    </row>
    <row r="382" spans="1:9" ht="20.100000000000001" customHeight="1" x14ac:dyDescent="0.25">
      <c r="A382" s="23">
        <v>24</v>
      </c>
      <c r="B382" s="14" t="s">
        <v>925</v>
      </c>
      <c r="C382" s="14" t="str">
        <f>IF(data!CB78&gt;0,data!CB78,"")</f>
        <v/>
      </c>
      <c r="D382" s="209" t="str">
        <f>IF(data!CC78&gt;0,data!CC78,"")</f>
        <v>x</v>
      </c>
      <c r="E382" s="210"/>
      <c r="F382" s="207"/>
      <c r="G382" s="207"/>
      <c r="H382" s="207"/>
      <c r="I382" s="14">
        <f>data!CE78</f>
        <v>207564</v>
      </c>
    </row>
    <row r="383" spans="1:9" ht="20.100000000000001" customHeight="1" x14ac:dyDescent="0.25">
      <c r="A383" s="23">
        <v>25</v>
      </c>
      <c r="B383" s="14" t="s">
        <v>926</v>
      </c>
      <c r="C383" s="14" t="str">
        <f>IF(data!CB79&gt;0,data!CB79,"")</f>
        <v/>
      </c>
      <c r="D383" s="209" t="str">
        <f>IF(data!CC79&gt;0,data!CC79,"")</f>
        <v>x</v>
      </c>
      <c r="E383" s="210"/>
      <c r="F383" s="207"/>
      <c r="G383" s="207"/>
      <c r="H383" s="207"/>
      <c r="I383" s="14">
        <f>data!CE79</f>
        <v>3562788</v>
      </c>
    </row>
    <row r="384" spans="1:9" ht="20.100000000000001" customHeight="1" x14ac:dyDescent="0.25">
      <c r="A384" s="23">
        <v>26</v>
      </c>
      <c r="B384" s="14" t="s">
        <v>252</v>
      </c>
      <c r="C384" s="209" t="str">
        <f>IF(data!CB80&gt;0,data!CB80,"")</f>
        <v/>
      </c>
      <c r="D384" s="209" t="str">
        <f>IF(data!CC80&gt;0,data!CC80,"")</f>
        <v>x</v>
      </c>
      <c r="E384" s="213"/>
      <c r="F384" s="207"/>
      <c r="G384" s="207"/>
      <c r="H384" s="207"/>
      <c r="I384" s="84">
        <f>data!CE80</f>
        <v>1427.4433592791634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16</vt:i4>
      </vt:variant>
    </vt:vector>
  </HeadingPairs>
  <TitlesOfParts>
    <vt:vector size="3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Revenue</vt:lpstr>
      <vt:lpstr>GL293</vt:lpstr>
      <vt:lpstr>BS</vt:lpstr>
      <vt:lpstr>NACHRI 19</vt:lpstr>
      <vt:lpstr>NACHRI</vt:lpstr>
      <vt:lpstr>801 SCH 2019 </vt:lpstr>
      <vt:lpstr>802 SCH 2019 </vt:lpstr>
      <vt:lpstr>BS details</vt:lpstr>
      <vt:lpstr>P&amp;L detail</vt:lpstr>
      <vt:lpstr>'Prior Year'!Edit</vt:lpstr>
      <vt:lpstr>Edit</vt:lpstr>
      <vt:lpstr>'801 SCH 2019 '!Print_Area</vt:lpstr>
      <vt:lpstr>'BS details'!Print_Area</vt:lpstr>
      <vt:lpstr>'CC''s'!Print_Area</vt:lpstr>
      <vt:lpstr>data!Print_Area</vt:lpstr>
      <vt:lpstr>FS!Print_Area</vt:lpstr>
      <vt:lpstr>INFO_PG1!Print_Area</vt:lpstr>
      <vt:lpstr>INFO_PG2!Print_Area</vt:lpstr>
      <vt:lpstr>NACHRI!Print_Area</vt:lpstr>
      <vt:lpstr>'NACHRI 19'!Print_Area</vt:lpstr>
      <vt:lpstr>'P&amp;L detail'!Print_Area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2020-11-20T21:47:38Z</dcterms:modified>
</cp:coreProperties>
</file>