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C51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N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G815" i="10" s="1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I815" i="10" s="1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E545" i="10"/>
  <c r="E544" i="10"/>
  <c r="F544" i="10"/>
  <c r="F540" i="10"/>
  <c r="E540" i="10"/>
  <c r="H540" i="10"/>
  <c r="H539" i="10"/>
  <c r="E539" i="10"/>
  <c r="F539" i="10"/>
  <c r="H538" i="10"/>
  <c r="F538" i="10"/>
  <c r="E538" i="10"/>
  <c r="F537" i="10"/>
  <c r="E537" i="10"/>
  <c r="H537" i="10"/>
  <c r="F536" i="10"/>
  <c r="E536" i="10"/>
  <c r="H536" i="10"/>
  <c r="H535" i="10"/>
  <c r="F535" i="10"/>
  <c r="E535" i="10"/>
  <c r="E534" i="10"/>
  <c r="F533" i="10"/>
  <c r="E533" i="10"/>
  <c r="H533" i="10"/>
  <c r="H532" i="10"/>
  <c r="F532" i="10"/>
  <c r="E532" i="10"/>
  <c r="H531" i="10"/>
  <c r="E531" i="10"/>
  <c r="F531" i="10"/>
  <c r="E530" i="10"/>
  <c r="E529" i="10"/>
  <c r="F528" i="10"/>
  <c r="E528" i="10"/>
  <c r="H527" i="10"/>
  <c r="F527" i="10"/>
  <c r="E527" i="10"/>
  <c r="F526" i="10"/>
  <c r="E526" i="10"/>
  <c r="F525" i="10"/>
  <c r="E525" i="10"/>
  <c r="E524" i="10"/>
  <c r="E523" i="10"/>
  <c r="E522" i="10"/>
  <c r="F521" i="10"/>
  <c r="F520" i="10"/>
  <c r="E520" i="10"/>
  <c r="F519" i="10"/>
  <c r="E519" i="10"/>
  <c r="E518" i="10"/>
  <c r="E517" i="10"/>
  <c r="E516" i="10"/>
  <c r="E515" i="10"/>
  <c r="F514" i="10"/>
  <c r="E514" i="10"/>
  <c r="F513" i="10"/>
  <c r="E511" i="10"/>
  <c r="F510" i="10"/>
  <c r="E510" i="10"/>
  <c r="E509" i="10"/>
  <c r="F509" i="10"/>
  <c r="F508" i="10"/>
  <c r="E508" i="10"/>
  <c r="H508" i="10"/>
  <c r="F507" i="10"/>
  <c r="E507" i="10"/>
  <c r="H507" i="10"/>
  <c r="E506" i="10"/>
  <c r="H506" i="10"/>
  <c r="H505" i="10"/>
  <c r="E505" i="10"/>
  <c r="F505" i="10"/>
  <c r="E504" i="10"/>
  <c r="E503" i="10"/>
  <c r="H502" i="10"/>
  <c r="F502" i="10"/>
  <c r="E502" i="10"/>
  <c r="E501" i="10"/>
  <c r="F501" i="10"/>
  <c r="F500" i="10"/>
  <c r="E500" i="10"/>
  <c r="H500" i="10"/>
  <c r="F499" i="10"/>
  <c r="E499" i="10"/>
  <c r="H499" i="10"/>
  <c r="E498" i="10"/>
  <c r="H497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C468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C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1" i="10"/>
  <c r="N817" i="10" s="1"/>
  <c r="D329" i="10"/>
  <c r="D328" i="10"/>
  <c r="D330" i="10" s="1"/>
  <c r="D319" i="10"/>
  <c r="D314" i="10"/>
  <c r="D339" i="10" s="1"/>
  <c r="C482" i="10" s="1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CF79" i="10"/>
  <c r="CE79" i="10"/>
  <c r="S816" i="10" s="1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CE68" i="10"/>
  <c r="K816" i="10" s="1"/>
  <c r="CE66" i="10"/>
  <c r="CE65" i="10"/>
  <c r="H816" i="10" s="1"/>
  <c r="CE64" i="10"/>
  <c r="CE63" i="10"/>
  <c r="BZ62" i="10"/>
  <c r="BK62" i="10"/>
  <c r="E794" i="10" s="1"/>
  <c r="AR62" i="10"/>
  <c r="E775" i="10" s="1"/>
  <c r="D62" i="10"/>
  <c r="E735" i="10" s="1"/>
  <c r="CE61" i="10"/>
  <c r="D816" i="10" s="1"/>
  <c r="CE60" i="10"/>
  <c r="B53" i="10"/>
  <c r="CE51" i="10"/>
  <c r="B49" i="10"/>
  <c r="CC48" i="10"/>
  <c r="CC62" i="10" s="1"/>
  <c r="CB48" i="10"/>
  <c r="CB62" i="10" s="1"/>
  <c r="CA48" i="10"/>
  <c r="CA62" i="10" s="1"/>
  <c r="BZ48" i="10"/>
  <c r="BY48" i="10"/>
  <c r="BY62" i="10" s="1"/>
  <c r="BX48" i="10"/>
  <c r="BX62" i="10" s="1"/>
  <c r="E807" i="10" s="1"/>
  <c r="BV48" i="10"/>
  <c r="BV62" i="10" s="1"/>
  <c r="BU48" i="10"/>
  <c r="BU62" i="10" s="1"/>
  <c r="BT48" i="10"/>
  <c r="BT62" i="10" s="1"/>
  <c r="BS48" i="10"/>
  <c r="BS62" i="10" s="1"/>
  <c r="E802" i="10" s="1"/>
  <c r="BR48" i="10"/>
  <c r="BR62" i="10" s="1"/>
  <c r="BQ48" i="10"/>
  <c r="BQ62" i="10" s="1"/>
  <c r="BP48" i="10"/>
  <c r="BP62" i="10" s="1"/>
  <c r="BN48" i="10"/>
  <c r="BN62" i="10" s="1"/>
  <c r="BM48" i="10"/>
  <c r="BM62" i="10" s="1"/>
  <c r="BL48" i="10"/>
  <c r="BL62" i="10" s="1"/>
  <c r="BK48" i="10"/>
  <c r="BJ48" i="10"/>
  <c r="BJ62" i="10" s="1"/>
  <c r="BI48" i="10"/>
  <c r="BI62" i="10" s="1"/>
  <c r="BH48" i="10"/>
  <c r="BH62" i="10" s="1"/>
  <c r="BG48" i="10"/>
  <c r="BG62" i="10" s="1"/>
  <c r="BF48" i="10"/>
  <c r="BF62" i="10" s="1"/>
  <c r="BE48" i="10"/>
  <c r="BE62" i="10" s="1"/>
  <c r="E788" i="10" s="1"/>
  <c r="BD48" i="10"/>
  <c r="BD62" i="10" s="1"/>
  <c r="BC48" i="10"/>
  <c r="BC62" i="10" s="1"/>
  <c r="E786" i="10" s="1"/>
  <c r="BB48" i="10"/>
  <c r="BB62" i="10" s="1"/>
  <c r="BA48" i="10"/>
  <c r="BA62" i="10" s="1"/>
  <c r="AZ48" i="10"/>
  <c r="AZ62" i="10" s="1"/>
  <c r="AY48" i="10"/>
  <c r="AY62" i="10" s="1"/>
  <c r="AX48" i="10"/>
  <c r="AX62" i="10" s="1"/>
  <c r="AW48" i="10"/>
  <c r="AW62" i="10" s="1"/>
  <c r="E780" i="10" s="1"/>
  <c r="AV48" i="10"/>
  <c r="AV62" i="10" s="1"/>
  <c r="AU48" i="10"/>
  <c r="AU62" i="10" s="1"/>
  <c r="AT48" i="10"/>
  <c r="AT62" i="10" s="1"/>
  <c r="AS48" i="10"/>
  <c r="AS62" i="10" s="1"/>
  <c r="AR48" i="10"/>
  <c r="AQ48" i="10"/>
  <c r="AQ62" i="10" s="1"/>
  <c r="AP48" i="10"/>
  <c r="AP62" i="10" s="1"/>
  <c r="AO48" i="10"/>
  <c r="AO62" i="10" s="1"/>
  <c r="E772" i="10" s="1"/>
  <c r="AN48" i="10"/>
  <c r="AN62" i="10" s="1"/>
  <c r="AM48" i="10"/>
  <c r="AM62" i="10" s="1"/>
  <c r="E770" i="10" s="1"/>
  <c r="AL48" i="10"/>
  <c r="AL62" i="10" s="1"/>
  <c r="AK48" i="10"/>
  <c r="AK62" i="10" s="1"/>
  <c r="AJ48" i="10"/>
  <c r="AJ62" i="10" s="1"/>
  <c r="AI48" i="10"/>
  <c r="AI62" i="10" s="1"/>
  <c r="E766" i="10" s="1"/>
  <c r="AH48" i="10"/>
  <c r="AH62" i="10" s="1"/>
  <c r="AG48" i="10"/>
  <c r="AG62" i="10" s="1"/>
  <c r="E764" i="10" s="1"/>
  <c r="AF48" i="10"/>
  <c r="AF62" i="10" s="1"/>
  <c r="AE48" i="10"/>
  <c r="AE62" i="10" s="1"/>
  <c r="E762" i="10" s="1"/>
  <c r="AD48" i="10"/>
  <c r="AD62" i="10" s="1"/>
  <c r="AC48" i="10"/>
  <c r="AC62" i="10" s="1"/>
  <c r="AB48" i="10"/>
  <c r="AB62" i="10" s="1"/>
  <c r="AA48" i="10"/>
  <c r="AA62" i="10" s="1"/>
  <c r="Z48" i="10"/>
  <c r="Z62" i="10" s="1"/>
  <c r="Y48" i="10"/>
  <c r="Y62" i="10" s="1"/>
  <c r="X48" i="10"/>
  <c r="X62" i="10" s="1"/>
  <c r="W48" i="10"/>
  <c r="W62" i="10" s="1"/>
  <c r="E754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E748" i="10" s="1"/>
  <c r="P48" i="10"/>
  <c r="P62" i="10" s="1"/>
  <c r="O48" i="10"/>
  <c r="O62" i="10" s="1"/>
  <c r="N48" i="10"/>
  <c r="N62" i="10" s="1"/>
  <c r="M48" i="10"/>
  <c r="M62" i="10" s="1"/>
  <c r="L48" i="10"/>
  <c r="L62" i="10" s="1"/>
  <c r="E743" i="10" s="1"/>
  <c r="K48" i="10"/>
  <c r="K62" i="10" s="1"/>
  <c r="J48" i="10"/>
  <c r="J62" i="10" s="1"/>
  <c r="I48" i="10"/>
  <c r="I62" i="10" s="1"/>
  <c r="E740" i="10" s="1"/>
  <c r="H48" i="10"/>
  <c r="H62" i="10" s="1"/>
  <c r="G48" i="10"/>
  <c r="G62" i="10" s="1"/>
  <c r="E738" i="10" s="1"/>
  <c r="F48" i="10"/>
  <c r="F62" i="10" s="1"/>
  <c r="E48" i="10"/>
  <c r="E62" i="10" s="1"/>
  <c r="D48" i="10"/>
  <c r="C48" i="10"/>
  <c r="C62" i="10" s="1"/>
  <c r="E734" i="10" s="1"/>
  <c r="CE47" i="10"/>
  <c r="E204" i="10" l="1"/>
  <c r="C476" i="10" s="1"/>
  <c r="D277" i="10"/>
  <c r="O815" i="10"/>
  <c r="C431" i="10"/>
  <c r="R815" i="10"/>
  <c r="P815" i="10"/>
  <c r="B440" i="10"/>
  <c r="B465" i="10"/>
  <c r="E801" i="10"/>
  <c r="E769" i="10"/>
  <c r="E746" i="10"/>
  <c r="E778" i="10"/>
  <c r="E803" i="10"/>
  <c r="E761" i="10"/>
  <c r="E739" i="10"/>
  <c r="E747" i="10"/>
  <c r="E755" i="10"/>
  <c r="E763" i="10"/>
  <c r="E771" i="10"/>
  <c r="E779" i="10"/>
  <c r="E787" i="10"/>
  <c r="E795" i="10"/>
  <c r="E736" i="10"/>
  <c r="E753" i="10"/>
  <c r="E811" i="10"/>
  <c r="E757" i="10"/>
  <c r="E789" i="10"/>
  <c r="E785" i="10"/>
  <c r="E742" i="10"/>
  <c r="E750" i="10"/>
  <c r="E758" i="10"/>
  <c r="E774" i="10"/>
  <c r="E782" i="10"/>
  <c r="E790" i="10"/>
  <c r="E799" i="10"/>
  <c r="E810" i="10"/>
  <c r="E737" i="10"/>
  <c r="E793" i="10"/>
  <c r="E751" i="10"/>
  <c r="E759" i="10"/>
  <c r="E767" i="10"/>
  <c r="E783" i="10"/>
  <c r="E791" i="10"/>
  <c r="F496" i="10"/>
  <c r="E812" i="10"/>
  <c r="E809" i="10"/>
  <c r="E741" i="10"/>
  <c r="E773" i="10"/>
  <c r="E805" i="10"/>
  <c r="D435" i="10"/>
  <c r="D438" i="10"/>
  <c r="G612" i="10"/>
  <c r="Q816" i="10"/>
  <c r="CF77" i="10"/>
  <c r="C427" i="10"/>
  <c r="F503" i="10"/>
  <c r="F522" i="10"/>
  <c r="I816" i="10"/>
  <c r="C432" i="10"/>
  <c r="E804" i="10"/>
  <c r="F516" i="10"/>
  <c r="D368" i="10"/>
  <c r="D373" i="10" s="1"/>
  <c r="D391" i="10" s="1"/>
  <c r="D393" i="10" s="1"/>
  <c r="D396" i="10" s="1"/>
  <c r="C448" i="10"/>
  <c r="H504" i="10"/>
  <c r="F504" i="10"/>
  <c r="F545" i="10"/>
  <c r="E765" i="10"/>
  <c r="F511" i="10"/>
  <c r="H530" i="10"/>
  <c r="F530" i="10"/>
  <c r="BO48" i="10"/>
  <c r="BO62" i="10" s="1"/>
  <c r="BW48" i="10"/>
  <c r="BW62" i="10" s="1"/>
  <c r="T816" i="10"/>
  <c r="L612" i="10"/>
  <c r="B444" i="10"/>
  <c r="E749" i="10"/>
  <c r="E781" i="10"/>
  <c r="L816" i="10"/>
  <c r="C440" i="10"/>
  <c r="D242" i="10"/>
  <c r="B448" i="10" s="1"/>
  <c r="F512" i="10"/>
  <c r="F534" i="10"/>
  <c r="H534" i="10"/>
  <c r="F550" i="10"/>
  <c r="E756" i="10"/>
  <c r="E744" i="10"/>
  <c r="E752" i="10"/>
  <c r="E760" i="10"/>
  <c r="E768" i="10"/>
  <c r="E776" i="10"/>
  <c r="E784" i="10"/>
  <c r="E792" i="10"/>
  <c r="E800" i="10"/>
  <c r="E808" i="10"/>
  <c r="F816" i="10"/>
  <c r="C429" i="10"/>
  <c r="O816" i="10"/>
  <c r="C463" i="10"/>
  <c r="CE75" i="10"/>
  <c r="E217" i="10"/>
  <c r="C478" i="10" s="1"/>
  <c r="D292" i="10"/>
  <c r="D341" i="10" s="1"/>
  <c r="C481" i="10" s="1"/>
  <c r="F517" i="10"/>
  <c r="E797" i="10"/>
  <c r="E796" i="10"/>
  <c r="E745" i="10"/>
  <c r="E777" i="10"/>
  <c r="C816" i="10"/>
  <c r="H612" i="10"/>
  <c r="BI730" i="10"/>
  <c r="G816" i="10"/>
  <c r="F612" i="10"/>
  <c r="C430" i="10"/>
  <c r="F515" i="10"/>
  <c r="H515" i="10"/>
  <c r="F529" i="10"/>
  <c r="C458" i="10"/>
  <c r="Q815" i="10"/>
  <c r="P816" i="10"/>
  <c r="D612" i="10"/>
  <c r="F498" i="10"/>
  <c r="F506" i="10"/>
  <c r="F518" i="10"/>
  <c r="F524" i="10"/>
  <c r="N815" i="10"/>
  <c r="CF76" i="10"/>
  <c r="F523" i="10"/>
  <c r="H815" i="10"/>
  <c r="I612" i="10"/>
  <c r="J612" i="10"/>
  <c r="S815" i="10"/>
  <c r="K815" i="10"/>
  <c r="T815" i="10"/>
  <c r="C815" i="10"/>
  <c r="L815" i="10"/>
  <c r="D815" i="10"/>
  <c r="M815" i="10"/>
  <c r="F815" i="10"/>
  <c r="F493" i="1"/>
  <c r="E493" i="1"/>
  <c r="D493" i="1"/>
  <c r="B493" i="1"/>
  <c r="B575" i="1"/>
  <c r="N816" i="10" l="1"/>
  <c r="K612" i="10"/>
  <c r="C465" i="10"/>
  <c r="E806" i="10"/>
  <c r="L52" i="10"/>
  <c r="L67" i="10" s="1"/>
  <c r="Z52" i="10"/>
  <c r="Z67" i="10" s="1"/>
  <c r="BK52" i="10"/>
  <c r="BK67" i="10" s="1"/>
  <c r="AM52" i="10"/>
  <c r="AM67" i="10" s="1"/>
  <c r="G52" i="10"/>
  <c r="G67" i="10" s="1"/>
  <c r="BR52" i="10"/>
  <c r="BR67" i="10" s="1"/>
  <c r="BB52" i="10"/>
  <c r="BB67" i="10" s="1"/>
  <c r="V52" i="10"/>
  <c r="V67" i="10" s="1"/>
  <c r="BW52" i="10"/>
  <c r="BW67" i="10" s="1"/>
  <c r="J806" i="10" s="1"/>
  <c r="BO52" i="10"/>
  <c r="BO67" i="10" s="1"/>
  <c r="J798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V52" i="10"/>
  <c r="BV67" i="10" s="1"/>
  <c r="AX52" i="10"/>
  <c r="AX67" i="10" s="1"/>
  <c r="AH52" i="10"/>
  <c r="AH67" i="10" s="1"/>
  <c r="BS52" i="10"/>
  <c r="BS67" i="10" s="1"/>
  <c r="O52" i="10"/>
  <c r="O67" i="10" s="1"/>
  <c r="BF52" i="10"/>
  <c r="BF67" i="10" s="1"/>
  <c r="AP52" i="10"/>
  <c r="AP67" i="10" s="1"/>
  <c r="R52" i="10"/>
  <c r="R67" i="10" s="1"/>
  <c r="W52" i="10"/>
  <c r="W67" i="10" s="1"/>
  <c r="AD52" i="10"/>
  <c r="AD67" i="10" s="1"/>
  <c r="F52" i="10"/>
  <c r="F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Z52" i="10"/>
  <c r="BZ67" i="10" s="1"/>
  <c r="BJ52" i="10"/>
  <c r="BJ67" i="10" s="1"/>
  <c r="AL52" i="10"/>
  <c r="AL67" i="10" s="1"/>
  <c r="N52" i="10"/>
  <c r="N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AT52" i="10"/>
  <c r="AT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D52" i="10"/>
  <c r="D67" i="10" s="1"/>
  <c r="BN52" i="10"/>
  <c r="BN67" i="10" s="1"/>
  <c r="J52" i="10"/>
  <c r="J67" i="10" s="1"/>
  <c r="CA52" i="10"/>
  <c r="CA67" i="10" s="1"/>
  <c r="BC52" i="10"/>
  <c r="BC67" i="10" s="1"/>
  <c r="AU52" i="10"/>
  <c r="AU67" i="10" s="1"/>
  <c r="AE52" i="10"/>
  <c r="AE67" i="10" s="1"/>
  <c r="E798" i="10"/>
  <c r="CE62" i="10"/>
  <c r="CE48" i="10"/>
  <c r="A493" i="1"/>
  <c r="C115" i="8"/>
  <c r="C444" i="1"/>
  <c r="D367" i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C434" i="1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M75" i="1"/>
  <c r="F58" i="9" s="1"/>
  <c r="L75" i="1"/>
  <c r="E58" i="9"/>
  <c r="I75" i="1"/>
  <c r="I26" i="9" s="1"/>
  <c r="H75" i="1"/>
  <c r="H26" i="9" s="1"/>
  <c r="G75" i="1"/>
  <c r="F75" i="1"/>
  <c r="AV75" i="1"/>
  <c r="AP75" i="1"/>
  <c r="G186" i="9" s="1"/>
  <c r="AJ75" i="1"/>
  <c r="AL75" i="1"/>
  <c r="C186" i="9" s="1"/>
  <c r="AK75" i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75" i="1"/>
  <c r="C26" i="9" s="1"/>
  <c r="CE80" i="1"/>
  <c r="CE78" i="1"/>
  <c r="I382" i="9" s="1"/>
  <c r="CE69" i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D433" i="1" s="1"/>
  <c r="E196" i="1"/>
  <c r="F8" i="6" s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B204" i="1"/>
  <c r="D190" i="1"/>
  <c r="D437" i="1" s="1"/>
  <c r="D186" i="1"/>
  <c r="D436" i="1" s="1"/>
  <c r="D181" i="1"/>
  <c r="D177" i="1"/>
  <c r="C20" i="5" s="1"/>
  <c r="E154" i="1"/>
  <c r="F28" i="4" s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T48" i="1"/>
  <c r="T62" i="1" s="1"/>
  <c r="H48" i="1"/>
  <c r="H62" i="1" s="1"/>
  <c r="D368" i="1"/>
  <c r="C120" i="8" s="1"/>
  <c r="C34" i="5"/>
  <c r="C473" i="1"/>
  <c r="F12" i="6"/>
  <c r="C469" i="1"/>
  <c r="I377" i="9"/>
  <c r="C464" i="1"/>
  <c r="G122" i="9"/>
  <c r="C218" i="9"/>
  <c r="D366" i="9"/>
  <c r="CE64" i="1"/>
  <c r="I366" i="9" s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G48" i="1"/>
  <c r="G62" i="1" s="1"/>
  <c r="G12" i="9" s="1"/>
  <c r="BS48" i="1"/>
  <c r="BS62" i="1" s="1"/>
  <c r="BC48" i="1"/>
  <c r="BC62" i="1" s="1"/>
  <c r="C427" i="1"/>
  <c r="CD71" i="1"/>
  <c r="E373" i="9" s="1"/>
  <c r="U48" i="1"/>
  <c r="U62" i="1" s="1"/>
  <c r="G76" i="9" s="1"/>
  <c r="BE48" i="1"/>
  <c r="BE62" i="1" s="1"/>
  <c r="CC48" i="1"/>
  <c r="CC62" i="1" s="1"/>
  <c r="BG48" i="1"/>
  <c r="BG62" i="1" s="1"/>
  <c r="C268" i="9" s="1"/>
  <c r="AA48" i="1"/>
  <c r="AA62" i="1" s="1"/>
  <c r="F108" i="9" s="1"/>
  <c r="C615" i="1"/>
  <c r="CB48" i="1"/>
  <c r="CB62" i="1" s="1"/>
  <c r="C364" i="9" s="1"/>
  <c r="E372" i="9"/>
  <c r="BP48" i="1"/>
  <c r="BP62" i="1" s="1"/>
  <c r="BH48" i="1"/>
  <c r="BH62" i="1" s="1"/>
  <c r="BB48" i="1"/>
  <c r="BB62" i="1" s="1"/>
  <c r="AT48" i="1"/>
  <c r="AT62" i="1" s="1"/>
  <c r="AL48" i="1"/>
  <c r="AL62" i="1" s="1"/>
  <c r="AF48" i="1"/>
  <c r="AF62" i="1" s="1"/>
  <c r="D140" i="9" s="1"/>
  <c r="R48" i="1"/>
  <c r="R62" i="1" s="1"/>
  <c r="C575" i="1"/>
  <c r="I372" i="9"/>
  <c r="B10" i="4" l="1"/>
  <c r="C475" i="1"/>
  <c r="B19" i="4"/>
  <c r="D32" i="6"/>
  <c r="B440" i="1"/>
  <c r="I370" i="9"/>
  <c r="C112" i="8"/>
  <c r="D428" i="1"/>
  <c r="G28" i="4"/>
  <c r="C415" i="1"/>
  <c r="I612" i="1"/>
  <c r="G612" i="1"/>
  <c r="CF77" i="1"/>
  <c r="I381" i="9"/>
  <c r="D186" i="9"/>
  <c r="I90" i="9"/>
  <c r="J48" i="1"/>
  <c r="J62" i="1" s="1"/>
  <c r="C44" i="9" s="1"/>
  <c r="Z48" i="1"/>
  <c r="Z62" i="1" s="1"/>
  <c r="E108" i="9" s="1"/>
  <c r="AP48" i="1"/>
  <c r="AP62" i="1" s="1"/>
  <c r="G172" i="9" s="1"/>
  <c r="AX48" i="1"/>
  <c r="AX62" i="1" s="1"/>
  <c r="BD48" i="1"/>
  <c r="BD62" i="1" s="1"/>
  <c r="BL48" i="1"/>
  <c r="BL62" i="1" s="1"/>
  <c r="BT48" i="1"/>
  <c r="BT62" i="1" s="1"/>
  <c r="I300" i="9" s="1"/>
  <c r="BY48" i="1"/>
  <c r="BY62" i="1" s="1"/>
  <c r="G332" i="9" s="1"/>
  <c r="H12" i="9"/>
  <c r="K48" i="1"/>
  <c r="K62" i="1" s="1"/>
  <c r="D44" i="9" s="1"/>
  <c r="AQ48" i="1"/>
  <c r="AQ62" i="1" s="1"/>
  <c r="H172" i="9" s="1"/>
  <c r="Q48" i="1"/>
  <c r="Q62" i="1" s="1"/>
  <c r="AO48" i="1"/>
  <c r="AO62" i="1" s="1"/>
  <c r="BU48" i="1"/>
  <c r="BU62" i="1" s="1"/>
  <c r="C332" i="9" s="1"/>
  <c r="BA48" i="1"/>
  <c r="BA62" i="1" s="1"/>
  <c r="AM48" i="1"/>
  <c r="AM62" i="1" s="1"/>
  <c r="D172" i="9" s="1"/>
  <c r="AE48" i="1"/>
  <c r="AE62" i="1" s="1"/>
  <c r="AU48" i="1"/>
  <c r="AU62" i="1" s="1"/>
  <c r="P48" i="1"/>
  <c r="P62" i="1" s="1"/>
  <c r="I44" i="9" s="1"/>
  <c r="AB48" i="1"/>
  <c r="AB62" i="1" s="1"/>
  <c r="W48" i="1"/>
  <c r="W62" i="1" s="1"/>
  <c r="N48" i="1"/>
  <c r="N62" i="1" s="1"/>
  <c r="AD48" i="1"/>
  <c r="AD62" i="1" s="1"/>
  <c r="I108" i="9" s="1"/>
  <c r="AJ48" i="1"/>
  <c r="AJ62" i="1" s="1"/>
  <c r="AR48" i="1"/>
  <c r="AR62" i="1" s="1"/>
  <c r="I172" i="9" s="1"/>
  <c r="AZ48" i="1"/>
  <c r="AZ62" i="1" s="1"/>
  <c r="C236" i="9" s="1"/>
  <c r="BF48" i="1"/>
  <c r="BF62" i="1" s="1"/>
  <c r="BN48" i="1"/>
  <c r="BN62" i="1" s="1"/>
  <c r="BV48" i="1"/>
  <c r="BV62" i="1" s="1"/>
  <c r="CA48" i="1"/>
  <c r="CA62" i="1" s="1"/>
  <c r="S48" i="1"/>
  <c r="S62" i="1" s="1"/>
  <c r="AY48" i="1"/>
  <c r="AY62" i="1" s="1"/>
  <c r="BW48" i="1"/>
  <c r="BW62" i="1" s="1"/>
  <c r="Y48" i="1"/>
  <c r="Y62" i="1" s="1"/>
  <c r="D108" i="9" s="1"/>
  <c r="AW48" i="1"/>
  <c r="AW62" i="1" s="1"/>
  <c r="E48" i="1"/>
  <c r="E62" i="1" s="1"/>
  <c r="BQ48" i="1"/>
  <c r="BQ62" i="1" s="1"/>
  <c r="F300" i="9" s="1"/>
  <c r="O48" i="1"/>
  <c r="O62" i="1" s="1"/>
  <c r="M48" i="1"/>
  <c r="M62" i="1" s="1"/>
  <c r="F44" i="9" s="1"/>
  <c r="AC48" i="1"/>
  <c r="AC62" i="1" s="1"/>
  <c r="H108" i="9" s="1"/>
  <c r="D48" i="1"/>
  <c r="D62" i="1" s="1"/>
  <c r="D12" i="9" s="1"/>
  <c r="I363" i="9"/>
  <c r="F48" i="1"/>
  <c r="F62" i="1" s="1"/>
  <c r="F12" i="9" s="1"/>
  <c r="V48" i="1"/>
  <c r="V62" i="1" s="1"/>
  <c r="AH48" i="1"/>
  <c r="AH62" i="1" s="1"/>
  <c r="AN48" i="1"/>
  <c r="AN62" i="1" s="1"/>
  <c r="E172" i="9" s="1"/>
  <c r="AV48" i="1"/>
  <c r="AV62" i="1" s="1"/>
  <c r="F204" i="9" s="1"/>
  <c r="BJ48" i="1"/>
  <c r="BJ62" i="1" s="1"/>
  <c r="BR48" i="1"/>
  <c r="BR62" i="1" s="1"/>
  <c r="BX48" i="1"/>
  <c r="BX62" i="1" s="1"/>
  <c r="F332" i="9" s="1"/>
  <c r="C48" i="1"/>
  <c r="AI48" i="1"/>
  <c r="AI62" i="1" s="1"/>
  <c r="BO48" i="1"/>
  <c r="BO62" i="1" s="1"/>
  <c r="D300" i="9" s="1"/>
  <c r="I48" i="1"/>
  <c r="I62" i="1" s="1"/>
  <c r="AG48" i="1"/>
  <c r="AG62" i="1" s="1"/>
  <c r="BM48" i="1"/>
  <c r="BM62" i="1" s="1"/>
  <c r="AK48" i="1"/>
  <c r="AK62" i="1" s="1"/>
  <c r="BI48" i="1"/>
  <c r="BI62" i="1" s="1"/>
  <c r="E268" i="9" s="1"/>
  <c r="BZ48" i="1"/>
  <c r="BZ62" i="1" s="1"/>
  <c r="H332" i="9" s="1"/>
  <c r="L48" i="1"/>
  <c r="L62" i="1" s="1"/>
  <c r="X48" i="1"/>
  <c r="X62" i="1" s="1"/>
  <c r="AS48" i="1"/>
  <c r="AS62" i="1" s="1"/>
  <c r="E140" i="9"/>
  <c r="I140" i="9"/>
  <c r="G236" i="9"/>
  <c r="F236" i="9"/>
  <c r="F76" i="9"/>
  <c r="B441" i="1"/>
  <c r="C76" i="9"/>
  <c r="F172" i="9"/>
  <c r="D236" i="9"/>
  <c r="D76" i="9"/>
  <c r="H236" i="9"/>
  <c r="D268" i="9"/>
  <c r="E300" i="9"/>
  <c r="G108" i="9"/>
  <c r="C62" i="1"/>
  <c r="C140" i="9"/>
  <c r="I380" i="9"/>
  <c r="CF76" i="1"/>
  <c r="AT52" i="1" s="1"/>
  <c r="AT67" i="1" s="1"/>
  <c r="AT71" i="1" s="1"/>
  <c r="D612" i="1"/>
  <c r="F10" i="4"/>
  <c r="G10" i="4"/>
  <c r="F612" i="1"/>
  <c r="C430" i="1"/>
  <c r="H140" i="9"/>
  <c r="C470" i="1"/>
  <c r="F9" i="6"/>
  <c r="C85" i="8"/>
  <c r="D330" i="1"/>
  <c r="C86" i="8" s="1"/>
  <c r="D154" i="9"/>
  <c r="I268" i="9"/>
  <c r="H300" i="9"/>
  <c r="C421" i="1"/>
  <c r="E10" i="4"/>
  <c r="D463" i="1"/>
  <c r="G19" i="4"/>
  <c r="E19" i="4"/>
  <c r="D435" i="1"/>
  <c r="C27" i="5"/>
  <c r="F26" i="9"/>
  <c r="G58" i="9"/>
  <c r="B444" i="1"/>
  <c r="D5" i="7"/>
  <c r="E26" i="9"/>
  <c r="I154" i="9"/>
  <c r="H612" i="1"/>
  <c r="I362" i="9"/>
  <c r="I371" i="9"/>
  <c r="C440" i="1"/>
  <c r="E815" i="10"/>
  <c r="BW71" i="10"/>
  <c r="J789" i="10"/>
  <c r="BF71" i="10"/>
  <c r="BO71" i="10"/>
  <c r="J735" i="10"/>
  <c r="D71" i="10"/>
  <c r="J807" i="10"/>
  <c r="BX71" i="10"/>
  <c r="J792" i="10"/>
  <c r="BI71" i="10"/>
  <c r="J771" i="10"/>
  <c r="AN71" i="10"/>
  <c r="J793" i="10"/>
  <c r="BJ71" i="10"/>
  <c r="J788" i="10"/>
  <c r="BE71" i="10"/>
  <c r="J773" i="10"/>
  <c r="AP71" i="10"/>
  <c r="J742" i="10"/>
  <c r="K71" i="10"/>
  <c r="J743" i="10"/>
  <c r="L71" i="10"/>
  <c r="J736" i="10"/>
  <c r="E71" i="10"/>
  <c r="C643" i="10"/>
  <c r="C568" i="10"/>
  <c r="B568" i="1"/>
  <c r="J762" i="10"/>
  <c r="AE71" i="10"/>
  <c r="J759" i="10"/>
  <c r="AB71" i="10"/>
  <c r="J744" i="10"/>
  <c r="M71" i="10"/>
  <c r="J808" i="10"/>
  <c r="BY71" i="10"/>
  <c r="J787" i="10"/>
  <c r="BD71" i="10"/>
  <c r="J740" i="10"/>
  <c r="I71" i="10"/>
  <c r="J804" i="10"/>
  <c r="BU71" i="10"/>
  <c r="J746" i="10"/>
  <c r="O71" i="10"/>
  <c r="J758" i="10"/>
  <c r="AA71" i="10"/>
  <c r="J785" i="10"/>
  <c r="BB71" i="10"/>
  <c r="J750" i="10"/>
  <c r="S71" i="10"/>
  <c r="J778" i="10"/>
  <c r="AU71" i="10"/>
  <c r="J767" i="10"/>
  <c r="AJ71" i="10"/>
  <c r="J752" i="10"/>
  <c r="U71" i="10"/>
  <c r="J777" i="10"/>
  <c r="AT71" i="10"/>
  <c r="J795" i="10"/>
  <c r="BL71" i="10"/>
  <c r="J748" i="10"/>
  <c r="Q71" i="10"/>
  <c r="J812" i="10"/>
  <c r="CC71" i="10"/>
  <c r="J802" i="10"/>
  <c r="BS71" i="10"/>
  <c r="J766" i="10"/>
  <c r="AI71" i="10"/>
  <c r="J801" i="10"/>
  <c r="BR71" i="10"/>
  <c r="J751" i="10"/>
  <c r="T71" i="10"/>
  <c r="J800" i="10"/>
  <c r="BQ71" i="10"/>
  <c r="J753" i="10"/>
  <c r="V71" i="10"/>
  <c r="J786" i="10"/>
  <c r="BC71" i="10"/>
  <c r="J775" i="10"/>
  <c r="AR71" i="10"/>
  <c r="J760" i="10"/>
  <c r="AC71" i="10"/>
  <c r="J739" i="10"/>
  <c r="H71" i="10"/>
  <c r="J803" i="10"/>
  <c r="BT71" i="10"/>
  <c r="J756" i="10"/>
  <c r="Y71" i="10"/>
  <c r="J737" i="10"/>
  <c r="F71" i="10"/>
  <c r="J765" i="10"/>
  <c r="AH71" i="10"/>
  <c r="J774" i="10"/>
  <c r="AQ71" i="10"/>
  <c r="J738" i="10"/>
  <c r="G71" i="10"/>
  <c r="J809" i="10"/>
  <c r="BZ71" i="10"/>
  <c r="J810" i="10"/>
  <c r="CA71" i="10"/>
  <c r="J783" i="10"/>
  <c r="AZ71" i="10"/>
  <c r="J768" i="10"/>
  <c r="AK71" i="10"/>
  <c r="J747" i="10"/>
  <c r="P71" i="10"/>
  <c r="J811" i="10"/>
  <c r="CB71" i="10"/>
  <c r="J764" i="10"/>
  <c r="AG71" i="10"/>
  <c r="J761" i="10"/>
  <c r="AD71" i="10"/>
  <c r="J781" i="10"/>
  <c r="AX71" i="10"/>
  <c r="J782" i="10"/>
  <c r="AY71" i="10"/>
  <c r="J770" i="10"/>
  <c r="AM71" i="10"/>
  <c r="J779" i="10"/>
  <c r="AV71" i="10"/>
  <c r="J741" i="10"/>
  <c r="J71" i="10"/>
  <c r="J791" i="10"/>
  <c r="BH71" i="10"/>
  <c r="J776" i="10"/>
  <c r="AS71" i="10"/>
  <c r="J755" i="10"/>
  <c r="X71" i="10"/>
  <c r="J745" i="10"/>
  <c r="N71" i="10"/>
  <c r="J772" i="10"/>
  <c r="AO71" i="10"/>
  <c r="J754" i="10"/>
  <c r="W71" i="10"/>
  <c r="J805" i="10"/>
  <c r="BV71" i="10"/>
  <c r="J790" i="10"/>
  <c r="BG71" i="10"/>
  <c r="J794" i="10"/>
  <c r="BK71" i="10"/>
  <c r="J796" i="10"/>
  <c r="BM71" i="10"/>
  <c r="E816" i="10"/>
  <c r="C428" i="10"/>
  <c r="J797" i="10"/>
  <c r="BN71" i="10"/>
  <c r="J799" i="10"/>
  <c r="BP71" i="10"/>
  <c r="J784" i="10"/>
  <c r="BA71" i="10"/>
  <c r="J763" i="10"/>
  <c r="AF71" i="10"/>
  <c r="J769" i="10"/>
  <c r="AL71" i="10"/>
  <c r="J780" i="10"/>
  <c r="AW71" i="10"/>
  <c r="J749" i="10"/>
  <c r="R71" i="10"/>
  <c r="C67" i="10"/>
  <c r="CE52" i="10"/>
  <c r="J757" i="10"/>
  <c r="Z71" i="10"/>
  <c r="F140" i="9"/>
  <c r="D204" i="9"/>
  <c r="F268" i="9"/>
  <c r="C300" i="9"/>
  <c r="H76" i="9"/>
  <c r="D332" i="9"/>
  <c r="G44" i="9"/>
  <c r="C172" i="9"/>
  <c r="E236" i="9"/>
  <c r="B446" i="1"/>
  <c r="D242" i="1"/>
  <c r="G140" i="9"/>
  <c r="E332" i="9"/>
  <c r="E12" i="9"/>
  <c r="C418" i="1"/>
  <c r="D438" i="1"/>
  <c r="C108" i="9"/>
  <c r="F14" i="6"/>
  <c r="C471" i="1"/>
  <c r="F10" i="6"/>
  <c r="D26" i="9"/>
  <c r="CE75" i="1"/>
  <c r="E204" i="9"/>
  <c r="F7" i="6"/>
  <c r="E204" i="1"/>
  <c r="C468" i="1"/>
  <c r="I383" i="9"/>
  <c r="D22" i="7"/>
  <c r="C40" i="5"/>
  <c r="I76" i="9"/>
  <c r="C420" i="1"/>
  <c r="B28" i="4"/>
  <c r="F186" i="9"/>
  <c r="I204" i="9"/>
  <c r="AM52" i="1"/>
  <c r="AM67" i="1" s="1"/>
  <c r="AM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D339" i="1" l="1"/>
  <c r="BE52" i="1"/>
  <c r="BE67" i="1" s="1"/>
  <c r="BE71" i="1" s="1"/>
  <c r="AW52" i="1"/>
  <c r="AW67" i="1" s="1"/>
  <c r="E76" i="9"/>
  <c r="I12" i="9"/>
  <c r="C204" i="9"/>
  <c r="G204" i="9"/>
  <c r="I332" i="9"/>
  <c r="E44" i="9"/>
  <c r="H268" i="9"/>
  <c r="H44" i="9"/>
  <c r="G300" i="9"/>
  <c r="H204" i="9"/>
  <c r="I236" i="9"/>
  <c r="CE48" i="1"/>
  <c r="AW71" i="1"/>
  <c r="C542" i="1" s="1"/>
  <c r="C532" i="1"/>
  <c r="G532" i="1" s="1"/>
  <c r="C704" i="1"/>
  <c r="D181" i="9"/>
  <c r="BV52" i="1"/>
  <c r="BV67" i="1" s="1"/>
  <c r="BV71" i="1" s="1"/>
  <c r="C642" i="1" s="1"/>
  <c r="AY52" i="1"/>
  <c r="AY67" i="1" s="1"/>
  <c r="AY71" i="1" s="1"/>
  <c r="C544" i="1" s="1"/>
  <c r="G544" i="1" s="1"/>
  <c r="O52" i="1"/>
  <c r="O67" i="1" s="1"/>
  <c r="AK52" i="1"/>
  <c r="AK67" i="1" s="1"/>
  <c r="AK71" i="1" s="1"/>
  <c r="C530" i="1" s="1"/>
  <c r="G530" i="1" s="1"/>
  <c r="CA52" i="1"/>
  <c r="CA67" i="1" s="1"/>
  <c r="CA71" i="1" s="1"/>
  <c r="C647" i="1" s="1"/>
  <c r="Q52" i="1"/>
  <c r="Q67" i="1" s="1"/>
  <c r="Q71" i="1" s="1"/>
  <c r="C85" i="9" s="1"/>
  <c r="AD52" i="1"/>
  <c r="AD67" i="1" s="1"/>
  <c r="AD71" i="1" s="1"/>
  <c r="C523" i="1" s="1"/>
  <c r="G523" i="1" s="1"/>
  <c r="BA52" i="1"/>
  <c r="BA67" i="1" s="1"/>
  <c r="AV52" i="1"/>
  <c r="AV67" i="1" s="1"/>
  <c r="BY52" i="1"/>
  <c r="BY67" i="1" s="1"/>
  <c r="BY71" i="1" s="1"/>
  <c r="G341" i="9" s="1"/>
  <c r="AX52" i="1"/>
  <c r="AX67" i="1" s="1"/>
  <c r="AX71" i="1" s="1"/>
  <c r="C543" i="1" s="1"/>
  <c r="T52" i="1"/>
  <c r="T67" i="1" s="1"/>
  <c r="T71" i="1" s="1"/>
  <c r="F85" i="9" s="1"/>
  <c r="BF52" i="1"/>
  <c r="BF67" i="1" s="1"/>
  <c r="BF71" i="1" s="1"/>
  <c r="I245" i="9" s="1"/>
  <c r="AG52" i="1"/>
  <c r="AG67" i="1" s="1"/>
  <c r="W52" i="1"/>
  <c r="W67" i="1" s="1"/>
  <c r="W71" i="1" s="1"/>
  <c r="C688" i="1" s="1"/>
  <c r="D241" i="9"/>
  <c r="BS52" i="1"/>
  <c r="BS67" i="1" s="1"/>
  <c r="BS71" i="1" s="1"/>
  <c r="BC52" i="1"/>
  <c r="BC67" i="1" s="1"/>
  <c r="BC71" i="1" s="1"/>
  <c r="CC52" i="1"/>
  <c r="CC67" i="1" s="1"/>
  <c r="CC71" i="1" s="1"/>
  <c r="C620" i="1" s="1"/>
  <c r="BP52" i="1"/>
  <c r="BP67" i="1" s="1"/>
  <c r="BP71" i="1" s="1"/>
  <c r="E309" i="9" s="1"/>
  <c r="AH52" i="1"/>
  <c r="AH67" i="1" s="1"/>
  <c r="AH71" i="1" s="1"/>
  <c r="C527" i="1" s="1"/>
  <c r="G527" i="1" s="1"/>
  <c r="BW52" i="1"/>
  <c r="BW67" i="1" s="1"/>
  <c r="BW71" i="1" s="1"/>
  <c r="E341" i="9" s="1"/>
  <c r="BZ52" i="1"/>
  <c r="BZ67" i="1" s="1"/>
  <c r="BZ71" i="1" s="1"/>
  <c r="C571" i="1" s="1"/>
  <c r="AL52" i="1"/>
  <c r="AL67" i="1" s="1"/>
  <c r="AL71" i="1" s="1"/>
  <c r="C181" i="9" s="1"/>
  <c r="BJ52" i="1"/>
  <c r="BJ67" i="1" s="1"/>
  <c r="BJ71" i="1" s="1"/>
  <c r="C555" i="1" s="1"/>
  <c r="BH52" i="1"/>
  <c r="BH67" i="1" s="1"/>
  <c r="BH71" i="1" s="1"/>
  <c r="D277" i="9" s="1"/>
  <c r="I52" i="1"/>
  <c r="I67" i="1" s="1"/>
  <c r="I71" i="1" s="1"/>
  <c r="AF52" i="1"/>
  <c r="AF67" i="1" s="1"/>
  <c r="AF71" i="1" s="1"/>
  <c r="D149" i="9" s="1"/>
  <c r="R52" i="1"/>
  <c r="R67" i="1" s="1"/>
  <c r="R71" i="1" s="1"/>
  <c r="P52" i="1"/>
  <c r="P67" i="1" s="1"/>
  <c r="P71" i="1" s="1"/>
  <c r="AJ52" i="1"/>
  <c r="AJ67" i="1" s="1"/>
  <c r="AJ71" i="1" s="1"/>
  <c r="V52" i="1"/>
  <c r="V67" i="1" s="1"/>
  <c r="V71" i="1" s="1"/>
  <c r="C687" i="1" s="1"/>
  <c r="L52" i="1"/>
  <c r="L67" i="1" s="1"/>
  <c r="L71" i="1" s="1"/>
  <c r="J52" i="1"/>
  <c r="J67" i="1" s="1"/>
  <c r="J71" i="1" s="1"/>
  <c r="C53" i="9" s="1"/>
  <c r="BR52" i="1"/>
  <c r="BR67" i="1" s="1"/>
  <c r="BR71" i="1" s="1"/>
  <c r="G309" i="9" s="1"/>
  <c r="AA52" i="1"/>
  <c r="AA67" i="1" s="1"/>
  <c r="AA71" i="1" s="1"/>
  <c r="C520" i="1" s="1"/>
  <c r="G520" i="1" s="1"/>
  <c r="M52" i="1"/>
  <c r="M67" i="1" s="1"/>
  <c r="CB52" i="1"/>
  <c r="CB67" i="1" s="1"/>
  <c r="F52" i="1"/>
  <c r="F67" i="1" s="1"/>
  <c r="F71" i="1" s="1"/>
  <c r="F21" i="9" s="1"/>
  <c r="BD52" i="1"/>
  <c r="BD67" i="1" s="1"/>
  <c r="BD71" i="1" s="1"/>
  <c r="C549" i="1" s="1"/>
  <c r="X52" i="1"/>
  <c r="X67" i="1" s="1"/>
  <c r="X71" i="1" s="1"/>
  <c r="BB52" i="1"/>
  <c r="BB67" i="1" s="1"/>
  <c r="BB71" i="1" s="1"/>
  <c r="C547" i="1" s="1"/>
  <c r="AN52" i="1"/>
  <c r="AN67" i="1" s="1"/>
  <c r="AN71" i="1" s="1"/>
  <c r="BK52" i="1"/>
  <c r="BK67" i="1" s="1"/>
  <c r="BK71" i="1" s="1"/>
  <c r="G277" i="9" s="1"/>
  <c r="AR52" i="1"/>
  <c r="AR67" i="1" s="1"/>
  <c r="AR71" i="1" s="1"/>
  <c r="AQ52" i="1"/>
  <c r="AQ67" i="1" s="1"/>
  <c r="AQ71" i="1" s="1"/>
  <c r="C708" i="1" s="1"/>
  <c r="U52" i="1"/>
  <c r="U67" i="1" s="1"/>
  <c r="U71" i="1" s="1"/>
  <c r="BI52" i="1"/>
  <c r="BI67" i="1" s="1"/>
  <c r="BI71" i="1" s="1"/>
  <c r="K52" i="1"/>
  <c r="K67" i="1" s="1"/>
  <c r="K71" i="1" s="1"/>
  <c r="D209" i="9"/>
  <c r="C553" i="1"/>
  <c r="G52" i="1"/>
  <c r="G67" i="1" s="1"/>
  <c r="G71" i="1" s="1"/>
  <c r="C672" i="1" s="1"/>
  <c r="D52" i="1"/>
  <c r="D67" i="1" s="1"/>
  <c r="D71" i="1" s="1"/>
  <c r="C497" i="1" s="1"/>
  <c r="G497" i="1" s="1"/>
  <c r="BN52" i="1"/>
  <c r="BN67" i="1" s="1"/>
  <c r="BM52" i="1"/>
  <c r="BM67" i="1" s="1"/>
  <c r="BQ52" i="1"/>
  <c r="BQ67" i="1" s="1"/>
  <c r="BQ71" i="1" s="1"/>
  <c r="AB52" i="1"/>
  <c r="AB67" i="1" s="1"/>
  <c r="AB71" i="1" s="1"/>
  <c r="C521" i="1" s="1"/>
  <c r="G521" i="1" s="1"/>
  <c r="Z52" i="1"/>
  <c r="Z67" i="1" s="1"/>
  <c r="Z71" i="1" s="1"/>
  <c r="C691" i="1" s="1"/>
  <c r="AZ52" i="1"/>
  <c r="AZ67" i="1" s="1"/>
  <c r="AZ71" i="1" s="1"/>
  <c r="C245" i="9" s="1"/>
  <c r="AP52" i="1"/>
  <c r="AP67" i="1" s="1"/>
  <c r="AP71" i="1" s="1"/>
  <c r="C707" i="1" s="1"/>
  <c r="BX52" i="1"/>
  <c r="BX67" i="1" s="1"/>
  <c r="BX71" i="1" s="1"/>
  <c r="C644" i="1" s="1"/>
  <c r="BG52" i="1"/>
  <c r="BG67" i="1" s="1"/>
  <c r="BG71" i="1" s="1"/>
  <c r="C618" i="1" s="1"/>
  <c r="AS52" i="1"/>
  <c r="AS67" i="1" s="1"/>
  <c r="AS71" i="1" s="1"/>
  <c r="AU52" i="1"/>
  <c r="AU67" i="1" s="1"/>
  <c r="AU71" i="1" s="1"/>
  <c r="C52" i="1"/>
  <c r="AE52" i="1"/>
  <c r="AE67" i="1" s="1"/>
  <c r="AE71" i="1" s="1"/>
  <c r="BL52" i="1"/>
  <c r="BL67" i="1" s="1"/>
  <c r="BL71" i="1" s="1"/>
  <c r="S52" i="1"/>
  <c r="S67" i="1" s="1"/>
  <c r="S71" i="1" s="1"/>
  <c r="N52" i="1"/>
  <c r="N67" i="1" s="1"/>
  <c r="N71" i="1" s="1"/>
  <c r="C679" i="1" s="1"/>
  <c r="E52" i="1"/>
  <c r="E67" i="1" s="1"/>
  <c r="E71" i="1" s="1"/>
  <c r="C498" i="1" s="1"/>
  <c r="G498" i="1" s="1"/>
  <c r="AO52" i="1"/>
  <c r="AO67" i="1" s="1"/>
  <c r="AO71" i="1" s="1"/>
  <c r="F181" i="9" s="1"/>
  <c r="AC52" i="1"/>
  <c r="AC67" i="1" s="1"/>
  <c r="AC71" i="1" s="1"/>
  <c r="C694" i="1" s="1"/>
  <c r="BU52" i="1"/>
  <c r="BU67" i="1" s="1"/>
  <c r="BU71" i="1" s="1"/>
  <c r="Y52" i="1"/>
  <c r="Y67" i="1" s="1"/>
  <c r="Y71" i="1" s="1"/>
  <c r="AI52" i="1"/>
  <c r="AI67" i="1" s="1"/>
  <c r="AI71" i="1" s="1"/>
  <c r="G149" i="9" s="1"/>
  <c r="BO52" i="1"/>
  <c r="BO67" i="1" s="1"/>
  <c r="BO71" i="1" s="1"/>
  <c r="C627" i="1" s="1"/>
  <c r="BT52" i="1"/>
  <c r="BT67" i="1" s="1"/>
  <c r="BT71" i="1" s="1"/>
  <c r="H52" i="1"/>
  <c r="H67" i="1" s="1"/>
  <c r="H71" i="1" s="1"/>
  <c r="H21" i="9" s="1"/>
  <c r="C12" i="9"/>
  <c r="CE62" i="1"/>
  <c r="H245" i="9"/>
  <c r="C614" i="1"/>
  <c r="C550" i="1"/>
  <c r="G550" i="1" s="1"/>
  <c r="C682" i="1"/>
  <c r="C624" i="1"/>
  <c r="C644" i="10"/>
  <c r="C569" i="10"/>
  <c r="B569" i="1"/>
  <c r="C691" i="10"/>
  <c r="C519" i="10"/>
  <c r="B519" i="1"/>
  <c r="C703" i="10"/>
  <c r="C531" i="10"/>
  <c r="G531" i="10" s="1"/>
  <c r="B531" i="1"/>
  <c r="C618" i="10"/>
  <c r="C552" i="10"/>
  <c r="B552" i="1"/>
  <c r="C679" i="10"/>
  <c r="C507" i="10"/>
  <c r="G507" i="10" s="1"/>
  <c r="B507" i="1"/>
  <c r="C675" i="10"/>
  <c r="C503" i="10"/>
  <c r="B503" i="1"/>
  <c r="C616" i="10"/>
  <c r="C543" i="10"/>
  <c r="B543" i="1"/>
  <c r="C509" i="10"/>
  <c r="C681" i="10"/>
  <c r="B509" i="1"/>
  <c r="C646" i="10"/>
  <c r="C571" i="10"/>
  <c r="B571" i="1"/>
  <c r="C499" i="10"/>
  <c r="G499" i="10" s="1"/>
  <c r="C671" i="10"/>
  <c r="B499" i="1"/>
  <c r="C694" i="10"/>
  <c r="C522" i="10"/>
  <c r="B522" i="1"/>
  <c r="C623" i="10"/>
  <c r="C562" i="10"/>
  <c r="B562" i="1"/>
  <c r="C639" i="10"/>
  <c r="C564" i="10"/>
  <c r="B564" i="1"/>
  <c r="C711" i="10"/>
  <c r="C539" i="10"/>
  <c r="G539" i="10" s="1"/>
  <c r="B539" i="1"/>
  <c r="C512" i="10"/>
  <c r="C684" i="10"/>
  <c r="B512" i="1"/>
  <c r="C641" i="10"/>
  <c r="C566" i="10"/>
  <c r="B566" i="1"/>
  <c r="C678" i="10"/>
  <c r="C506" i="10"/>
  <c r="G506" i="10" s="1"/>
  <c r="B506" i="1"/>
  <c r="C550" i="10"/>
  <c r="C614" i="10"/>
  <c r="B550" i="1"/>
  <c r="F550" i="1" s="1"/>
  <c r="C642" i="10"/>
  <c r="C567" i="10"/>
  <c r="B567" i="1"/>
  <c r="C689" i="10"/>
  <c r="C517" i="10"/>
  <c r="B517" i="1"/>
  <c r="C713" i="10"/>
  <c r="C541" i="10"/>
  <c r="B541" i="1"/>
  <c r="C695" i="10"/>
  <c r="C523" i="10"/>
  <c r="B523" i="1"/>
  <c r="C702" i="10"/>
  <c r="C530" i="10"/>
  <c r="G530" i="10" s="1"/>
  <c r="B530" i="1"/>
  <c r="C672" i="10"/>
  <c r="C500" i="10"/>
  <c r="G500" i="10" s="1"/>
  <c r="B500" i="1"/>
  <c r="C690" i="10"/>
  <c r="C518" i="10"/>
  <c r="B518" i="1"/>
  <c r="C709" i="10"/>
  <c r="C537" i="10"/>
  <c r="G537" i="10" s="1"/>
  <c r="B537" i="1"/>
  <c r="C685" i="10"/>
  <c r="C513" i="10"/>
  <c r="B513" i="1"/>
  <c r="C620" i="10"/>
  <c r="C574" i="10"/>
  <c r="B574" i="1"/>
  <c r="C686" i="10"/>
  <c r="C514" i="10"/>
  <c r="B514" i="1"/>
  <c r="C547" i="10"/>
  <c r="C632" i="10"/>
  <c r="B547" i="1"/>
  <c r="C674" i="10"/>
  <c r="C502" i="10"/>
  <c r="G502" i="10" s="1"/>
  <c r="B502" i="1"/>
  <c r="C693" i="10"/>
  <c r="C521" i="10"/>
  <c r="B521" i="1"/>
  <c r="C697" i="10"/>
  <c r="C525" i="10"/>
  <c r="B525" i="1"/>
  <c r="C546" i="10"/>
  <c r="C630" i="10"/>
  <c r="B546" i="1"/>
  <c r="C677" i="10"/>
  <c r="C505" i="10"/>
  <c r="G505" i="10" s="1"/>
  <c r="B505" i="1"/>
  <c r="C555" i="10"/>
  <c r="C617" i="10"/>
  <c r="B555" i="1"/>
  <c r="C669" i="10"/>
  <c r="C497" i="10"/>
  <c r="G497" i="10" s="1"/>
  <c r="B497" i="1"/>
  <c r="C670" i="10"/>
  <c r="C498" i="10"/>
  <c r="B498" i="1"/>
  <c r="C638" i="10"/>
  <c r="C558" i="10"/>
  <c r="B558" i="1"/>
  <c r="C688" i="10"/>
  <c r="C516" i="10"/>
  <c r="B516" i="1"/>
  <c r="C710" i="10"/>
  <c r="C538" i="10"/>
  <c r="G538" i="10" s="1"/>
  <c r="B538" i="1"/>
  <c r="C704" i="10"/>
  <c r="C532" i="10"/>
  <c r="G532" i="10" s="1"/>
  <c r="B532" i="1"/>
  <c r="F532" i="1" s="1"/>
  <c r="C698" i="10"/>
  <c r="C526" i="10"/>
  <c r="B526" i="1"/>
  <c r="C545" i="10"/>
  <c r="C628" i="10"/>
  <c r="B545" i="1"/>
  <c r="C708" i="10"/>
  <c r="C536" i="10"/>
  <c r="G536" i="10" s="1"/>
  <c r="B536" i="1"/>
  <c r="F536" i="1" s="1"/>
  <c r="C640" i="10"/>
  <c r="C565" i="10"/>
  <c r="B565" i="1"/>
  <c r="C633" i="10"/>
  <c r="C548" i="10"/>
  <c r="B548" i="1"/>
  <c r="C563" i="10"/>
  <c r="C626" i="10"/>
  <c r="B563" i="1"/>
  <c r="C682" i="10"/>
  <c r="C510" i="10"/>
  <c r="B510" i="1"/>
  <c r="C701" i="10"/>
  <c r="C529" i="10"/>
  <c r="B529" i="1"/>
  <c r="C692" i="10"/>
  <c r="C520" i="10"/>
  <c r="B520" i="1"/>
  <c r="C624" i="10"/>
  <c r="C549" i="10"/>
  <c r="B549" i="1"/>
  <c r="C696" i="10"/>
  <c r="C524" i="10"/>
  <c r="B524" i="1"/>
  <c r="J734" i="10"/>
  <c r="J815" i="10" s="1"/>
  <c r="CE67" i="10"/>
  <c r="C71" i="10"/>
  <c r="C683" i="10"/>
  <c r="C511" i="10"/>
  <c r="B511" i="1"/>
  <c r="C631" i="10"/>
  <c r="C542" i="10"/>
  <c r="B542" i="1"/>
  <c r="C561" i="10"/>
  <c r="C621" i="10"/>
  <c r="B561" i="1"/>
  <c r="C676" i="10"/>
  <c r="C504" i="10"/>
  <c r="G504" i="10" s="1"/>
  <c r="B504" i="1"/>
  <c r="C705" i="10"/>
  <c r="C533" i="10"/>
  <c r="G533" i="10" s="1"/>
  <c r="B533" i="1"/>
  <c r="C627" i="10"/>
  <c r="C560" i="10"/>
  <c r="B560" i="1"/>
  <c r="C635" i="10"/>
  <c r="C556" i="10"/>
  <c r="B556" i="1"/>
  <c r="C706" i="10"/>
  <c r="C534" i="10"/>
  <c r="G534" i="10" s="1"/>
  <c r="B534" i="1"/>
  <c r="C636" i="10"/>
  <c r="C553" i="10"/>
  <c r="B553" i="1"/>
  <c r="C625" i="10"/>
  <c r="C544" i="10"/>
  <c r="B544" i="1"/>
  <c r="F544" i="1" s="1"/>
  <c r="C573" i="10"/>
  <c r="C622" i="10"/>
  <c r="B573" i="1"/>
  <c r="C647" i="10"/>
  <c r="C572" i="10"/>
  <c r="B572" i="1"/>
  <c r="C699" i="10"/>
  <c r="C527" i="10"/>
  <c r="G527" i="10" s="1"/>
  <c r="B527" i="1"/>
  <c r="C673" i="10"/>
  <c r="C501" i="10"/>
  <c r="B501" i="1"/>
  <c r="C687" i="10"/>
  <c r="C515" i="10"/>
  <c r="G515" i="10" s="1"/>
  <c r="B515" i="1"/>
  <c r="C700" i="10"/>
  <c r="C528" i="10"/>
  <c r="B528" i="1"/>
  <c r="F528" i="1" s="1"/>
  <c r="C637" i="10"/>
  <c r="C557" i="10"/>
  <c r="B557" i="1"/>
  <c r="C712" i="10"/>
  <c r="C540" i="10"/>
  <c r="G540" i="10" s="1"/>
  <c r="B540" i="1"/>
  <c r="F540" i="1" s="1"/>
  <c r="C680" i="10"/>
  <c r="C508" i="10"/>
  <c r="G508" i="10" s="1"/>
  <c r="B508" i="1"/>
  <c r="C570" i="10"/>
  <c r="C645" i="10"/>
  <c r="B570" i="1"/>
  <c r="C551" i="10"/>
  <c r="C629" i="10"/>
  <c r="B551" i="1"/>
  <c r="C619" i="10"/>
  <c r="C559" i="10"/>
  <c r="B559" i="1"/>
  <c r="C707" i="10"/>
  <c r="C535" i="10"/>
  <c r="G535" i="10" s="1"/>
  <c r="B535" i="1"/>
  <c r="C634" i="10"/>
  <c r="C554" i="10"/>
  <c r="B554" i="1"/>
  <c r="D27" i="7"/>
  <c r="B448" i="1"/>
  <c r="F520" i="1"/>
  <c r="D341" i="1"/>
  <c r="C481" i="1" s="1"/>
  <c r="C50" i="8"/>
  <c r="H209" i="9"/>
  <c r="I378" i="9"/>
  <c r="K612" i="1"/>
  <c r="C465" i="1"/>
  <c r="F117" i="9"/>
  <c r="C616" i="1"/>
  <c r="C126" i="8"/>
  <c r="D391" i="1"/>
  <c r="F32" i="6"/>
  <c r="C478" i="1"/>
  <c r="C536" i="1"/>
  <c r="G536" i="1" s="1"/>
  <c r="H181" i="9"/>
  <c r="C102" i="8"/>
  <c r="C482" i="1"/>
  <c r="H85" i="9"/>
  <c r="H241" i="9"/>
  <c r="G209" i="9"/>
  <c r="D177" i="9"/>
  <c r="C516" i="1"/>
  <c r="G516" i="1" s="1"/>
  <c r="I85" i="9"/>
  <c r="C476" i="1"/>
  <c r="F16" i="6"/>
  <c r="C645" i="1"/>
  <c r="C711" i="1"/>
  <c r="D213" i="9"/>
  <c r="C539" i="1"/>
  <c r="G539" i="1" s="1"/>
  <c r="F516" i="1"/>
  <c r="D17" i="9"/>
  <c r="C531" i="1"/>
  <c r="G531" i="1" s="1"/>
  <c r="G241" i="9"/>
  <c r="C625" i="1"/>
  <c r="G53" i="9"/>
  <c r="C507" i="1"/>
  <c r="G507" i="1" s="1"/>
  <c r="C695" i="1"/>
  <c r="I117" i="9"/>
  <c r="H536" i="1" l="1"/>
  <c r="F113" i="9"/>
  <c r="I113" i="9"/>
  <c r="H532" i="1"/>
  <c r="I145" i="9"/>
  <c r="F81" i="9"/>
  <c r="I81" i="9"/>
  <c r="C632" i="1"/>
  <c r="C646" i="1"/>
  <c r="C697" i="1"/>
  <c r="I213" i="9"/>
  <c r="C570" i="1"/>
  <c r="C563" i="1"/>
  <c r="G337" i="9"/>
  <c r="C501" i="1"/>
  <c r="G501" i="1" s="1"/>
  <c r="C510" i="1"/>
  <c r="G510" i="1" s="1"/>
  <c r="C643" i="1"/>
  <c r="G21" i="9"/>
  <c r="I241" i="9"/>
  <c r="I341" i="9"/>
  <c r="C567" i="1"/>
  <c r="C670" i="1"/>
  <c r="I209" i="9"/>
  <c r="G17" i="9"/>
  <c r="C81" i="9"/>
  <c r="C535" i="1"/>
  <c r="G535" i="1" s="1"/>
  <c r="H117" i="9"/>
  <c r="D309" i="9"/>
  <c r="G181" i="9"/>
  <c r="C703" i="1"/>
  <c r="C515" i="1"/>
  <c r="G515" i="1" s="1"/>
  <c r="H213" i="9"/>
  <c r="C692" i="1"/>
  <c r="C522" i="1"/>
  <c r="G522" i="1" s="1"/>
  <c r="C560" i="1"/>
  <c r="G245" i="9"/>
  <c r="C699" i="1"/>
  <c r="F277" i="9"/>
  <c r="C685" i="1"/>
  <c r="F149" i="9"/>
  <c r="C617" i="1"/>
  <c r="C556" i="1"/>
  <c r="C700" i="1"/>
  <c r="D21" i="9"/>
  <c r="C513" i="1"/>
  <c r="G513" i="1" s="1"/>
  <c r="C631" i="1"/>
  <c r="C568" i="1"/>
  <c r="C528" i="1"/>
  <c r="G528" i="1" s="1"/>
  <c r="C669" i="1"/>
  <c r="C636" i="1"/>
  <c r="C693" i="1"/>
  <c r="C628" i="1"/>
  <c r="I149" i="9"/>
  <c r="C706" i="1"/>
  <c r="C702" i="1"/>
  <c r="G213" i="9"/>
  <c r="C519" i="1"/>
  <c r="G519" i="1" s="1"/>
  <c r="C514" i="1"/>
  <c r="G514" i="1" s="1"/>
  <c r="G85" i="9"/>
  <c r="C686" i="1"/>
  <c r="C551" i="1"/>
  <c r="D341" i="9"/>
  <c r="E245" i="9"/>
  <c r="C500" i="1"/>
  <c r="G500" i="1" s="1"/>
  <c r="E21" i="9"/>
  <c r="D373" i="9"/>
  <c r="C565" i="1"/>
  <c r="I309" i="9"/>
  <c r="C640" i="1"/>
  <c r="C566" i="1"/>
  <c r="C641" i="1"/>
  <c r="C341" i="9"/>
  <c r="C572" i="1"/>
  <c r="BM71" i="1"/>
  <c r="G117" i="9"/>
  <c r="H341" i="9"/>
  <c r="C117" i="9"/>
  <c r="C517" i="1"/>
  <c r="G517" i="1" s="1"/>
  <c r="C689" i="1"/>
  <c r="CB71" i="1"/>
  <c r="I53" i="9"/>
  <c r="C509" i="1"/>
  <c r="G509" i="1" s="1"/>
  <c r="C681" i="1"/>
  <c r="C548" i="1"/>
  <c r="C633" i="1"/>
  <c r="F245" i="9"/>
  <c r="C277" i="9"/>
  <c r="C635" i="1"/>
  <c r="F341" i="9"/>
  <c r="C545" i="1"/>
  <c r="G545" i="1" s="1"/>
  <c r="C534" i="1"/>
  <c r="G534" i="1" s="1"/>
  <c r="C675" i="1"/>
  <c r="BA71" i="1"/>
  <c r="C524" i="1"/>
  <c r="C696" i="1"/>
  <c r="F309" i="9"/>
  <c r="C623" i="1"/>
  <c r="C562" i="1"/>
  <c r="I21" i="9"/>
  <c r="C502" i="1"/>
  <c r="G502" i="1" s="1"/>
  <c r="C674" i="1"/>
  <c r="F209" i="9"/>
  <c r="AV71" i="1"/>
  <c r="F17" i="9"/>
  <c r="F305" i="9"/>
  <c r="C629" i="1"/>
  <c r="C626" i="1"/>
  <c r="C673" i="1"/>
  <c r="D337" i="9"/>
  <c r="C574" i="1"/>
  <c r="C512" i="1"/>
  <c r="G512" i="1" s="1"/>
  <c r="C684" i="1"/>
  <c r="E85" i="9"/>
  <c r="C540" i="1"/>
  <c r="G540" i="1" s="1"/>
  <c r="C712" i="1"/>
  <c r="E213" i="9"/>
  <c r="E117" i="9"/>
  <c r="C305" i="9"/>
  <c r="BN71" i="1"/>
  <c r="I337" i="9"/>
  <c r="D53" i="9"/>
  <c r="C676" i="1"/>
  <c r="C504" i="1"/>
  <c r="G504" i="1" s="1"/>
  <c r="C537" i="1"/>
  <c r="G537" i="1" s="1"/>
  <c r="I181" i="9"/>
  <c r="C709" i="1"/>
  <c r="F49" i="9"/>
  <c r="M71" i="1"/>
  <c r="C677" i="1"/>
  <c r="C505" i="1"/>
  <c r="G505" i="1" s="1"/>
  <c r="E53" i="9"/>
  <c r="C683" i="1"/>
  <c r="C511" i="1"/>
  <c r="G511" i="1" s="1"/>
  <c r="D85" i="9"/>
  <c r="C639" i="1"/>
  <c r="H309" i="9"/>
  <c r="C564" i="1"/>
  <c r="C552" i="1"/>
  <c r="C671" i="1"/>
  <c r="C499" i="1"/>
  <c r="G499" i="1" s="1"/>
  <c r="C561" i="1"/>
  <c r="C621" i="1"/>
  <c r="C503" i="1"/>
  <c r="G503" i="1" s="1"/>
  <c r="H49" i="9"/>
  <c r="O71" i="1"/>
  <c r="D117" i="9"/>
  <c r="C690" i="1"/>
  <c r="C518" i="1"/>
  <c r="G518" i="1" s="1"/>
  <c r="H149" i="9"/>
  <c r="C529" i="1"/>
  <c r="G529" i="1" s="1"/>
  <c r="C701" i="1"/>
  <c r="G305" i="9"/>
  <c r="H277" i="9"/>
  <c r="C637" i="1"/>
  <c r="C557" i="1"/>
  <c r="C710" i="1"/>
  <c r="C213" i="9"/>
  <c r="C538" i="1"/>
  <c r="G538" i="1" s="1"/>
  <c r="E277" i="9"/>
  <c r="C554" i="1"/>
  <c r="C634" i="1"/>
  <c r="C533" i="1"/>
  <c r="G533" i="1" s="1"/>
  <c r="C705" i="1"/>
  <c r="E181" i="9"/>
  <c r="C149" i="9"/>
  <c r="C569" i="1"/>
  <c r="C525" i="1"/>
  <c r="G525" i="1" s="1"/>
  <c r="E145" i="9"/>
  <c r="AG71" i="1"/>
  <c r="C337" i="9"/>
  <c r="C67" i="1"/>
  <c r="C71" i="1" s="1"/>
  <c r="C21" i="9" s="1"/>
  <c r="CE52" i="1"/>
  <c r="C113" i="9"/>
  <c r="C49" i="9"/>
  <c r="D273" i="9"/>
  <c r="F241" i="9"/>
  <c r="H113" i="9"/>
  <c r="E209" i="9"/>
  <c r="D49" i="9"/>
  <c r="E49" i="9"/>
  <c r="D81" i="9"/>
  <c r="F273" i="9"/>
  <c r="F145" i="9"/>
  <c r="H305" i="9"/>
  <c r="F337" i="9"/>
  <c r="D615" i="1"/>
  <c r="D305" i="9"/>
  <c r="E81" i="9"/>
  <c r="G177" i="9"/>
  <c r="I177" i="9"/>
  <c r="C369" i="9"/>
  <c r="H516" i="1"/>
  <c r="F498" i="1"/>
  <c r="H498" i="1" s="1"/>
  <c r="I273" i="9"/>
  <c r="H520" i="1"/>
  <c r="G145" i="9"/>
  <c r="F177" i="9"/>
  <c r="H273" i="9"/>
  <c r="C209" i="9"/>
  <c r="C241" i="9"/>
  <c r="E273" i="9"/>
  <c r="G273" i="9"/>
  <c r="E177" i="9"/>
  <c r="H81" i="9"/>
  <c r="D145" i="9"/>
  <c r="C177" i="9"/>
  <c r="E305" i="9"/>
  <c r="I305" i="9"/>
  <c r="G49" i="9"/>
  <c r="G113" i="9"/>
  <c r="H177" i="9"/>
  <c r="I49" i="9"/>
  <c r="E337" i="9"/>
  <c r="H550" i="1"/>
  <c r="F524" i="1"/>
  <c r="I364" i="9"/>
  <c r="C428" i="1"/>
  <c r="H17" i="9"/>
  <c r="D113" i="9"/>
  <c r="E17" i="9"/>
  <c r="C145" i="9"/>
  <c r="C273" i="9"/>
  <c r="E113" i="9"/>
  <c r="G81" i="9"/>
  <c r="E241" i="9"/>
  <c r="H145" i="9"/>
  <c r="I17" i="9"/>
  <c r="H337" i="9"/>
  <c r="D369" i="9"/>
  <c r="F515" i="1"/>
  <c r="H515" i="1"/>
  <c r="G544" i="10"/>
  <c r="H544" i="10"/>
  <c r="G516" i="10"/>
  <c r="H516" i="10" s="1"/>
  <c r="F497" i="1"/>
  <c r="H497" i="1"/>
  <c r="G521" i="10"/>
  <c r="H521" i="10"/>
  <c r="G522" i="10"/>
  <c r="H522" i="10"/>
  <c r="G524" i="10"/>
  <c r="H524" i="10"/>
  <c r="G514" i="10"/>
  <c r="H514" i="10"/>
  <c r="G529" i="10"/>
  <c r="H529" i="10"/>
  <c r="F511" i="1"/>
  <c r="H499" i="1"/>
  <c r="F499" i="1"/>
  <c r="G509" i="10"/>
  <c r="H509" i="10" s="1"/>
  <c r="H544" i="1"/>
  <c r="F501" i="1"/>
  <c r="G511" i="10"/>
  <c r="H511" i="10" s="1"/>
  <c r="G546" i="10"/>
  <c r="H546" i="10"/>
  <c r="F517" i="1"/>
  <c r="D615" i="10"/>
  <c r="C648" i="10"/>
  <c r="M716" i="10" s="1"/>
  <c r="Y816" i="10" s="1"/>
  <c r="G519" i="10"/>
  <c r="H519" i="10" s="1"/>
  <c r="G498" i="10"/>
  <c r="H498" i="10"/>
  <c r="H540" i="1"/>
  <c r="G501" i="10"/>
  <c r="H501" i="10" s="1"/>
  <c r="G517" i="10"/>
  <c r="H517" i="10" s="1"/>
  <c r="G550" i="10"/>
  <c r="H550" i="10" s="1"/>
  <c r="C668" i="10"/>
  <c r="C715" i="10" s="1"/>
  <c r="C496" i="10"/>
  <c r="B496" i="1"/>
  <c r="F496" i="1" s="1"/>
  <c r="G510" i="10"/>
  <c r="H510" i="10"/>
  <c r="G545" i="10"/>
  <c r="H545" i="10"/>
  <c r="G525" i="10"/>
  <c r="H525" i="10" s="1"/>
  <c r="G518" i="10"/>
  <c r="H518" i="10"/>
  <c r="G512" i="10"/>
  <c r="H512" i="10"/>
  <c r="J816" i="10"/>
  <c r="C433" i="10"/>
  <c r="C441" i="10" s="1"/>
  <c r="CE71" i="10"/>
  <c r="C716" i="10" s="1"/>
  <c r="H505" i="1"/>
  <c r="F505" i="1"/>
  <c r="G523" i="10"/>
  <c r="H523" i="10"/>
  <c r="G528" i="10"/>
  <c r="H528" i="10"/>
  <c r="G520" i="10"/>
  <c r="H520" i="10" s="1"/>
  <c r="G526" i="10"/>
  <c r="H526" i="10" s="1"/>
  <c r="H513" i="10"/>
  <c r="G513" i="10"/>
  <c r="G503" i="10"/>
  <c r="H503" i="10" s="1"/>
  <c r="F522" i="1"/>
  <c r="H522" i="1" s="1"/>
  <c r="F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3" i="1" l="1"/>
  <c r="H514" i="1"/>
  <c r="H510" i="1"/>
  <c r="H501" i="1"/>
  <c r="H517" i="1"/>
  <c r="H528" i="1"/>
  <c r="H512" i="1"/>
  <c r="C668" i="1"/>
  <c r="H518" i="1"/>
  <c r="H513" i="1"/>
  <c r="C496" i="1"/>
  <c r="G496" i="1" s="1"/>
  <c r="H509" i="1"/>
  <c r="H511" i="1"/>
  <c r="G524" i="1"/>
  <c r="H524" i="1" s="1"/>
  <c r="F53" i="9"/>
  <c r="C678" i="1"/>
  <c r="C506" i="1"/>
  <c r="G506" i="1" s="1"/>
  <c r="C619" i="1"/>
  <c r="C559" i="1"/>
  <c r="C309" i="9"/>
  <c r="D245" i="9"/>
  <c r="C630" i="1"/>
  <c r="C546" i="1"/>
  <c r="C526" i="1"/>
  <c r="C698" i="1"/>
  <c r="E149" i="9"/>
  <c r="H53" i="9"/>
  <c r="C680" i="1"/>
  <c r="C508" i="1"/>
  <c r="G508" i="1" s="1"/>
  <c r="C638" i="1"/>
  <c r="C558" i="1"/>
  <c r="I277" i="9"/>
  <c r="C713" i="1"/>
  <c r="F213" i="9"/>
  <c r="C541" i="1"/>
  <c r="C573" i="1"/>
  <c r="C373" i="9"/>
  <c r="C622" i="1"/>
  <c r="CE67" i="1"/>
  <c r="CE71" i="1" s="1"/>
  <c r="C716" i="1" s="1"/>
  <c r="C17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1" i="1"/>
  <c r="D620" i="1"/>
  <c r="D669" i="1"/>
  <c r="D703" i="1"/>
  <c r="D673" i="1"/>
  <c r="D677" i="1"/>
  <c r="D621" i="1"/>
  <c r="D712" i="1"/>
  <c r="D678" i="1"/>
  <c r="D672" i="1"/>
  <c r="D710" i="1"/>
  <c r="D643" i="1"/>
  <c r="D619" i="1"/>
  <c r="D708" i="1"/>
  <c r="D683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41" i="1"/>
  <c r="D695" i="1"/>
  <c r="D693" i="1"/>
  <c r="D629" i="1"/>
  <c r="D634" i="1"/>
  <c r="D638" i="1"/>
  <c r="D691" i="1"/>
  <c r="D670" i="1"/>
  <c r="D627" i="1"/>
  <c r="D640" i="1"/>
  <c r="D689" i="1"/>
  <c r="D701" i="1"/>
  <c r="D696" i="1"/>
  <c r="D626" i="1"/>
  <c r="D668" i="1"/>
  <c r="D680" i="1"/>
  <c r="D633" i="1"/>
  <c r="D646" i="1"/>
  <c r="D688" i="1"/>
  <c r="D679" i="1"/>
  <c r="D624" i="1"/>
  <c r="D625" i="1"/>
  <c r="D618" i="1"/>
  <c r="D681" i="1"/>
  <c r="D706" i="10"/>
  <c r="D698" i="10"/>
  <c r="D690" i="10"/>
  <c r="D682" i="10"/>
  <c r="D711" i="10"/>
  <c r="D703" i="10"/>
  <c r="D695" i="10"/>
  <c r="D687" i="10"/>
  <c r="D708" i="10"/>
  <c r="D700" i="10"/>
  <c r="D713" i="10"/>
  <c r="D705" i="10"/>
  <c r="D710" i="10"/>
  <c r="D702" i="10"/>
  <c r="D694" i="10"/>
  <c r="D686" i="10"/>
  <c r="D716" i="10"/>
  <c r="D707" i="10"/>
  <c r="D699" i="10"/>
  <c r="D691" i="10"/>
  <c r="D683" i="10"/>
  <c r="D697" i="10"/>
  <c r="D688" i="10"/>
  <c r="D680" i="10"/>
  <c r="D672" i="10"/>
  <c r="D704" i="10"/>
  <c r="D685" i="10"/>
  <c r="D677" i="10"/>
  <c r="D669" i="10"/>
  <c r="D627" i="10"/>
  <c r="D701" i="10"/>
  <c r="D692" i="10"/>
  <c r="D674" i="10"/>
  <c r="D623" i="10"/>
  <c r="D619" i="10"/>
  <c r="D712" i="10"/>
  <c r="D689" i="10"/>
  <c r="D679" i="10"/>
  <c r="D671" i="10"/>
  <c r="D709" i="10"/>
  <c r="D696" i="10"/>
  <c r="D676" i="10"/>
  <c r="D693" i="10"/>
  <c r="D681" i="10"/>
  <c r="D673" i="10"/>
  <c r="D639" i="10"/>
  <c r="D620" i="10"/>
  <c r="D644" i="10"/>
  <c r="D636" i="10"/>
  <c r="D631" i="10"/>
  <c r="D646" i="10"/>
  <c r="D641" i="10"/>
  <c r="D633" i="10"/>
  <c r="D629" i="10"/>
  <c r="D624" i="10"/>
  <c r="D618" i="10"/>
  <c r="D678" i="10"/>
  <c r="D670" i="10"/>
  <c r="D668" i="10"/>
  <c r="D638" i="10"/>
  <c r="D617" i="10"/>
  <c r="D675" i="10"/>
  <c r="D643" i="10"/>
  <c r="D635" i="10"/>
  <c r="D626" i="10"/>
  <c r="D647" i="10"/>
  <c r="D642" i="10"/>
  <c r="D634" i="10"/>
  <c r="D625" i="10"/>
  <c r="D640" i="10"/>
  <c r="D616" i="10"/>
  <c r="D684" i="10"/>
  <c r="D622" i="10"/>
  <c r="D630" i="10"/>
  <c r="D632" i="10"/>
  <c r="D637" i="10"/>
  <c r="D628" i="10"/>
  <c r="D645" i="10"/>
  <c r="D621" i="10"/>
  <c r="G496" i="10"/>
  <c r="H496" i="10"/>
  <c r="F545" i="1"/>
  <c r="H545" i="1" s="1"/>
  <c r="F525" i="1"/>
  <c r="H525" i="1" s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 s="1"/>
  <c r="F537" i="1"/>
  <c r="H537" i="1"/>
  <c r="F531" i="1"/>
  <c r="H531" i="1"/>
  <c r="E623" i="1" l="1"/>
  <c r="E716" i="1" s="1"/>
  <c r="C715" i="1"/>
  <c r="C648" i="1"/>
  <c r="M716" i="1" s="1"/>
  <c r="H496" i="1"/>
  <c r="I373" i="9"/>
  <c r="E612" i="1"/>
  <c r="E627" i="1" s="1"/>
  <c r="G526" i="1"/>
  <c r="H526" i="1" s="1"/>
  <c r="G546" i="1"/>
  <c r="H546" i="1"/>
  <c r="D715" i="1"/>
  <c r="C433" i="1"/>
  <c r="C441" i="1" s="1"/>
  <c r="I369" i="9"/>
  <c r="D715" i="10"/>
  <c r="E623" i="10"/>
  <c r="E612" i="10"/>
  <c r="E703" i="1" l="1"/>
  <c r="E713" i="1"/>
  <c r="E625" i="1"/>
  <c r="E699" i="1"/>
  <c r="E684" i="1"/>
  <c r="E679" i="1"/>
  <c r="E702" i="1"/>
  <c r="E672" i="1"/>
  <c r="E669" i="1"/>
  <c r="E689" i="1"/>
  <c r="E676" i="1"/>
  <c r="E647" i="1"/>
  <c r="E640" i="1"/>
  <c r="E668" i="1"/>
  <c r="E678" i="1"/>
  <c r="E645" i="1"/>
  <c r="E697" i="1"/>
  <c r="E633" i="1"/>
  <c r="E641" i="1"/>
  <c r="E643" i="1"/>
  <c r="E671" i="1"/>
  <c r="E634" i="1"/>
  <c r="E704" i="1"/>
  <c r="E644" i="1"/>
  <c r="E670" i="1"/>
  <c r="E683" i="1"/>
  <c r="E628" i="1"/>
  <c r="E630" i="1"/>
  <c r="E677" i="1"/>
  <c r="E646" i="1"/>
  <c r="E686" i="1"/>
  <c r="E632" i="1"/>
  <c r="E708" i="1"/>
  <c r="E687" i="1"/>
  <c r="E710" i="1"/>
  <c r="E712" i="1"/>
  <c r="E638" i="1"/>
  <c r="E636" i="1"/>
  <c r="E681" i="1"/>
  <c r="E635" i="1"/>
  <c r="E690" i="1"/>
  <c r="E700" i="1"/>
  <c r="E675" i="1"/>
  <c r="E695" i="1"/>
  <c r="E642" i="1"/>
  <c r="E674" i="1"/>
  <c r="E673" i="1"/>
  <c r="E696" i="1"/>
  <c r="E624" i="1"/>
  <c r="F624" i="1" s="1"/>
  <c r="E637" i="1"/>
  <c r="E706" i="1"/>
  <c r="E701" i="1"/>
  <c r="E639" i="1"/>
  <c r="E685" i="1"/>
  <c r="E709" i="1"/>
  <c r="E680" i="1"/>
  <c r="E698" i="1"/>
  <c r="E688" i="1"/>
  <c r="E705" i="1"/>
  <c r="E626" i="1"/>
  <c r="E692" i="1"/>
  <c r="E629" i="1"/>
  <c r="E693" i="1"/>
  <c r="E707" i="1"/>
  <c r="E631" i="1"/>
  <c r="E682" i="1"/>
  <c r="E691" i="1"/>
  <c r="E694" i="1"/>
  <c r="E711" i="1"/>
  <c r="E711" i="10"/>
  <c r="E703" i="10"/>
  <c r="E695" i="10"/>
  <c r="E687" i="10"/>
  <c r="E708" i="10"/>
  <c r="E700" i="10"/>
  <c r="E692" i="10"/>
  <c r="E684" i="10"/>
  <c r="E713" i="10"/>
  <c r="E705" i="10"/>
  <c r="E697" i="10"/>
  <c r="E710" i="10"/>
  <c r="E702" i="10"/>
  <c r="E716" i="10"/>
  <c r="E707" i="10"/>
  <c r="E699" i="10"/>
  <c r="E691" i="10"/>
  <c r="E712" i="10"/>
  <c r="E704" i="10"/>
  <c r="E696" i="10"/>
  <c r="E688" i="10"/>
  <c r="E685" i="10"/>
  <c r="E677" i="10"/>
  <c r="E669" i="10"/>
  <c r="E701" i="10"/>
  <c r="E674" i="10"/>
  <c r="E689" i="10"/>
  <c r="E679" i="10"/>
  <c r="E671" i="10"/>
  <c r="E625" i="10"/>
  <c r="E709" i="10"/>
  <c r="E686" i="10"/>
  <c r="E676" i="10"/>
  <c r="E668" i="10"/>
  <c r="E706" i="10"/>
  <c r="E698" i="10"/>
  <c r="E693" i="10"/>
  <c r="E683" i="10"/>
  <c r="E682" i="10"/>
  <c r="E681" i="10"/>
  <c r="E673" i="10"/>
  <c r="E690" i="10"/>
  <c r="E678" i="10"/>
  <c r="E670" i="10"/>
  <c r="E647" i="10"/>
  <c r="E646" i="10"/>
  <c r="E645" i="10"/>
  <c r="E629" i="10"/>
  <c r="E626" i="10"/>
  <c r="E694" i="10"/>
  <c r="E644" i="10"/>
  <c r="E636" i="10"/>
  <c r="E631" i="10"/>
  <c r="E641" i="10"/>
  <c r="E633" i="10"/>
  <c r="E627" i="10"/>
  <c r="E624" i="10"/>
  <c r="E638" i="10"/>
  <c r="E675" i="10"/>
  <c r="E643" i="10"/>
  <c r="E635" i="10"/>
  <c r="E672" i="10"/>
  <c r="E640" i="10"/>
  <c r="E632" i="10"/>
  <c r="E639" i="10"/>
  <c r="E630" i="10"/>
  <c r="E680" i="10"/>
  <c r="E637" i="10"/>
  <c r="E628" i="10"/>
  <c r="E634" i="10"/>
  <c r="E642" i="10"/>
  <c r="F645" i="1" l="1"/>
  <c r="F711" i="1"/>
  <c r="F668" i="1"/>
  <c r="F677" i="1"/>
  <c r="F641" i="1"/>
  <c r="F628" i="1"/>
  <c r="F697" i="1"/>
  <c r="F716" i="1"/>
  <c r="F640" i="1"/>
  <c r="F709" i="1"/>
  <c r="F703" i="1"/>
  <c r="F637" i="1"/>
  <c r="F627" i="1"/>
  <c r="F704" i="1"/>
  <c r="F698" i="1"/>
  <c r="F708" i="1"/>
  <c r="F692" i="1"/>
  <c r="F642" i="1"/>
  <c r="F669" i="1"/>
  <c r="F678" i="1"/>
  <c r="F691" i="1"/>
  <c r="F679" i="1"/>
  <c r="F643" i="1"/>
  <c r="F706" i="1"/>
  <c r="F688" i="1"/>
  <c r="F635" i="1"/>
  <c r="F686" i="1"/>
  <c r="F670" i="1"/>
  <c r="F676" i="1"/>
  <c r="F707" i="1"/>
  <c r="F695" i="1"/>
  <c r="F639" i="1"/>
  <c r="F625" i="1"/>
  <c r="F681" i="1"/>
  <c r="F674" i="1"/>
  <c r="F699" i="1"/>
  <c r="F696" i="1"/>
  <c r="F626" i="1"/>
  <c r="F673" i="1"/>
  <c r="F701" i="1"/>
  <c r="F682" i="1"/>
  <c r="F694" i="1"/>
  <c r="F712" i="1"/>
  <c r="F675" i="1"/>
  <c r="F672" i="1"/>
  <c r="F689" i="1"/>
  <c r="F685" i="1"/>
  <c r="F671" i="1"/>
  <c r="F636" i="1"/>
  <c r="F713" i="1"/>
  <c r="F700" i="1"/>
  <c r="F690" i="1"/>
  <c r="F634" i="1"/>
  <c r="F705" i="1"/>
  <c r="F710" i="1"/>
  <c r="F633" i="1"/>
  <c r="F638" i="1"/>
  <c r="F702" i="1"/>
  <c r="F683" i="1"/>
  <c r="F644" i="1"/>
  <c r="F631" i="1"/>
  <c r="F647" i="1"/>
  <c r="F630" i="1"/>
  <c r="F693" i="1"/>
  <c r="F684" i="1"/>
  <c r="F680" i="1"/>
  <c r="F632" i="1"/>
  <c r="F646" i="1"/>
  <c r="F629" i="1"/>
  <c r="F687" i="1"/>
  <c r="G625" i="1"/>
  <c r="E715" i="1"/>
  <c r="E715" i="10"/>
  <c r="F624" i="10"/>
  <c r="G674" i="1" l="1"/>
  <c r="G676" i="1"/>
  <c r="G639" i="1"/>
  <c r="G700" i="1"/>
  <c r="G694" i="1"/>
  <c r="G668" i="1"/>
  <c r="G704" i="1"/>
  <c r="G713" i="1"/>
  <c r="G641" i="1"/>
  <c r="G712" i="1"/>
  <c r="G691" i="1"/>
  <c r="G683" i="1"/>
  <c r="G702" i="1"/>
  <c r="G711" i="1"/>
  <c r="G646" i="1"/>
  <c r="G645" i="1"/>
  <c r="G698" i="1"/>
  <c r="G640" i="1"/>
  <c r="G696" i="1"/>
  <c r="G705" i="1"/>
  <c r="G671" i="1"/>
  <c r="G681" i="1"/>
  <c r="G684" i="1"/>
  <c r="G678" i="1"/>
  <c r="G716" i="1"/>
  <c r="G697" i="1"/>
  <c r="G642" i="1"/>
  <c r="G673" i="1"/>
  <c r="G703" i="1"/>
  <c r="G669" i="1"/>
  <c r="G690" i="1"/>
  <c r="G636" i="1"/>
  <c r="G679" i="1"/>
  <c r="G631" i="1"/>
  <c r="G689" i="1"/>
  <c r="G628" i="1"/>
  <c r="G709" i="1"/>
  <c r="G687" i="1"/>
  <c r="G682" i="1"/>
  <c r="G672" i="1"/>
  <c r="G675" i="1"/>
  <c r="G635" i="1"/>
  <c r="G643" i="1"/>
  <c r="G708" i="1"/>
  <c r="G693" i="1"/>
  <c r="G692" i="1"/>
  <c r="G627" i="1"/>
  <c r="G626" i="1"/>
  <c r="G695" i="1"/>
  <c r="G634" i="1"/>
  <c r="G680" i="1"/>
  <c r="G701" i="1"/>
  <c r="G707" i="1"/>
  <c r="G647" i="1"/>
  <c r="G699" i="1"/>
  <c r="G688" i="1"/>
  <c r="G638" i="1"/>
  <c r="G632" i="1"/>
  <c r="G637" i="1"/>
  <c r="G630" i="1"/>
  <c r="G710" i="1"/>
  <c r="G629" i="1"/>
  <c r="G633" i="1"/>
  <c r="G644" i="1"/>
  <c r="G670" i="1"/>
  <c r="G686" i="1"/>
  <c r="G685" i="1"/>
  <c r="G677" i="1"/>
  <c r="G706" i="1"/>
  <c r="F715" i="1"/>
  <c r="F708" i="10"/>
  <c r="F700" i="10"/>
  <c r="F692" i="10"/>
  <c r="F684" i="10"/>
  <c r="F713" i="10"/>
  <c r="F705" i="10"/>
  <c r="F697" i="10"/>
  <c r="F689" i="10"/>
  <c r="F710" i="10"/>
  <c r="F702" i="10"/>
  <c r="F716" i="10"/>
  <c r="F707" i="10"/>
  <c r="F712" i="10"/>
  <c r="F704" i="10"/>
  <c r="F696" i="10"/>
  <c r="F688" i="10"/>
  <c r="F709" i="10"/>
  <c r="F701" i="10"/>
  <c r="F693" i="10"/>
  <c r="F685" i="10"/>
  <c r="F674" i="10"/>
  <c r="F695" i="10"/>
  <c r="F679" i="10"/>
  <c r="F671" i="10"/>
  <c r="F625" i="10"/>
  <c r="F686" i="10"/>
  <c r="F676" i="10"/>
  <c r="F668" i="10"/>
  <c r="F628" i="10"/>
  <c r="F706" i="10"/>
  <c r="F698" i="10"/>
  <c r="F683" i="10"/>
  <c r="F682" i="10"/>
  <c r="F681" i="10"/>
  <c r="F673" i="10"/>
  <c r="F703" i="10"/>
  <c r="F690" i="10"/>
  <c r="F678" i="10"/>
  <c r="F687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7" i="10"/>
  <c r="F711" i="10"/>
  <c r="F646" i="10"/>
  <c r="F629" i="10"/>
  <c r="F699" i="10"/>
  <c r="F670" i="10"/>
  <c r="F672" i="10"/>
  <c r="F626" i="10"/>
  <c r="F691" i="10"/>
  <c r="F645" i="10"/>
  <c r="F694" i="10"/>
  <c r="F669" i="10"/>
  <c r="F680" i="10"/>
  <c r="F677" i="10"/>
  <c r="F647" i="10"/>
  <c r="G715" i="1" l="1"/>
  <c r="H628" i="1"/>
  <c r="F715" i="10"/>
  <c r="G625" i="10"/>
  <c r="H688" i="1" l="1"/>
  <c r="H705" i="1"/>
  <c r="H711" i="1"/>
  <c r="H713" i="1"/>
  <c r="H671" i="1"/>
  <c r="H637" i="1"/>
  <c r="H709" i="1"/>
  <c r="H684" i="1"/>
  <c r="H668" i="1"/>
  <c r="H681" i="1"/>
  <c r="H682" i="1"/>
  <c r="H670" i="1"/>
  <c r="H640" i="1"/>
  <c r="H692" i="1"/>
  <c r="H712" i="1"/>
  <c r="H685" i="1"/>
  <c r="H672" i="1"/>
  <c r="H694" i="1"/>
  <c r="H686" i="1"/>
  <c r="H674" i="1"/>
  <c r="H691" i="1"/>
  <c r="H696" i="1"/>
  <c r="H695" i="1"/>
  <c r="H673" i="1"/>
  <c r="H633" i="1"/>
  <c r="H669" i="1"/>
  <c r="H693" i="1"/>
  <c r="H689" i="1"/>
  <c r="H629" i="1"/>
  <c r="H634" i="1"/>
  <c r="H716" i="1"/>
  <c r="H701" i="1"/>
  <c r="H638" i="1"/>
  <c r="H639" i="1"/>
  <c r="H702" i="1"/>
  <c r="H680" i="1"/>
  <c r="H631" i="1"/>
  <c r="H641" i="1"/>
  <c r="H699" i="1"/>
  <c r="H704" i="1"/>
  <c r="H645" i="1"/>
  <c r="H632" i="1"/>
  <c r="H646" i="1"/>
  <c r="H675" i="1"/>
  <c r="H706" i="1"/>
  <c r="H635" i="1"/>
  <c r="H679" i="1"/>
  <c r="H700" i="1"/>
  <c r="H707" i="1"/>
  <c r="H703" i="1"/>
  <c r="H710" i="1"/>
  <c r="H678" i="1"/>
  <c r="H708" i="1"/>
  <c r="H698" i="1"/>
  <c r="H697" i="1"/>
  <c r="H642" i="1"/>
  <c r="H676" i="1"/>
  <c r="H643" i="1"/>
  <c r="H683" i="1"/>
  <c r="H636" i="1"/>
  <c r="H630" i="1"/>
  <c r="H690" i="1"/>
  <c r="H644" i="1"/>
  <c r="H647" i="1"/>
  <c r="H687" i="1"/>
  <c r="H677" i="1"/>
  <c r="G713" i="10"/>
  <c r="G705" i="10"/>
  <c r="G697" i="10"/>
  <c r="G689" i="10"/>
  <c r="G681" i="10"/>
  <c r="G710" i="10"/>
  <c r="G702" i="10"/>
  <c r="G694" i="10"/>
  <c r="G686" i="10"/>
  <c r="G716" i="10"/>
  <c r="G707" i="10"/>
  <c r="G699" i="10"/>
  <c r="G712" i="10"/>
  <c r="G704" i="10"/>
  <c r="G709" i="10"/>
  <c r="G701" i="10"/>
  <c r="G693" i="10"/>
  <c r="G685" i="10"/>
  <c r="G706" i="10"/>
  <c r="G698" i="10"/>
  <c r="G690" i="10"/>
  <c r="G695" i="10"/>
  <c r="G679" i="10"/>
  <c r="G671" i="10"/>
  <c r="G692" i="10"/>
  <c r="G676" i="10"/>
  <c r="G668" i="10"/>
  <c r="G628" i="10"/>
  <c r="G683" i="10"/>
  <c r="G682" i="10"/>
  <c r="G673" i="10"/>
  <c r="G703" i="10"/>
  <c r="G696" i="10"/>
  <c r="G678" i="10"/>
  <c r="G670" i="10"/>
  <c r="G647" i="10"/>
  <c r="G646" i="10"/>
  <c r="G645" i="10"/>
  <c r="G700" i="10"/>
  <c r="G687" i="10"/>
  <c r="G675" i="10"/>
  <c r="G711" i="10"/>
  <c r="G684" i="10"/>
  <c r="G680" i="10"/>
  <c r="G672" i="10"/>
  <c r="G688" i="10"/>
  <c r="G641" i="10"/>
  <c r="G633" i="10"/>
  <c r="G629" i="10"/>
  <c r="G638" i="10"/>
  <c r="G643" i="10"/>
  <c r="G635" i="10"/>
  <c r="G626" i="10"/>
  <c r="G708" i="10"/>
  <c r="G691" i="10"/>
  <c r="G640" i="10"/>
  <c r="G632" i="10"/>
  <c r="G637" i="10"/>
  <c r="G630" i="10"/>
  <c r="G644" i="10"/>
  <c r="G636" i="10"/>
  <c r="G631" i="10"/>
  <c r="G627" i="10"/>
  <c r="G642" i="10"/>
  <c r="G669" i="10"/>
  <c r="G639" i="10"/>
  <c r="G677" i="10"/>
  <c r="G674" i="10"/>
  <c r="G634" i="10"/>
  <c r="H715" i="1" l="1"/>
  <c r="I629" i="1"/>
  <c r="G715" i="10"/>
  <c r="H628" i="10"/>
  <c r="I637" i="1" l="1"/>
  <c r="I647" i="1"/>
  <c r="I672" i="1"/>
  <c r="I709" i="1"/>
  <c r="I716" i="1"/>
  <c r="I688" i="1"/>
  <c r="I706" i="1"/>
  <c r="I638" i="1"/>
  <c r="I698" i="1"/>
  <c r="I689" i="1"/>
  <c r="I669" i="1"/>
  <c r="I690" i="1"/>
  <c r="I702" i="1"/>
  <c r="I705" i="1"/>
  <c r="I697" i="1"/>
  <c r="I680" i="1"/>
  <c r="I670" i="1"/>
  <c r="I681" i="1"/>
  <c r="I711" i="1"/>
  <c r="I634" i="1"/>
  <c r="I699" i="1"/>
  <c r="I710" i="1"/>
  <c r="I708" i="1"/>
  <c r="I700" i="1"/>
  <c r="I712" i="1"/>
  <c r="I713" i="1"/>
  <c r="I685" i="1"/>
  <c r="I641" i="1"/>
  <c r="I633" i="1"/>
  <c r="I673" i="1"/>
  <c r="I671" i="1"/>
  <c r="I686" i="1"/>
  <c r="I692" i="1"/>
  <c r="I676" i="1"/>
  <c r="I640" i="1"/>
  <c r="I630" i="1"/>
  <c r="I682" i="1"/>
  <c r="I704" i="1"/>
  <c r="I632" i="1"/>
  <c r="I677" i="1"/>
  <c r="I696" i="1"/>
  <c r="I631" i="1"/>
  <c r="I644" i="1"/>
  <c r="I639" i="1"/>
  <c r="I636" i="1"/>
  <c r="I703" i="1"/>
  <c r="I679" i="1"/>
  <c r="I694" i="1"/>
  <c r="I693" i="1"/>
  <c r="I695" i="1"/>
  <c r="I674" i="1"/>
  <c r="I646" i="1"/>
  <c r="I645" i="1"/>
  <c r="I668" i="1"/>
  <c r="I687" i="1"/>
  <c r="I643" i="1"/>
  <c r="I678" i="1"/>
  <c r="I642" i="1"/>
  <c r="I683" i="1"/>
  <c r="I675" i="1"/>
  <c r="I707" i="1"/>
  <c r="I701" i="1"/>
  <c r="I684" i="1"/>
  <c r="I635" i="1"/>
  <c r="I691" i="1"/>
  <c r="H710" i="10"/>
  <c r="H702" i="10"/>
  <c r="H694" i="10"/>
  <c r="H686" i="10"/>
  <c r="H716" i="10"/>
  <c r="H707" i="10"/>
  <c r="H699" i="10"/>
  <c r="H691" i="10"/>
  <c r="H683" i="10"/>
  <c r="H712" i="10"/>
  <c r="H704" i="10"/>
  <c r="H696" i="10"/>
  <c r="H709" i="10"/>
  <c r="H701" i="10"/>
  <c r="H706" i="10"/>
  <c r="H698" i="10"/>
  <c r="H690" i="10"/>
  <c r="H711" i="10"/>
  <c r="H703" i="10"/>
  <c r="H695" i="10"/>
  <c r="H687" i="10"/>
  <c r="H713" i="10"/>
  <c r="H692" i="10"/>
  <c r="H676" i="10"/>
  <c r="H668" i="10"/>
  <c r="H689" i="10"/>
  <c r="H682" i="10"/>
  <c r="H673" i="10"/>
  <c r="H681" i="10"/>
  <c r="H678" i="10"/>
  <c r="H670" i="10"/>
  <c r="H647" i="10"/>
  <c r="H646" i="10"/>
  <c r="H645" i="10"/>
  <c r="H629" i="10"/>
  <c r="H700" i="10"/>
  <c r="H69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84" i="10"/>
  <c r="H680" i="10"/>
  <c r="H672" i="10"/>
  <c r="H708" i="10"/>
  <c r="H677" i="10"/>
  <c r="H669" i="10"/>
  <c r="H679" i="10"/>
  <c r="H630" i="10"/>
  <c r="H697" i="10"/>
  <c r="H685" i="10"/>
  <c r="H688" i="10"/>
  <c r="H705" i="10"/>
  <c r="H674" i="10"/>
  <c r="H671" i="10"/>
  <c r="I715" i="1" l="1"/>
  <c r="J630" i="1"/>
  <c r="H715" i="10"/>
  <c r="I629" i="10"/>
  <c r="J671" i="1" l="1"/>
  <c r="J645" i="1"/>
  <c r="J689" i="1"/>
  <c r="J692" i="1"/>
  <c r="J702" i="1"/>
  <c r="J716" i="1"/>
  <c r="J681" i="1"/>
  <c r="J633" i="1"/>
  <c r="J673" i="1"/>
  <c r="J632" i="1"/>
  <c r="J693" i="1"/>
  <c r="J707" i="1"/>
  <c r="J634" i="1"/>
  <c r="J695" i="1"/>
  <c r="J684" i="1"/>
  <c r="J643" i="1"/>
  <c r="J644" i="1"/>
  <c r="J676" i="1"/>
  <c r="J708" i="1"/>
  <c r="J668" i="1"/>
  <c r="J705" i="1"/>
  <c r="J710" i="1"/>
  <c r="J677" i="1"/>
  <c r="J680" i="1"/>
  <c r="J635" i="1"/>
  <c r="J690" i="1"/>
  <c r="J713" i="1"/>
  <c r="J675" i="1"/>
  <c r="J631" i="1"/>
  <c r="J679" i="1"/>
  <c r="J683" i="1"/>
  <c r="J647" i="1"/>
  <c r="J711" i="1"/>
  <c r="J709" i="1"/>
  <c r="J696" i="1"/>
  <c r="J682" i="1"/>
  <c r="J670" i="1"/>
  <c r="J703" i="1"/>
  <c r="J688" i="1"/>
  <c r="J669" i="1"/>
  <c r="J678" i="1"/>
  <c r="J687" i="1"/>
  <c r="J640" i="1"/>
  <c r="J685" i="1"/>
  <c r="J712" i="1"/>
  <c r="J691" i="1"/>
  <c r="J699" i="1"/>
  <c r="J674" i="1"/>
  <c r="J642" i="1"/>
  <c r="J694" i="1"/>
  <c r="J704" i="1"/>
  <c r="J637" i="1"/>
  <c r="J672" i="1"/>
  <c r="J646" i="1"/>
  <c r="J638" i="1"/>
  <c r="J706" i="1"/>
  <c r="J700" i="1"/>
  <c r="J697" i="1"/>
  <c r="J639" i="1"/>
  <c r="J636" i="1"/>
  <c r="J701" i="1"/>
  <c r="J686" i="1"/>
  <c r="J641" i="1"/>
  <c r="J698" i="1"/>
  <c r="I716" i="10"/>
  <c r="I707" i="10"/>
  <c r="I699" i="10"/>
  <c r="I691" i="10"/>
  <c r="I683" i="10"/>
  <c r="I712" i="10"/>
  <c r="I704" i="10"/>
  <c r="I696" i="10"/>
  <c r="I688" i="10"/>
  <c r="I709" i="10"/>
  <c r="I701" i="10"/>
  <c r="I706" i="10"/>
  <c r="I711" i="10"/>
  <c r="I703" i="10"/>
  <c r="I695" i="10"/>
  <c r="I687" i="10"/>
  <c r="I708" i="10"/>
  <c r="I700" i="10"/>
  <c r="I692" i="10"/>
  <c r="I684" i="10"/>
  <c r="I710" i="10"/>
  <c r="I689" i="10"/>
  <c r="I682" i="10"/>
  <c r="I673" i="10"/>
  <c r="I686" i="10"/>
  <c r="I681" i="10"/>
  <c r="I678" i="10"/>
  <c r="I670" i="10"/>
  <c r="I647" i="10"/>
  <c r="I646" i="10"/>
  <c r="I645" i="10"/>
  <c r="I698" i="10"/>
  <c r="I69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0" i="10"/>
  <c r="I680" i="10"/>
  <c r="I672" i="10"/>
  <c r="I677" i="10"/>
  <c r="I705" i="10"/>
  <c r="I694" i="10"/>
  <c r="I674" i="10"/>
  <c r="I713" i="10"/>
  <c r="I676" i="10"/>
  <c r="I668" i="10"/>
  <c r="I697" i="10"/>
  <c r="I685" i="10"/>
  <c r="I702" i="10"/>
  <c r="I679" i="10"/>
  <c r="I669" i="10"/>
  <c r="I671" i="10"/>
  <c r="L647" i="1" l="1"/>
  <c r="L678" i="1" s="1"/>
  <c r="J715" i="1"/>
  <c r="K644" i="1"/>
  <c r="K676" i="1" s="1"/>
  <c r="M676" i="1" s="1"/>
  <c r="L704" i="1"/>
  <c r="L702" i="1"/>
  <c r="L677" i="1"/>
  <c r="L695" i="1"/>
  <c r="L669" i="1"/>
  <c r="L676" i="1"/>
  <c r="L674" i="1"/>
  <c r="L696" i="1"/>
  <c r="L688" i="1"/>
  <c r="L671" i="1"/>
  <c r="L703" i="1"/>
  <c r="L675" i="1"/>
  <c r="L712" i="1"/>
  <c r="L691" i="1"/>
  <c r="L692" i="1"/>
  <c r="L683" i="1"/>
  <c r="L679" i="1"/>
  <c r="L707" i="1"/>
  <c r="L684" i="1"/>
  <c r="L713" i="1"/>
  <c r="L710" i="1"/>
  <c r="L690" i="1"/>
  <c r="I715" i="10"/>
  <c r="J630" i="10"/>
  <c r="L700" i="1" l="1"/>
  <c r="L699" i="1"/>
  <c r="L672" i="1"/>
  <c r="L711" i="1"/>
  <c r="L706" i="1"/>
  <c r="L670" i="1"/>
  <c r="L668" i="1"/>
  <c r="L687" i="1"/>
  <c r="L689" i="1"/>
  <c r="L716" i="1"/>
  <c r="L705" i="1"/>
  <c r="L686" i="1"/>
  <c r="L701" i="1"/>
  <c r="L680" i="1"/>
  <c r="L698" i="1"/>
  <c r="L697" i="1"/>
  <c r="L709" i="1"/>
  <c r="L693" i="1"/>
  <c r="L685" i="1"/>
  <c r="L681" i="1"/>
  <c r="L708" i="1"/>
  <c r="L694" i="1"/>
  <c r="L673" i="1"/>
  <c r="L682" i="1"/>
  <c r="D55" i="9"/>
  <c r="K712" i="1"/>
  <c r="M712" i="1" s="1"/>
  <c r="K669" i="1"/>
  <c r="M669" i="1" s="1"/>
  <c r="K671" i="1"/>
  <c r="M671" i="1" s="1"/>
  <c r="K703" i="1"/>
  <c r="M703" i="1" s="1"/>
  <c r="K716" i="1"/>
  <c r="K674" i="1"/>
  <c r="M674" i="1" s="1"/>
  <c r="K709" i="1"/>
  <c r="M709" i="1" s="1"/>
  <c r="K696" i="1"/>
  <c r="M696" i="1" s="1"/>
  <c r="K682" i="1"/>
  <c r="K699" i="1"/>
  <c r="M699" i="1" s="1"/>
  <c r="K692" i="1"/>
  <c r="M692" i="1" s="1"/>
  <c r="K704" i="1"/>
  <c r="M704" i="1" s="1"/>
  <c r="K707" i="1"/>
  <c r="M707" i="1" s="1"/>
  <c r="K677" i="1"/>
  <c r="M677" i="1" s="1"/>
  <c r="K697" i="1"/>
  <c r="K673" i="1"/>
  <c r="K693" i="1"/>
  <c r="M693" i="1" s="1"/>
  <c r="K695" i="1"/>
  <c r="M695" i="1" s="1"/>
  <c r="K670" i="1"/>
  <c r="M670" i="1" s="1"/>
  <c r="K687" i="1"/>
  <c r="K690" i="1"/>
  <c r="M690" i="1" s="1"/>
  <c r="K701" i="1"/>
  <c r="K683" i="1"/>
  <c r="M683" i="1" s="1"/>
  <c r="K681" i="1"/>
  <c r="K698" i="1"/>
  <c r="K694" i="1"/>
  <c r="M694" i="1" s="1"/>
  <c r="K678" i="1"/>
  <c r="M678" i="1" s="1"/>
  <c r="K713" i="1"/>
  <c r="M713" i="1" s="1"/>
  <c r="K685" i="1"/>
  <c r="M685" i="1" s="1"/>
  <c r="K668" i="1"/>
  <c r="K679" i="1"/>
  <c r="M679" i="1" s="1"/>
  <c r="K689" i="1"/>
  <c r="M689" i="1" s="1"/>
  <c r="K702" i="1"/>
  <c r="M702" i="1" s="1"/>
  <c r="K700" i="1"/>
  <c r="M700" i="1" s="1"/>
  <c r="K688" i="1"/>
  <c r="M688" i="1" s="1"/>
  <c r="K706" i="1"/>
  <c r="M706" i="1" s="1"/>
  <c r="K710" i="1"/>
  <c r="M710" i="1" s="1"/>
  <c r="K705" i="1"/>
  <c r="M705" i="1" s="1"/>
  <c r="K680" i="1"/>
  <c r="M680" i="1" s="1"/>
  <c r="K711" i="1"/>
  <c r="K708" i="1"/>
  <c r="M708" i="1" s="1"/>
  <c r="K691" i="1"/>
  <c r="M691" i="1" s="1"/>
  <c r="K684" i="1"/>
  <c r="M684" i="1" s="1"/>
  <c r="K672" i="1"/>
  <c r="M672" i="1" s="1"/>
  <c r="K675" i="1"/>
  <c r="M675" i="1" s="1"/>
  <c r="K686" i="1"/>
  <c r="J712" i="10"/>
  <c r="J704" i="10"/>
  <c r="J696" i="10"/>
  <c r="J688" i="10"/>
  <c r="J709" i="10"/>
  <c r="J701" i="10"/>
  <c r="J693" i="10"/>
  <c r="J685" i="10"/>
  <c r="J706" i="10"/>
  <c r="J698" i="10"/>
  <c r="J711" i="10"/>
  <c r="J703" i="10"/>
  <c r="J708" i="10"/>
  <c r="J700" i="10"/>
  <c r="J692" i="10"/>
  <c r="J684" i="10"/>
  <c r="J713" i="10"/>
  <c r="J705" i="10"/>
  <c r="J697" i="10"/>
  <c r="J689" i="10"/>
  <c r="J707" i="10"/>
  <c r="J686" i="10"/>
  <c r="J681" i="10"/>
  <c r="J678" i="10"/>
  <c r="J670" i="10"/>
  <c r="J647" i="10"/>
  <c r="J646" i="10"/>
  <c r="J645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6" i="10"/>
  <c r="J690" i="10"/>
  <c r="J680" i="10"/>
  <c r="J672" i="10"/>
  <c r="J687" i="10"/>
  <c r="J677" i="10"/>
  <c r="J669" i="10"/>
  <c r="J694" i="10"/>
  <c r="J674" i="10"/>
  <c r="J702" i="10"/>
  <c r="J691" i="10"/>
  <c r="J679" i="10"/>
  <c r="J671" i="10"/>
  <c r="J682" i="10"/>
  <c r="J673" i="10"/>
  <c r="J699" i="10"/>
  <c r="J668" i="10"/>
  <c r="J710" i="10"/>
  <c r="J676" i="10"/>
  <c r="J695" i="10"/>
  <c r="L715" i="1" l="1"/>
  <c r="M698" i="1"/>
  <c r="M682" i="1"/>
  <c r="M711" i="1"/>
  <c r="M681" i="1"/>
  <c r="M687" i="1"/>
  <c r="M697" i="1"/>
  <c r="D151" i="9" s="1"/>
  <c r="M686" i="1"/>
  <c r="G87" i="9" s="1"/>
  <c r="M673" i="1"/>
  <c r="M701" i="1"/>
  <c r="E87" i="9"/>
  <c r="I87" i="9"/>
  <c r="D215" i="9"/>
  <c r="G151" i="9"/>
  <c r="F151" i="9"/>
  <c r="H23" i="9"/>
  <c r="F87" i="9"/>
  <c r="E151" i="9"/>
  <c r="C87" i="9"/>
  <c r="E215" i="9"/>
  <c r="F183" i="9"/>
  <c r="F215" i="9"/>
  <c r="D183" i="9"/>
  <c r="C183" i="9"/>
  <c r="E119" i="9"/>
  <c r="E183" i="9"/>
  <c r="K715" i="1"/>
  <c r="M668" i="1"/>
  <c r="H119" i="9"/>
  <c r="H151" i="9"/>
  <c r="I119" i="9"/>
  <c r="E55" i="9"/>
  <c r="I23" i="9"/>
  <c r="D23" i="9"/>
  <c r="I55" i="9"/>
  <c r="C55" i="9"/>
  <c r="H183" i="9"/>
  <c r="C215" i="9"/>
  <c r="I151" i="9"/>
  <c r="D119" i="9"/>
  <c r="G119" i="9"/>
  <c r="G183" i="9"/>
  <c r="G23" i="9"/>
  <c r="C119" i="9"/>
  <c r="H87" i="9"/>
  <c r="C151" i="9"/>
  <c r="H55" i="9"/>
  <c r="G55" i="9"/>
  <c r="F55" i="9"/>
  <c r="D87" i="9"/>
  <c r="E23" i="9"/>
  <c r="F119" i="9"/>
  <c r="I183" i="9"/>
  <c r="F23" i="9"/>
  <c r="L647" i="10"/>
  <c r="K644" i="10"/>
  <c r="J715" i="10"/>
  <c r="L706" i="10"/>
  <c r="L698" i="10"/>
  <c r="L690" i="10"/>
  <c r="L682" i="10"/>
  <c r="L711" i="10"/>
  <c r="L703" i="10"/>
  <c r="L695" i="10"/>
  <c r="L687" i="10"/>
  <c r="L708" i="10"/>
  <c r="L700" i="10"/>
  <c r="L713" i="10"/>
  <c r="L705" i="10"/>
  <c r="L710" i="10"/>
  <c r="L702" i="10"/>
  <c r="L694" i="10"/>
  <c r="L686" i="10"/>
  <c r="L716" i="10"/>
  <c r="L707" i="10"/>
  <c r="L699" i="10"/>
  <c r="L691" i="10"/>
  <c r="L683" i="10"/>
  <c r="L701" i="10"/>
  <c r="L680" i="10"/>
  <c r="L672" i="10"/>
  <c r="L712" i="10"/>
  <c r="L696" i="10"/>
  <c r="L693" i="10"/>
  <c r="L677" i="10"/>
  <c r="L669" i="10"/>
  <c r="L709" i="10"/>
  <c r="L684" i="10"/>
  <c r="L674" i="10"/>
  <c r="L679" i="10"/>
  <c r="L671" i="10"/>
  <c r="L688" i="10"/>
  <c r="L676" i="10"/>
  <c r="L697" i="10"/>
  <c r="L685" i="10"/>
  <c r="L673" i="10"/>
  <c r="L670" i="10"/>
  <c r="L668" i="10"/>
  <c r="L692" i="10"/>
  <c r="L681" i="10"/>
  <c r="L678" i="10"/>
  <c r="L675" i="10"/>
  <c r="L704" i="10"/>
  <c r="L689" i="10"/>
  <c r="M715" i="1" l="1"/>
  <c r="C23" i="9"/>
  <c r="K709" i="10"/>
  <c r="M709" i="10" s="1"/>
  <c r="Y775" i="10" s="1"/>
  <c r="K701" i="10"/>
  <c r="M701" i="10" s="1"/>
  <c r="Y767" i="10" s="1"/>
  <c r="K693" i="10"/>
  <c r="M693" i="10" s="1"/>
  <c r="Y759" i="10" s="1"/>
  <c r="K685" i="10"/>
  <c r="M685" i="10" s="1"/>
  <c r="Y751" i="10" s="1"/>
  <c r="K706" i="10"/>
  <c r="K698" i="10"/>
  <c r="M698" i="10" s="1"/>
  <c r="Y764" i="10" s="1"/>
  <c r="K690" i="10"/>
  <c r="M690" i="10" s="1"/>
  <c r="Y756" i="10" s="1"/>
  <c r="K682" i="10"/>
  <c r="K711" i="10"/>
  <c r="K703" i="10"/>
  <c r="M703" i="10" s="1"/>
  <c r="Y769" i="10" s="1"/>
  <c r="K708" i="10"/>
  <c r="M708" i="10" s="1"/>
  <c r="Y774" i="10" s="1"/>
  <c r="K700" i="10"/>
  <c r="K713" i="10"/>
  <c r="K705" i="10"/>
  <c r="M705" i="10" s="1"/>
  <c r="Y771" i="10" s="1"/>
  <c r="K697" i="10"/>
  <c r="M697" i="10" s="1"/>
  <c r="Y763" i="10" s="1"/>
  <c r="K689" i="10"/>
  <c r="M689" i="10" s="1"/>
  <c r="Y755" i="10" s="1"/>
  <c r="K710" i="10"/>
  <c r="K702" i="10"/>
  <c r="M702" i="10" s="1"/>
  <c r="Y768" i="10" s="1"/>
  <c r="K694" i="10"/>
  <c r="M694" i="10" s="1"/>
  <c r="Y760" i="10" s="1"/>
  <c r="K686" i="10"/>
  <c r="K704" i="10"/>
  <c r="K683" i="10"/>
  <c r="M683" i="10" s="1"/>
  <c r="Y749" i="10" s="1"/>
  <c r="K675" i="10"/>
  <c r="M675" i="10" s="1"/>
  <c r="Y741" i="10" s="1"/>
  <c r="K716" i="10"/>
  <c r="K680" i="10"/>
  <c r="M680" i="10" s="1"/>
  <c r="Y746" i="10" s="1"/>
  <c r="K672" i="10"/>
  <c r="M672" i="10" s="1"/>
  <c r="Y738" i="10" s="1"/>
  <c r="K712" i="10"/>
  <c r="M712" i="10" s="1"/>
  <c r="Y778" i="10" s="1"/>
  <c r="K696" i="10"/>
  <c r="K687" i="10"/>
  <c r="K677" i="10"/>
  <c r="K669" i="10"/>
  <c r="M669" i="10" s="1"/>
  <c r="Y735" i="10" s="1"/>
  <c r="K684" i="10"/>
  <c r="K674" i="10"/>
  <c r="M674" i="10" s="1"/>
  <c r="Y740" i="10" s="1"/>
  <c r="K691" i="10"/>
  <c r="M691" i="10" s="1"/>
  <c r="Y757" i="10" s="1"/>
  <c r="K679" i="10"/>
  <c r="M679" i="10" s="1"/>
  <c r="Y745" i="10" s="1"/>
  <c r="K671" i="10"/>
  <c r="K699" i="10"/>
  <c r="K688" i="10"/>
  <c r="K676" i="10"/>
  <c r="M676" i="10" s="1"/>
  <c r="Y742" i="10" s="1"/>
  <c r="K668" i="10"/>
  <c r="K670" i="10"/>
  <c r="M670" i="10" s="1"/>
  <c r="Y736" i="10" s="1"/>
  <c r="K692" i="10"/>
  <c r="M692" i="10" s="1"/>
  <c r="Y758" i="10" s="1"/>
  <c r="K681" i="10"/>
  <c r="M681" i="10" s="1"/>
  <c r="Y747" i="10" s="1"/>
  <c r="K678" i="10"/>
  <c r="K707" i="10"/>
  <c r="K673" i="10"/>
  <c r="M673" i="10" s="1"/>
  <c r="Y739" i="10" s="1"/>
  <c r="K695" i="10"/>
  <c r="M695" i="10" s="1"/>
  <c r="Y761" i="10" s="1"/>
  <c r="M710" i="10"/>
  <c r="Y776" i="10" s="1"/>
  <c r="M711" i="10"/>
  <c r="Y777" i="10" s="1"/>
  <c r="M677" i="10"/>
  <c r="Y743" i="10" s="1"/>
  <c r="M682" i="10"/>
  <c r="Y748" i="10" s="1"/>
  <c r="M684" i="10"/>
  <c r="Y750" i="10" s="1"/>
  <c r="M713" i="10"/>
  <c r="Y779" i="10" s="1"/>
  <c r="M696" i="10"/>
  <c r="Y762" i="10" s="1"/>
  <c r="M707" i="10"/>
  <c r="Y773" i="10" s="1"/>
  <c r="M700" i="10"/>
  <c r="Y766" i="10" s="1"/>
  <c r="M704" i="10"/>
  <c r="Y770" i="10" s="1"/>
  <c r="M678" i="10"/>
  <c r="Y744" i="10" s="1"/>
  <c r="M699" i="10"/>
  <c r="Y765" i="10" s="1"/>
  <c r="M671" i="10"/>
  <c r="Y737" i="10" s="1"/>
  <c r="L715" i="10"/>
  <c r="M706" i="10"/>
  <c r="Y772" i="10" s="1"/>
  <c r="M688" i="10"/>
  <c r="Y754" i="10" s="1"/>
  <c r="M686" i="10"/>
  <c r="Y752" i="10" s="1"/>
  <c r="M687" i="10"/>
  <c r="Y753" i="10" s="1"/>
  <c r="K715" i="10" l="1"/>
  <c r="M668" i="10"/>
  <c r="Y734" i="10" l="1"/>
  <c r="Y815" i="10" s="1"/>
  <c r="M715" i="10"/>
</calcChain>
</file>

<file path=xl/sharedStrings.xml><?xml version="1.0" encoding="utf-8"?>
<sst xmlns="http://schemas.openxmlformats.org/spreadsheetml/2006/main" count="4676" uniqueCount="1284">
  <si>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</si>
  <si>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</si>
  <si>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</si>
  <si>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</si>
  <si>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</si>
  <si>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</si>
  <si>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</si>
  <si>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</si>
  <si>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</si>
  <si>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</si>
  <si>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</si>
  <si>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</si>
  <si>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</si>
  <si>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</si>
  <si>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</si>
  <si>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</si>
  <si>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</si>
  <si>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</si>
  <si>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</si>
  <si>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</si>
  <si>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</si>
  <si>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</si>
  <si>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</si>
  <si>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</si>
  <si>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</si>
  <si>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</si>
  <si>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</si>
  <si>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</si>
  <si>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</si>
  <si>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</si>
  <si>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</si>
  <si>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</si>
  <si>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</si>
  <si>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</si>
  <si>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</si>
  <si>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</si>
  <si>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</si>
  <si>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</si>
  <si>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</si>
  <si>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</si>
  <si>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</si>
  <si>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</si>
  <si>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</si>
  <si>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</si>
  <si>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</si>
  <si>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</si>
  <si>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</si>
  <si>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</si>
  <si>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</si>
  <si>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</si>
  <si>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</si>
  <si>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</si>
  <si>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</si>
  <si>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</si>
  <si>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</si>
  <si>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</si>
  <si>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</si>
  <si>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</si>
  <si>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</si>
  <si>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</si>
  <si>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</si>
  <si>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</si>
  <si>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</si>
  <si>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</si>
  <si>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</si>
  <si>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</si>
  <si>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</si>
  <si>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</si>
  <si>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</si>
  <si>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</si>
  <si>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</si>
  <si>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</si>
  <si>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</si>
  <si>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</si>
  <si>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</si>
  <si>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</si>
  <si>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</si>
  <si>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</si>
  <si>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</si>
  <si>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</si>
  <si>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</si>
  <si>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</si>
  <si>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</si>
  <si>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</si>
  <si>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</si>
  <si>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</si>
  <si>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</si>
  <si>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</si>
  <si>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</si>
  <si>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</si>
  <si>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</si>
  <si>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</si>
  <si>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</si>
  <si>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</si>
  <si>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</si>
  <si>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</si>
  <si>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</si>
  <si>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</si>
  <si>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</si>
  <si>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</si>
  <si>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</si>
  <si>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</si>
  <si>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</si>
  <si>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</si>
  <si>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</si>
  <si>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</si>
  <si>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</si>
  <si>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</si>
  <si>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</si>
  <si>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</si>
  <si>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</si>
  <si>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</si>
  <si>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</si>
  <si>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</si>
  <si>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</si>
  <si>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</si>
  <si>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</si>
  <si>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</si>
  <si>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</si>
  <si>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</si>
  <si>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</si>
  <si>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</si>
  <si>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</si>
  <si>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</si>
  <si>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</si>
  <si>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</si>
  <si>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</si>
  <si>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</si>
  <si>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</si>
  <si>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</si>
  <si>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</si>
  <si>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</si>
  <si>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</si>
  <si>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</si>
  <si>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</si>
  <si>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</si>
  <si>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</si>
  <si>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</si>
  <si>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</si>
  <si>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</si>
  <si>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</si>
  <si>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</si>
  <si>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</si>
  <si>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</si>
  <si>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</si>
  <si>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</si>
  <si>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</si>
  <si>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</si>
  <si>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</si>
  <si>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</si>
  <si>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</si>
  <si>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</si>
  <si>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</si>
  <si>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</si>
  <si>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</si>
  <si>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</si>
  <si>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</si>
  <si>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</si>
  <si>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</si>
  <si>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</si>
  <si>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</si>
  <si>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</si>
  <si>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</si>
  <si>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</si>
  <si>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</si>
  <si>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</si>
  <si>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</si>
  <si>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</si>
  <si>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</si>
  <si>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</si>
  <si>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</si>
  <si>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</si>
  <si>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</si>
  <si>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</si>
  <si>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</si>
  <si>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</si>
  <si>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</si>
  <si>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</si>
  <si>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</si>
  <si>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</si>
  <si>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</si>
  <si>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</si>
  <si>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</si>
  <si>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</si>
  <si>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</si>
  <si>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</si>
  <si>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</si>
  <si>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</si>
  <si>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</si>
  <si>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</si>
  <si>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</si>
  <si>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</si>
  <si>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</si>
  <si>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</si>
  <si>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</si>
  <si>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</si>
  <si>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</si>
  <si>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</si>
  <si>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</si>
  <si>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</si>
  <si>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</si>
  <si>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</si>
  <si>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</si>
  <si>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</si>
  <si>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</si>
  <si>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</si>
  <si>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</si>
  <si>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</si>
  <si>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</si>
  <si>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</si>
  <si>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</si>
  <si>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</si>
  <si>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</si>
  <si>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</si>
  <si>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</si>
  <si>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</si>
  <si>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</si>
  <si>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</si>
  <si>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</si>
  <si>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</si>
  <si>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</si>
  <si>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</si>
  <si>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</si>
  <si>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</si>
  <si>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</si>
  <si>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Treatments</t>
  </si>
  <si>
    <t>Hours</t>
  </si>
  <si>
    <t>Visits</t>
  </si>
  <si>
    <t>Occasions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</si>
  <si>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</si>
  <si>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</si>
  <si>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</si>
  <si>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</si>
  <si>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</si>
  <si>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</si>
  <si>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</si>
  <si>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</si>
  <si>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</si>
  <si>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</si>
  <si>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</si>
  <si>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</si>
  <si>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</si>
  <si>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</si>
  <si>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</si>
  <si>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</si>
  <si>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</si>
  <si>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</si>
  <si>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</si>
  <si>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</si>
  <si>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</si>
  <si>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</si>
  <si>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</si>
  <si>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</si>
  <si>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</si>
  <si>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</si>
  <si>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</si>
  <si>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</si>
  <si>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</si>
  <si>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</si>
  <si>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</si>
  <si>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</si>
  <si>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</si>
  <si>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</si>
  <si>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</si>
  <si>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</si>
  <si>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</si>
  <si>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</si>
  <si>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</si>
  <si>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</si>
  <si>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</si>
  <si>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</si>
  <si>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</si>
  <si>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</si>
  <si>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</si>
  <si>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</si>
  <si>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</si>
  <si>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</si>
  <si>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</si>
  <si>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</si>
  <si>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</si>
  <si>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</si>
  <si>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</si>
  <si>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</si>
  <si>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</si>
  <si>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</si>
  <si>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</si>
  <si>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</si>
  <si>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</si>
  <si>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</si>
  <si>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</si>
  <si>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</si>
  <si>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</si>
  <si>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</si>
  <si>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</si>
  <si>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</si>
  <si>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</si>
  <si>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</si>
  <si>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</si>
  <si>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</si>
  <si>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</si>
  <si>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</si>
  <si>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</si>
  <si>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</si>
  <si>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</si>
  <si>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</si>
  <si>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</si>
  <si>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</si>
  <si>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</si>
  <si>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</si>
  <si>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</si>
  <si>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</si>
  <si>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</si>
  <si>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</si>
  <si>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</si>
  <si>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</si>
  <si>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</si>
  <si>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</si>
  <si>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</si>
  <si>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</si>
  <si>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</si>
  <si>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</si>
  <si>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</si>
  <si>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</si>
  <si>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</si>
  <si>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</si>
  <si>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</si>
  <si>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</si>
  <si>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</si>
  <si>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</si>
  <si>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</si>
  <si>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</si>
  <si>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</si>
  <si>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</si>
  <si>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</si>
  <si>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</si>
  <si>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</si>
  <si>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</si>
  <si>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</si>
  <si>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</si>
  <si>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</si>
  <si>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</si>
  <si>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</si>
  <si>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</si>
  <si>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</si>
  <si>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</si>
  <si>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</si>
  <si>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</si>
  <si>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</si>
  <si>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</si>
  <si>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</si>
  <si>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</si>
  <si>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</si>
  <si>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</si>
  <si>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</si>
  <si>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</si>
  <si>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</si>
  <si>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</si>
  <si>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</si>
  <si>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</si>
  <si>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</si>
  <si>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</si>
  <si>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</si>
  <si>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</si>
  <si>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</si>
  <si>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</si>
  <si>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</si>
  <si>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</si>
  <si>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</si>
  <si>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</si>
  <si>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</si>
  <si>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</si>
  <si>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</si>
  <si>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</si>
  <si>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</si>
  <si>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</si>
  <si>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</si>
  <si>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</si>
  <si>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</si>
  <si>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</si>
  <si>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</si>
  <si>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</si>
  <si>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</si>
  <si>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</si>
  <si>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</si>
  <si>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</si>
  <si>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</si>
  <si>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</si>
  <si>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</si>
  <si>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</si>
  <si>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</si>
  <si>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</si>
  <si>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</si>
  <si>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</si>
  <si>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</si>
  <si>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</si>
  <si>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</si>
  <si>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</si>
  <si>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</si>
  <si>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</si>
  <si>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</si>
  <si>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</si>
  <si>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</si>
  <si>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</si>
  <si>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</si>
  <si>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</si>
  <si>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</si>
  <si>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</si>
  <si>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</si>
  <si>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</si>
  <si>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</si>
  <si>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</si>
  <si>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</si>
  <si>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</si>
  <si>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</si>
  <si>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</si>
  <si>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</si>
  <si>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</si>
  <si>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</si>
  <si>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</si>
  <si>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</si>
  <si>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</si>
  <si>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</si>
  <si>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</si>
  <si>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</si>
  <si>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</si>
  <si>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</si>
  <si>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</si>
  <si>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</si>
  <si>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</si>
  <si>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</si>
  <si>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</si>
  <si>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</si>
  <si>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</si>
  <si>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</si>
  <si>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</si>
  <si>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</si>
  <si>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</si>
  <si>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</si>
  <si>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</si>
  <si>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</si>
  <si>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</si>
  <si>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</si>
  <si>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</si>
  <si>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</si>
  <si>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</si>
  <si>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</si>
  <si>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</si>
  <si>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</si>
  <si>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</si>
  <si>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</si>
  <si>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</si>
  <si>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</si>
  <si>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</si>
  <si>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</si>
  <si>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</si>
  <si>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</si>
  <si>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</si>
  <si>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</si>
  <si>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</si>
  <si>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</si>
  <si>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</si>
  <si>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</si>
  <si>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</si>
  <si>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</si>
  <si>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</si>
  <si>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</si>
  <si>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</si>
  <si>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</si>
  <si>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</si>
  <si>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</si>
  <si>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</si>
  <si>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</si>
  <si>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</si>
  <si>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</si>
  <si>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</si>
  <si>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</si>
  <si>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</si>
  <si>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</si>
  <si>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</si>
  <si>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</si>
  <si>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</si>
  <si>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</si>
  <si>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</si>
  <si>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</si>
  <si>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</si>
  <si>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</si>
  <si>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</si>
  <si>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</si>
  <si>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</si>
  <si>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</si>
  <si>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</si>
  <si>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</si>
  <si>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</si>
  <si>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</si>
  <si>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</si>
  <si>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</si>
  <si>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</si>
  <si>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</si>
  <si>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</si>
  <si>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</si>
  <si>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</si>
  <si>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</si>
  <si>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</si>
  <si>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</si>
  <si>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</si>
  <si>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</si>
  <si>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</si>
  <si>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</si>
  <si>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</si>
  <si>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</si>
  <si>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</si>
  <si>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</si>
  <si>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</si>
  <si>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</si>
  <si>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</si>
  <si>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</si>
  <si>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</si>
  <si>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</si>
  <si>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</si>
  <si>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</si>
  <si>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</si>
  <si>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</si>
  <si>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</si>
  <si>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</si>
  <si>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</si>
  <si>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</si>
  <si>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</si>
  <si>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</si>
  <si>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</si>
  <si>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</si>
  <si>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</si>
  <si>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</si>
  <si>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</si>
  <si>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</si>
  <si>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</si>
  <si>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</si>
  <si>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</si>
  <si>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</si>
  <si>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</si>
  <si>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</si>
  <si>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</si>
  <si>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</si>
  <si>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</si>
  <si>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</si>
  <si>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</si>
  <si>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</si>
  <si>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</si>
  <si>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</si>
  <si>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</si>
  <si>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</si>
  <si>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</si>
  <si>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</si>
  <si>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</si>
  <si>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</si>
  <si>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</si>
  <si>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</si>
  <si>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</si>
  <si>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</si>
  <si>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</si>
  <si>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</si>
  <si>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</si>
  <si>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</si>
  <si>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</si>
  <si>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</si>
  <si>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</si>
  <si>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</si>
  <si>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</si>
  <si>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</si>
  <si>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</si>
  <si>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</si>
  <si>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</si>
  <si>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</si>
  <si>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</si>
  <si>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</si>
  <si>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</si>
  <si>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</si>
  <si>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</si>
  <si>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</si>
  <si>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</si>
  <si>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</si>
  <si>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</si>
  <si>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</si>
  <si>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</si>
  <si>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</si>
  <si>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</si>
  <si>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</si>
  <si>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</si>
  <si>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</si>
  <si>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</si>
  <si>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</si>
  <si>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</si>
  <si>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</si>
  <si>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</si>
  <si>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</si>
  <si>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</si>
  <si>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</si>
  <si>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</si>
  <si>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</si>
  <si>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</si>
  <si>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</si>
  <si>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</si>
  <si>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</si>
  <si>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</si>
  <si>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</si>
  <si>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</si>
  <si>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</si>
  <si>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</si>
  <si>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</si>
  <si>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</si>
  <si>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</si>
  <si>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</si>
  <si>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</si>
  <si>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</si>
  <si>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</si>
  <si>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</si>
  <si>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</si>
  <si>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</si>
  <si>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</si>
  <si>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</si>
  <si>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</si>
  <si>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</si>
  <si>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</si>
  <si>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</si>
  <si>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</si>
  <si>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</si>
  <si>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</si>
  <si>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</si>
  <si>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</si>
  <si>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</si>
  <si>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</si>
  <si>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</si>
  <si>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</si>
  <si>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</si>
  <si>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</si>
  <si>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</si>
  <si>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</si>
  <si>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</si>
  <si>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</si>
  <si>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</si>
  <si>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</si>
  <si>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</si>
  <si>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</si>
  <si>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</si>
  <si>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</si>
  <si>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</si>
  <si>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</si>
  <si>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</si>
  <si>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</si>
  <si>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</si>
  <si>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</si>
  <si>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</si>
  <si>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</si>
  <si>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</si>
  <si>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</si>
  <si>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</si>
  <si>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</si>
  <si>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</si>
  <si>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</si>
  <si>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</si>
  <si>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</si>
  <si>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</si>
  <si>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</si>
  <si>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</si>
  <si>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</si>
  <si>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</si>
  <si>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</si>
  <si>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</si>
  <si>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</si>
  <si>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</si>
  <si>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</si>
  <si>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</si>
  <si>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</si>
  <si>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</si>
  <si>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</si>
  <si>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</si>
  <si>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</si>
  <si>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</si>
  <si>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</si>
  <si>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</si>
  <si>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</si>
  <si>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</si>
  <si>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</si>
  <si>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</si>
  <si>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</si>
  <si>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</si>
  <si>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</si>
  <si>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</si>
  <si>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</si>
  <si>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</si>
  <si>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</si>
  <si>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</si>
  <si>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</si>
  <si>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</si>
  <si>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</si>
  <si>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</si>
  <si>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</si>
  <si>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</si>
  <si>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</si>
  <si>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</si>
  <si>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</si>
  <si>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</si>
  <si>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</si>
  <si>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</si>
  <si>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</si>
  <si>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</si>
  <si>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</si>
  <si>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</si>
  <si>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</si>
  <si>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</si>
  <si>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</si>
  <si>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</si>
  <si>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</si>
  <si>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</si>
  <si>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</si>
  <si>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</si>
  <si>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</si>
  <si>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</si>
  <si>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</si>
  <si>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</si>
  <si>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</si>
  <si>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</si>
  <si>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</si>
  <si>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</si>
  <si>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</si>
  <si>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</si>
  <si>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</si>
  <si>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</si>
  <si>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</si>
  <si>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</si>
  <si>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</si>
  <si>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</si>
  <si>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</si>
  <si>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</si>
  <si>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</si>
  <si>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</si>
  <si>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</si>
  <si>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</si>
  <si>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</si>
  <si>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</si>
  <si>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</si>
  <si>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</si>
  <si>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</si>
  <si>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</si>
  <si>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</si>
  <si>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</si>
  <si>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</si>
  <si>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</si>
  <si>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</si>
  <si>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</si>
  <si>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</si>
  <si>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</si>
  <si>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</si>
  <si>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</si>
  <si>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</si>
  <si>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</si>
  <si>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</si>
  <si>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</si>
  <si>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</si>
  <si>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</si>
  <si>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</si>
  <si>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</si>
  <si>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</si>
  <si>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</si>
  <si>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</si>
  <si>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</si>
  <si>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</si>
  <si>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</si>
  <si>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</si>
  <si>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</si>
  <si>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</si>
  <si>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</si>
  <si>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</si>
  <si>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</si>
  <si>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</si>
  <si>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</si>
  <si>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</si>
  <si>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</si>
  <si>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</si>
  <si>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</si>
  <si>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</si>
  <si>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</si>
  <si>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</si>
  <si>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</si>
  <si>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</si>
  <si>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</si>
  <si>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</si>
  <si>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</si>
  <si>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</si>
  <si>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</si>
  <si>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</si>
  <si>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</si>
  <si>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</si>
  <si>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</si>
  <si>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</si>
  <si>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</si>
  <si>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</si>
  <si>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</si>
  <si>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</si>
  <si>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</si>
  <si>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</si>
  <si>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</si>
  <si>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</si>
  <si>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</si>
  <si>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</si>
  <si>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</si>
  <si>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</si>
  <si>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</si>
  <si>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</si>
  <si>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</si>
  <si>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</si>
  <si>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</si>
  <si>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</si>
  <si>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</si>
  <si>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</si>
  <si>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</si>
  <si>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</si>
  <si>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</si>
  <si>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</si>
  <si>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</si>
  <si>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</si>
  <si>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</si>
  <si>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</si>
  <si>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</si>
  <si>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</si>
  <si>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</si>
  <si>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</si>
  <si>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</si>
  <si>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</si>
  <si>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</si>
  <si>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</si>
  <si>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</si>
  <si>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</si>
  <si>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</si>
  <si>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</si>
  <si>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</si>
  <si>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</si>
  <si>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</si>
  <si>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</si>
  <si>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</si>
  <si>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</si>
  <si>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</si>
  <si>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</si>
  <si>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</si>
  <si>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</si>
  <si>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</si>
  <si>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</si>
  <si>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</si>
  <si>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</si>
  <si>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</si>
  <si>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</si>
  <si>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</si>
  <si>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</si>
  <si>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</si>
  <si>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</si>
  <si>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</si>
  <si>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</si>
  <si>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</si>
  <si>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</si>
  <si>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</si>
  <si>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</si>
  <si>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</si>
  <si>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</si>
  <si>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</si>
  <si>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</si>
  <si>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</si>
  <si>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</si>
  <si>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</si>
  <si>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</si>
  <si>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</si>
  <si>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</si>
  <si>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</si>
  <si>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</si>
  <si>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</si>
  <si>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</si>
  <si>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</si>
  <si>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</si>
  <si>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</si>
  <si>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</si>
  <si>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</si>
  <si>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</si>
  <si>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</si>
  <si>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</si>
  <si>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</si>
  <si>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</si>
  <si>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</si>
  <si>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</si>
  <si>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</si>
  <si>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</si>
  <si>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</si>
  <si>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</si>
  <si>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</si>
  <si>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</si>
  <si>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</si>
  <si>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</si>
  <si>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</si>
  <si>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</si>
  <si>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</si>
  <si>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</si>
  <si>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</si>
  <si>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</si>
  <si>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</si>
  <si>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</si>
  <si>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</si>
  <si>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</si>
  <si>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</si>
  <si>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</si>
  <si>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</si>
  <si>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</si>
  <si>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</si>
  <si>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</si>
  <si>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</si>
  <si>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</si>
  <si>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</si>
  <si>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</si>
  <si>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</si>
  <si>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</si>
  <si>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</si>
  <si>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</si>
  <si>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</si>
  <si>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</si>
  <si>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</si>
  <si>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</si>
  <si>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</si>
  <si>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</si>
  <si>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</si>
  <si>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</si>
  <si>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</si>
  <si>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</si>
  <si>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</si>
  <si>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</si>
  <si>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</si>
  <si>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</si>
  <si>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</si>
  <si>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</si>
  <si>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</si>
  <si>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</si>
  <si>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</si>
  <si>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</si>
  <si>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</si>
  <si>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</si>
  <si>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</si>
  <si>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</si>
  <si>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</si>
  <si>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</si>
  <si>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</si>
  <si>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</si>
  <si>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</si>
  <si>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</si>
  <si>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</si>
  <si>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</si>
  <si>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</si>
  <si>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</si>
  <si>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</si>
  <si>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</si>
  <si>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</si>
  <si>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</si>
  <si>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</si>
  <si>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</si>
  <si>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</si>
  <si>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</si>
  <si>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</si>
  <si>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</si>
  <si>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</si>
  <si>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</si>
  <si>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</si>
  <si>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</si>
  <si>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</si>
  <si>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</si>
  <si>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</si>
  <si>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</si>
  <si>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</si>
  <si>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</si>
  <si>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</si>
  <si>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</si>
  <si>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</si>
  <si>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</si>
  <si>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</si>
  <si>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</si>
  <si>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</si>
  <si>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</si>
  <si>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</si>
  <si>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</si>
  <si>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</si>
  <si>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</si>
  <si>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</si>
  <si>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</si>
  <si>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</si>
  <si>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</si>
  <si>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</si>
  <si>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</si>
  <si>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</si>
  <si>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</si>
  <si>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</si>
  <si>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</si>
  <si>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</si>
  <si>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</si>
  <si>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</si>
  <si>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</si>
  <si>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</si>
  <si>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</si>
  <si>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</si>
  <si>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</si>
  <si>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</si>
  <si>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</si>
  <si>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</si>
  <si>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</si>
  <si>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</si>
  <si>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</si>
  <si>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</si>
  <si>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</si>
  <si>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</si>
  <si>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</si>
  <si>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</si>
  <si>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</si>
  <si>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</si>
  <si>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</si>
  <si>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</si>
  <si>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</si>
  <si>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</si>
  <si>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</si>
  <si>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</si>
  <si>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</si>
  <si>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</si>
  <si>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</si>
  <si>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</si>
  <si>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</si>
  <si>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</si>
  <si>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</si>
  <si>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</si>
  <si>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</si>
  <si>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</si>
  <si>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</si>
  <si>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</si>
  <si>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</si>
  <si>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</si>
  <si>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</si>
  <si>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</si>
  <si>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</si>
  <si>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</si>
  <si>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</si>
  <si>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</si>
  <si>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</si>
  <si>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</si>
  <si>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</si>
  <si>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</si>
  <si>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</si>
  <si>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</si>
  <si>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</si>
  <si>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</si>
  <si>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</si>
  <si>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</si>
  <si>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</si>
  <si>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</si>
  <si>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</si>
  <si>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</si>
  <si>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</si>
  <si>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</si>
  <si>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</si>
  <si>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</si>
  <si>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</si>
  <si>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</si>
  <si>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</si>
  <si>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</si>
  <si>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</si>
  <si>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</si>
  <si>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</si>
  <si>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</si>
  <si>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</si>
  <si>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</si>
  <si>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</si>
  <si>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</si>
  <si>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</si>
  <si>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</si>
  <si>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</si>
  <si>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</si>
  <si>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</si>
  <si>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</si>
  <si>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</si>
  <si>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</si>
  <si>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</si>
  <si>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</si>
  <si>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</si>
  <si>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</si>
  <si>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</si>
  <si>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</si>
  <si>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</si>
  <si>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</si>
  <si>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</si>
  <si>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</si>
  <si>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</si>
  <si>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</si>
  <si>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</si>
  <si>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</si>
  <si>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</si>
  <si>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</si>
  <si>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</si>
  <si>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</si>
  <si>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</si>
  <si>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</si>
  <si>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</si>
  <si>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</si>
  <si>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</si>
  <si>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</si>
  <si>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</si>
  <si>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</si>
  <si>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</si>
  <si>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</si>
  <si>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</si>
  <si>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</si>
  <si>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</si>
  <si>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</si>
  <si>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</si>
  <si>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</si>
  <si>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</si>
  <si>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</si>
  <si>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</si>
  <si>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</si>
  <si>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</si>
  <si>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</si>
  <si>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</si>
  <si>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</si>
  <si>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</si>
  <si>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</si>
  <si>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</si>
  <si>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</si>
  <si>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</si>
  <si>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</si>
  <si>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</si>
  <si>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</si>
  <si>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</si>
  <si>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</si>
  <si>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</si>
  <si>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</si>
  <si>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</si>
  <si>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</si>
  <si>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</si>
  <si>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</si>
  <si>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</si>
  <si>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</si>
  <si>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</si>
  <si>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</si>
  <si>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</si>
  <si>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</si>
  <si>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</si>
  <si>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</si>
  <si>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</si>
  <si>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</si>
  <si>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</si>
  <si>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</si>
  <si>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</si>
  <si>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</si>
  <si>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</si>
  <si>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</si>
  <si>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</si>
  <si>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</si>
  <si>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</si>
  <si>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</si>
  <si>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</si>
  <si>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</si>
  <si>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</si>
  <si>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</si>
  <si>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</si>
  <si>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</si>
  <si>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</si>
  <si>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</si>
  <si>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</si>
  <si>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</si>
  <si>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</si>
  <si>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</si>
  <si>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</si>
  <si>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</si>
  <si>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</si>
  <si>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</si>
  <si>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</si>
  <si>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</si>
  <si>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</si>
  <si>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</si>
  <si>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</si>
  <si>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</si>
  <si>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</si>
  <si>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</si>
  <si>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</si>
  <si>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</si>
  <si>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</si>
  <si>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</si>
  <si>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</si>
  <si>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</si>
  <si>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</si>
  <si>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</si>
  <si>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</si>
  <si>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</si>
  <si>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</si>
  <si>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</si>
  <si>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</si>
  <si>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</si>
  <si>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</si>
  <si>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</si>
  <si>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</si>
  <si>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</si>
  <si>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</si>
  <si>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</si>
  <si>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</si>
  <si>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</si>
  <si>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</si>
  <si>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</si>
  <si>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</si>
  <si>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</si>
  <si>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</si>
  <si>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</si>
  <si>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</si>
  <si>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</si>
  <si>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</si>
  <si>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</si>
  <si>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</si>
  <si>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</si>
  <si>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</si>
  <si>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</si>
  <si>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</si>
  <si>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</si>
  <si>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</si>
  <si>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</si>
  <si>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</si>
  <si>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</si>
  <si>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</si>
  <si>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</si>
  <si>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</si>
  <si>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</si>
  <si>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</si>
  <si>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</si>
  <si>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</si>
  <si>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</si>
  <si>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</si>
  <si>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</si>
  <si>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</si>
  <si>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</si>
  <si>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</si>
  <si>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</si>
  <si>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</si>
  <si>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</si>
  <si>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</si>
  <si>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</si>
  <si>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</si>
  <si>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</si>
  <si>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</si>
  <si>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</si>
  <si>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</si>
  <si>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</si>
  <si>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</si>
  <si>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</si>
  <si>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</si>
  <si>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</si>
  <si>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</si>
  <si>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</si>
  <si>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</si>
  <si>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</si>
  <si>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</si>
  <si>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</si>
  <si>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</si>
  <si>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</si>
  <si>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</si>
  <si>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</si>
  <si>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</si>
  <si>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</si>
  <si>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</si>
  <si>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06/30/2017</t>
  </si>
  <si>
    <t>2016</t>
  </si>
  <si>
    <t>Deliveries</t>
  </si>
  <si>
    <t>026</t>
  </si>
  <si>
    <t>PeaceHealth St John Medical Center</t>
  </si>
  <si>
    <t>1615 Delaware Street</t>
  </si>
  <si>
    <t>Box 3002</t>
  </si>
  <si>
    <t>Longview, WA 98632</t>
  </si>
  <si>
    <t>Cowlitz</t>
  </si>
  <si>
    <t>Cherelle Montanye, CAO</t>
  </si>
  <si>
    <t>Ron Benfield, CFO</t>
  </si>
  <si>
    <t>Brian Magnuson</t>
  </si>
  <si>
    <t>(360) 514-2002</t>
  </si>
  <si>
    <t>(360) 514-6670</t>
  </si>
  <si>
    <t>Sean Gregory, CEO</t>
  </si>
  <si>
    <t>Daniel Fontoura, CFO</t>
  </si>
  <si>
    <t xml:space="preserve">Expenses are allocated from the Labor &amp; Delivery department to Nursery for DOH reporting based on the breakdown of department charges between Newborn and Mother care. </t>
  </si>
  <si>
    <t>The room charge for Newborn Care increased 49% from FY17 to FY18; the overall % of Labor &amp; Delivery charges related to Newborns increased from 7.26% to 11.21%.</t>
  </si>
  <si>
    <t>The change in allocated charges is mainly related to Salaries. Total Salary expense for Labor &amp; Delivery increased 1.1% over FY17.</t>
  </si>
  <si>
    <t>The increase in the allocation % for Nursery and increased Salary expense, combined with decreased Newborn Days (UOM) is reflected in the % change for Op Exp/UOM.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</si>
</sst>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rgb="FF0000FF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9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4" fillId="0" borderId="9" xfId="0" applyFont="1" applyBorder="1" applyProtection="1">
      <protection locked="0"/>
    </xf>
    <xf numFmtId="37" fontId="14" fillId="0" borderId="1" xfId="0" applyFont="1" applyBorder="1" applyProtection="1">
      <protection locked="0"/>
    </xf>
    <xf numFmtId="0" fontId="16" fillId="0" borderId="0" xfId="4" applyFont="1" applyBorder="1"/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2" xfId="4"/>
    <cellStyle name="Percent" xfId="3" builtinId="5"/>
    <cellStyle name="Per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1230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1231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1256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1226</v>
      </c>
      <c r="C10" s="236"/>
    </row>
    <row r="11" spans="1:6" ht="12.75" customHeight="1" x14ac:dyDescent="0.25">
      <c r="A11" s="198" t="s">
        <v>1229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1258</v>
      </c>
      <c r="C16" s="236"/>
      <c r="F16" s="283" t="s">
        <v>1257</v>
      </c>
    </row>
    <row r="17" spans="1:6" ht="12.75" customHeight="1" x14ac:dyDescent="0.25">
      <c r="A17" s="180" t="s">
        <v>1228</v>
      </c>
      <c r="C17" s="283" t="s">
        <v>1257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1232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1252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1233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1234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1235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1236</v>
      </c>
      <c r="C36" s="236"/>
    </row>
    <row r="37" spans="1:83" ht="12.6" customHeight="1" x14ac:dyDescent="0.25">
      <c r="A37" s="199" t="s">
        <v>1227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4.1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4.1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1192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4.1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4.1" customHeight="1" x14ac:dyDescent="0.25">
      <c r="A47" s="175" t="s">
        <v>204</v>
      </c>
      <c r="B47" s="183">
        <v>30429293.999999996</v>
      </c>
      <c r="C47" s="184">
        <v>1921640.6600000001</v>
      </c>
      <c r="D47" s="184">
        <v>0</v>
      </c>
      <c r="E47" s="184">
        <v>3039327.5</v>
      </c>
      <c r="F47" s="184">
        <v>0</v>
      </c>
      <c r="G47" s="184">
        <v>0</v>
      </c>
      <c r="H47" s="184">
        <v>737513.74</v>
      </c>
      <c r="I47" s="184">
        <v>0</v>
      </c>
      <c r="J47" s="184">
        <v>111317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1042928.3900000001</v>
      </c>
      <c r="Q47" s="184">
        <v>190545.17000000004</v>
      </c>
      <c r="R47" s="184">
        <v>571375.42000000004</v>
      </c>
      <c r="S47" s="184">
        <v>387892.79000000004</v>
      </c>
      <c r="T47" s="184">
        <v>41566.210000000006</v>
      </c>
      <c r="U47" s="184">
        <v>589518.08000000007</v>
      </c>
      <c r="V47" s="184">
        <v>0</v>
      </c>
      <c r="W47" s="184">
        <v>124190.04000000001</v>
      </c>
      <c r="X47" s="184">
        <v>209661.27000000002</v>
      </c>
      <c r="Y47" s="184">
        <v>1270567.1799999992</v>
      </c>
      <c r="Z47" s="184">
        <v>196956.30999999997</v>
      </c>
      <c r="AA47" s="184">
        <v>150868.76999999999</v>
      </c>
      <c r="AB47" s="184">
        <v>1106824.82</v>
      </c>
      <c r="AC47" s="184">
        <v>308627.53999999998</v>
      </c>
      <c r="AD47" s="184">
        <v>753393.65999999992</v>
      </c>
      <c r="AE47" s="184">
        <v>192851.66999999998</v>
      </c>
      <c r="AF47" s="184">
        <v>650745.37000000011</v>
      </c>
      <c r="AG47" s="184">
        <v>2004991.11</v>
      </c>
      <c r="AH47" s="184">
        <v>0</v>
      </c>
      <c r="AI47" s="184">
        <v>791284.65999999968</v>
      </c>
      <c r="AJ47" s="184">
        <v>9015014.0199999996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320077.70000000007</v>
      </c>
      <c r="AZ47" s="184">
        <v>154061.18000000002</v>
      </c>
      <c r="BA47" s="184">
        <v>0</v>
      </c>
      <c r="BB47" s="184">
        <v>474745.52</v>
      </c>
      <c r="BC47" s="184">
        <v>98889.279999999999</v>
      </c>
      <c r="BD47" s="184">
        <v>0</v>
      </c>
      <c r="BE47" s="184">
        <v>812123.83000000007</v>
      </c>
      <c r="BF47" s="184">
        <v>881151.7699999999</v>
      </c>
      <c r="BG47" s="184">
        <v>188182.88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463462.71</v>
      </c>
      <c r="BO47" s="184">
        <v>82055.680000000008</v>
      </c>
      <c r="BP47" s="184">
        <v>0</v>
      </c>
      <c r="BQ47" s="184">
        <v>0</v>
      </c>
      <c r="BR47" s="184">
        <v>18153.73</v>
      </c>
      <c r="BS47" s="184">
        <v>147674.54</v>
      </c>
      <c r="BT47" s="184">
        <v>119501.43999999999</v>
      </c>
      <c r="BU47" s="184">
        <v>23675.559999999998</v>
      </c>
      <c r="BV47" s="184">
        <v>0</v>
      </c>
      <c r="BW47" s="184">
        <v>61343.130000000005</v>
      </c>
      <c r="BX47" s="184">
        <v>0</v>
      </c>
      <c r="BY47" s="184">
        <v>427556.38</v>
      </c>
      <c r="BZ47" s="184">
        <v>75993.429999999993</v>
      </c>
      <c r="CA47" s="184">
        <v>0</v>
      </c>
      <c r="CB47" s="184">
        <v>0</v>
      </c>
      <c r="CC47" s="184">
        <v>671043.8600000001</v>
      </c>
      <c r="CD47" s="195"/>
      <c r="CE47" s="195">
        <f>SUM(C47:CC47)</f>
        <v>30429293.999999996</v>
      </c>
    </row>
    <row r="48" spans="1:83" ht="14.1" customHeight="1" x14ac:dyDescent="0.25">
      <c r="A48" s="175" t="s">
        <v>205</v>
      </c>
      <c r="B48" s="183">
        <v>-264380.39000000013</v>
      </c>
      <c r="C48" s="245">
        <f>ROUND(((B48/CE61)*C61),0)</f>
        <v>-15005</v>
      </c>
      <c r="D48" s="245">
        <f>ROUND(((B48/CE61)*D61),0)</f>
        <v>0</v>
      </c>
      <c r="E48" s="195">
        <f>ROUND(((B48/CE61)*E61),0)</f>
        <v>-24288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-5581</v>
      </c>
      <c r="I48" s="195">
        <f>ROUND(((B48/CE61)*I61),0)</f>
        <v>0</v>
      </c>
      <c r="J48" s="195">
        <f>ROUND(((B48/CE61)*J61),0)</f>
        <v>-984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-8159</v>
      </c>
      <c r="Q48" s="195">
        <f>ROUND(((B48/CE61)*Q61),0)</f>
        <v>-1512</v>
      </c>
      <c r="R48" s="195">
        <f>ROUND(((B48/CE61)*R61),0)</f>
        <v>-8524</v>
      </c>
      <c r="S48" s="195">
        <f>ROUND(((B48/CE61)*S61),0)</f>
        <v>-2072</v>
      </c>
      <c r="T48" s="195">
        <f>ROUND(((B48/CE61)*T61),0)</f>
        <v>-434</v>
      </c>
      <c r="U48" s="195">
        <f>ROUND(((B48/CE61)*U61),0)</f>
        <v>-4184</v>
      </c>
      <c r="V48" s="195">
        <f>ROUND(((B48/CE61)*V61),0)</f>
        <v>0</v>
      </c>
      <c r="W48" s="195">
        <f>ROUND(((B48/CE61)*W61),0)</f>
        <v>-1018</v>
      </c>
      <c r="X48" s="195">
        <f>ROUND(((B48/CE61)*X61),0)</f>
        <v>-1809</v>
      </c>
      <c r="Y48" s="195">
        <f>ROUND(((B48/CE61)*Y61),0)</f>
        <v>-10346</v>
      </c>
      <c r="Z48" s="195">
        <f>ROUND(((B48/CE61)*Z61),0)</f>
        <v>-1658</v>
      </c>
      <c r="AA48" s="195">
        <f>ROUND(((B48/CE61)*AA61),0)</f>
        <v>-1575</v>
      </c>
      <c r="AB48" s="195">
        <f>ROUND(((B48/CE61)*AB61),0)</f>
        <v>-9263</v>
      </c>
      <c r="AC48" s="195">
        <f>ROUND(((B48/CE61)*AC61),0)</f>
        <v>-2841</v>
      </c>
      <c r="AD48" s="195">
        <f>ROUND(((B48/CE61)*AD61),0)</f>
        <v>-6382</v>
      </c>
      <c r="AE48" s="195">
        <f>ROUND(((B48/CE61)*AE61),0)</f>
        <v>-1991</v>
      </c>
      <c r="AF48" s="195">
        <f>ROUND(((B48/CE61)*AF61),0)</f>
        <v>-6295</v>
      </c>
      <c r="AG48" s="195">
        <f>ROUND(((B48/CE61)*AG61),0)</f>
        <v>-16650</v>
      </c>
      <c r="AH48" s="195">
        <f>ROUND(((B48/CE61)*AH61),0)</f>
        <v>0</v>
      </c>
      <c r="AI48" s="195">
        <f>ROUND(((B48/CE61)*AI61),0)</f>
        <v>-6440</v>
      </c>
      <c r="AJ48" s="195">
        <f>ROUND(((B48/CE61)*AJ61),0)</f>
        <v>-88440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-2195</v>
      </c>
      <c r="AZ48" s="195">
        <f>ROUND(((B48/CE61)*AZ61),0)</f>
        <v>-985</v>
      </c>
      <c r="BA48" s="195">
        <f>ROUND(((B48/CE61)*BA61),0)</f>
        <v>0</v>
      </c>
      <c r="BB48" s="195">
        <f>ROUND(((B48/CE61)*BB61),0)</f>
        <v>-4079</v>
      </c>
      <c r="BC48" s="195">
        <f>ROUND(((B48/CE61)*BC61),0)</f>
        <v>-504</v>
      </c>
      <c r="BD48" s="195">
        <f>ROUND(((B48/CE61)*BD61),0)</f>
        <v>0</v>
      </c>
      <c r="BE48" s="195">
        <f>ROUND(((B48/CE61)*BE61),0)</f>
        <v>-5438</v>
      </c>
      <c r="BF48" s="195">
        <f>ROUND(((B48/CE61)*BF61),0)</f>
        <v>-5090</v>
      </c>
      <c r="BG48" s="195">
        <f>ROUND(((B48/CE61)*BG61),0)</f>
        <v>-1097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-5683</v>
      </c>
      <c r="BO48" s="195">
        <f>ROUND(((B48/CE61)*BO61),0)</f>
        <v>-713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-169</v>
      </c>
      <c r="BS48" s="195">
        <f>ROUND(((B48/CE61)*BS61),0)</f>
        <v>-744</v>
      </c>
      <c r="BT48" s="195">
        <f>ROUND(((B48/CE61)*BT61),0)</f>
        <v>-1014</v>
      </c>
      <c r="BU48" s="195">
        <f>ROUND(((B48/CE61)*BU61),0)</f>
        <v>-139</v>
      </c>
      <c r="BV48" s="195">
        <f>ROUND(((B48/CE61)*BV61),0)</f>
        <v>0</v>
      </c>
      <c r="BW48" s="195">
        <f>ROUND(((B48/CE61)*BW61),0)</f>
        <v>-577</v>
      </c>
      <c r="BX48" s="195">
        <f>ROUND(((B48/CE61)*BX61),0)</f>
        <v>0</v>
      </c>
      <c r="BY48" s="195">
        <f>ROUND(((B48/CE61)*BY61),0)</f>
        <v>-3560</v>
      </c>
      <c r="BZ48" s="195">
        <f>ROUND(((B48/CE61)*BZ61),0)</f>
        <v>-719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-6225</v>
      </c>
      <c r="CD48" s="195"/>
      <c r="CE48" s="195">
        <f>SUM(C48:CD48)</f>
        <v>-264382</v>
      </c>
    </row>
    <row r="49" spans="1:84" ht="14.1" customHeight="1" x14ac:dyDescent="0.25">
      <c r="A49" s="175" t="s">
        <v>206</v>
      </c>
      <c r="B49" s="195">
        <f>B47+B48</f>
        <v>30164913.609999996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4.1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4.1" customHeight="1" x14ac:dyDescent="0.25">
      <c r="A51" s="171" t="s">
        <v>207</v>
      </c>
      <c r="B51" s="184">
        <v>11650225.4</v>
      </c>
      <c r="C51" s="184">
        <v>317542.20999999996</v>
      </c>
      <c r="D51" s="184">
        <v>0</v>
      </c>
      <c r="E51" s="184">
        <v>407239.99552400003</v>
      </c>
      <c r="F51" s="184">
        <v>0</v>
      </c>
      <c r="G51" s="184">
        <v>0</v>
      </c>
      <c r="H51" s="184">
        <v>25283.14</v>
      </c>
      <c r="I51" s="184">
        <v>0</v>
      </c>
      <c r="J51" s="184">
        <v>14566.014476000011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669231.38</v>
      </c>
      <c r="Q51" s="184">
        <v>45597.68</v>
      </c>
      <c r="R51" s="184">
        <v>0</v>
      </c>
      <c r="S51" s="184">
        <v>23760.190000000002</v>
      </c>
      <c r="T51" s="184">
        <v>0</v>
      </c>
      <c r="U51" s="184">
        <v>7685.9599999999991</v>
      </c>
      <c r="V51" s="184">
        <v>0</v>
      </c>
      <c r="W51" s="184">
        <v>20471.629999999997</v>
      </c>
      <c r="X51" s="184">
        <v>2433.7199999999998</v>
      </c>
      <c r="Y51" s="184">
        <v>588115.98</v>
      </c>
      <c r="Z51" s="184">
        <v>501696.28000000009</v>
      </c>
      <c r="AA51" s="184">
        <v>14835.81</v>
      </c>
      <c r="AB51" s="184">
        <v>479739.2</v>
      </c>
      <c r="AC51" s="184">
        <v>16102.679999999998</v>
      </c>
      <c r="AD51" s="184">
        <v>57874.570000000007</v>
      </c>
      <c r="AE51" s="184">
        <v>7244.6900000000014</v>
      </c>
      <c r="AF51" s="184">
        <v>107.27</v>
      </c>
      <c r="AG51" s="184">
        <v>141245.27000000002</v>
      </c>
      <c r="AH51" s="184">
        <v>0</v>
      </c>
      <c r="AI51" s="184">
        <v>107463.11</v>
      </c>
      <c r="AJ51" s="184">
        <v>170636.06999999998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17651.62</v>
      </c>
      <c r="AZ51" s="184">
        <v>9960.1800000000021</v>
      </c>
      <c r="BA51" s="184">
        <v>0</v>
      </c>
      <c r="BB51" s="184">
        <v>0</v>
      </c>
      <c r="BC51" s="184">
        <v>0</v>
      </c>
      <c r="BD51" s="184">
        <v>0</v>
      </c>
      <c r="BE51" s="184">
        <v>163162.77000000002</v>
      </c>
      <c r="BF51" s="184">
        <v>4380.7000000000007</v>
      </c>
      <c r="BG51" s="184">
        <v>2345.3199999999997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6370633.1200000001</v>
      </c>
      <c r="BO51" s="184">
        <v>0</v>
      </c>
      <c r="BP51" s="184">
        <v>0</v>
      </c>
      <c r="BQ51" s="184">
        <v>0</v>
      </c>
      <c r="BR51" s="184">
        <v>591.97</v>
      </c>
      <c r="BS51" s="184">
        <v>34.660000000000004</v>
      </c>
      <c r="BT51" s="184">
        <v>1164.24</v>
      </c>
      <c r="BU51" s="184">
        <v>0</v>
      </c>
      <c r="BV51" s="184">
        <v>0</v>
      </c>
      <c r="BW51" s="184">
        <v>0</v>
      </c>
      <c r="BX51" s="184">
        <v>0</v>
      </c>
      <c r="BY51" s="184">
        <v>104668.99999999999</v>
      </c>
      <c r="BZ51" s="184">
        <v>0</v>
      </c>
      <c r="CA51" s="184">
        <v>0</v>
      </c>
      <c r="CB51" s="184">
        <v>0</v>
      </c>
      <c r="CC51" s="184">
        <f>1356758.97-3.5</f>
        <v>1356755.47</v>
      </c>
      <c r="CD51" s="195"/>
      <c r="CE51" s="195">
        <f>SUM(C51:CD51)</f>
        <v>11650221.900000002</v>
      </c>
    </row>
    <row r="52" spans="1:84" ht="14.1" customHeight="1" x14ac:dyDescent="0.25">
      <c r="A52" s="171" t="s">
        <v>208</v>
      </c>
      <c r="B52" s="184">
        <v>6687697.3899999997</v>
      </c>
      <c r="C52" s="195">
        <f>ROUND((B52/(CE76+CF76)*C76),0)</f>
        <v>190130</v>
      </c>
      <c r="D52" s="195">
        <f>ROUND((B52/(CE76+CF76)*D76),0)</f>
        <v>0</v>
      </c>
      <c r="E52" s="195">
        <f>ROUND((B52/(CE76+CF76)*E76),0)</f>
        <v>361565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83627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202865</v>
      </c>
      <c r="Q52" s="195">
        <f>ROUND((B52/(CE76+CF76)*Q76),0)</f>
        <v>20631</v>
      </c>
      <c r="R52" s="195">
        <f>ROUND((B52/(CE76+CF76)*R76),0)</f>
        <v>0</v>
      </c>
      <c r="S52" s="195">
        <f>ROUND((B52/(CE76+CF76)*S76),0)</f>
        <v>45926</v>
      </c>
      <c r="T52" s="195">
        <f>ROUND((B52/(CE76+CF76)*T76),0)</f>
        <v>0</v>
      </c>
      <c r="U52" s="195">
        <f>ROUND((B52/(CE76+CF76)*U76),0)</f>
        <v>56372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206345</v>
      </c>
      <c r="Z52" s="195">
        <f>ROUND((B52/(CE76+CF76)*Z76),0)</f>
        <v>59384</v>
      </c>
      <c r="AA52" s="195">
        <f>ROUND((B52/(CE76+CF76)*AA76),0)</f>
        <v>15623</v>
      </c>
      <c r="AB52" s="195">
        <f>ROUND((B52/(CE76+CF76)*AB76),0)</f>
        <v>26901</v>
      </c>
      <c r="AC52" s="195">
        <f>ROUND((B52/(CE76+CF76)*AC76),0)</f>
        <v>12420</v>
      </c>
      <c r="AD52" s="195">
        <f>ROUND((B52/(CE76+CF76)*AD76),0)</f>
        <v>69430</v>
      </c>
      <c r="AE52" s="195">
        <f>ROUND((B52/(CE76+CF76)*AE76),0)</f>
        <v>72355</v>
      </c>
      <c r="AF52" s="195">
        <f>ROUND((B52/(CE76+CF76)*AF76),0)</f>
        <v>159982</v>
      </c>
      <c r="AG52" s="195">
        <f>ROUND((B52/(CE76+CF76)*AG76),0)</f>
        <v>172823</v>
      </c>
      <c r="AH52" s="195">
        <f>ROUND((B52/(CE76+CF76)*AH76),0)</f>
        <v>0</v>
      </c>
      <c r="AI52" s="195">
        <f>ROUND((B52/(CE76+CF76)*AI76),0)</f>
        <v>191367</v>
      </c>
      <c r="AJ52" s="195">
        <f>ROUND((B52/(CE76+CF76)*AJ76),0)</f>
        <v>770823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100151</v>
      </c>
      <c r="AZ52" s="195">
        <f>ROUND((B52/(CE76+CF76)*AZ76),0)</f>
        <v>0</v>
      </c>
      <c r="BA52" s="195">
        <f>ROUND((B52/(CE76+CF76)*BA76),0)</f>
        <v>9147</v>
      </c>
      <c r="BB52" s="195">
        <f>ROUND((B52/(CE76+CF76)*BB76),0)</f>
        <v>31677</v>
      </c>
      <c r="BC52" s="195">
        <f>ROUND((B52/(CE76+CF76)*BC76),0)</f>
        <v>0</v>
      </c>
      <c r="BD52" s="195">
        <f>ROUND((B52/(CE76+CF76)*BD76),0)</f>
        <v>30154</v>
      </c>
      <c r="BE52" s="195">
        <f>ROUND((B52/(CE76+CF76)*BE76),0)</f>
        <v>2409311</v>
      </c>
      <c r="BF52" s="195">
        <f>ROUND((B52/(CE76+CF76)*BF76),0)</f>
        <v>24749</v>
      </c>
      <c r="BG52" s="195">
        <f>ROUND((B52/(CE76+CF76)*BG76),0)</f>
        <v>13425</v>
      </c>
      <c r="BH52" s="195">
        <f>ROUND((B52/(CE76+CF76)*BH76),0)</f>
        <v>28415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23855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47398</v>
      </c>
      <c r="BO52" s="195">
        <f>ROUND((B52/(CE76+CF76)*BO76),0)</f>
        <v>38813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35614</v>
      </c>
      <c r="BS52" s="195">
        <f>ROUND((B52/(CE76+CF76)*BS76),0)</f>
        <v>15536</v>
      </c>
      <c r="BT52" s="195">
        <f>ROUND((B52/(CE76+CF76)*BT76),0)</f>
        <v>17838</v>
      </c>
      <c r="BU52" s="195">
        <f>ROUND((B52/(CE76+CF76)*BU76),0)</f>
        <v>7027</v>
      </c>
      <c r="BV52" s="195">
        <f>ROUND((B52/(CE76+CF76)*BV76),0)</f>
        <v>50145</v>
      </c>
      <c r="BW52" s="195">
        <f>ROUND((B52/(CE76+CF76)*BW76),0)</f>
        <v>3468</v>
      </c>
      <c r="BX52" s="195">
        <f>ROUND((B52/(CE76+CF76)*BX76),0)</f>
        <v>18738</v>
      </c>
      <c r="BY52" s="195">
        <f>ROUND((B52/(CE76+CF76)*BY76),0)</f>
        <v>21491</v>
      </c>
      <c r="BZ52" s="195">
        <f>ROUND((B52/(CE76+CF76)*BZ76),0)</f>
        <v>0</v>
      </c>
      <c r="CA52" s="195">
        <f>ROUND((B52/(CE76+CF76)*CA76),0)</f>
        <v>94005</v>
      </c>
      <c r="CB52" s="195">
        <f>ROUND((B52/(CE76+CF76)*CB76),0)</f>
        <v>0</v>
      </c>
      <c r="CC52" s="195">
        <f>ROUND((B52/(CE76+CF76)*CC76),0)</f>
        <v>948175</v>
      </c>
      <c r="CD52" s="195"/>
      <c r="CE52" s="195">
        <f>SUM(C52:CD52)</f>
        <v>6687701</v>
      </c>
    </row>
    <row r="53" spans="1:84" ht="14.1" customHeight="1" x14ac:dyDescent="0.25">
      <c r="A53" s="175" t="s">
        <v>206</v>
      </c>
      <c r="B53" s="195">
        <f>B51+B52</f>
        <v>18337922.789999999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4.1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4.1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4.1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1192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4.1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4.1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1266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217</v>
      </c>
      <c r="AB58" s="247" t="s">
        <v>221</v>
      </c>
      <c r="AC58" s="170" t="s">
        <v>217</v>
      </c>
      <c r="AD58" s="170" t="s">
        <v>217</v>
      </c>
      <c r="AE58" s="170" t="s">
        <v>217</v>
      </c>
      <c r="AF58" s="170" t="s">
        <v>227</v>
      </c>
      <c r="AG58" s="170" t="s">
        <v>227</v>
      </c>
      <c r="AH58" s="170" t="s">
        <v>228</v>
      </c>
      <c r="AI58" s="170" t="s">
        <v>227</v>
      </c>
      <c r="AJ58" s="170" t="s">
        <v>227</v>
      </c>
      <c r="AK58" s="170" t="s">
        <v>225</v>
      </c>
      <c r="AL58" s="170" t="s">
        <v>225</v>
      </c>
      <c r="AM58" s="170" t="s">
        <v>225</v>
      </c>
      <c r="AN58" s="170" t="s">
        <v>217</v>
      </c>
      <c r="AO58" s="170" t="s">
        <v>226</v>
      </c>
      <c r="AP58" s="170" t="s">
        <v>227</v>
      </c>
      <c r="AQ58" s="170" t="s">
        <v>228</v>
      </c>
      <c r="AR58" s="170" t="s">
        <v>227</v>
      </c>
      <c r="AS58" s="170" t="s">
        <v>225</v>
      </c>
      <c r="AT58" s="170" t="s">
        <v>1210</v>
      </c>
      <c r="AU58" s="170" t="s">
        <v>227</v>
      </c>
      <c r="AV58" s="247" t="s">
        <v>221</v>
      </c>
      <c r="AW58" s="247" t="s">
        <v>221</v>
      </c>
      <c r="AX58" s="247" t="s">
        <v>221</v>
      </c>
      <c r="AY58" s="170" t="s">
        <v>229</v>
      </c>
      <c r="AZ58" s="170" t="s">
        <v>229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230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4.1" customHeight="1" x14ac:dyDescent="0.25">
      <c r="A59" s="171" t="s">
        <v>231</v>
      </c>
      <c r="B59" s="175"/>
      <c r="C59" s="184">
        <v>8413</v>
      </c>
      <c r="D59" s="184">
        <v>0</v>
      </c>
      <c r="E59" s="184">
        <v>15313</v>
      </c>
      <c r="F59" s="184">
        <v>0</v>
      </c>
      <c r="G59" s="184">
        <v>0</v>
      </c>
      <c r="H59" s="184">
        <v>4624</v>
      </c>
      <c r="I59" s="184">
        <v>0</v>
      </c>
      <c r="J59" s="184">
        <v>1700</v>
      </c>
      <c r="K59" s="184">
        <v>0</v>
      </c>
      <c r="L59" s="184">
        <v>0</v>
      </c>
      <c r="M59" s="184">
        <v>0</v>
      </c>
      <c r="N59" s="184">
        <v>0</v>
      </c>
      <c r="O59" s="184">
        <v>786</v>
      </c>
      <c r="P59" s="185">
        <v>313345</v>
      </c>
      <c r="Q59" s="185">
        <v>266828</v>
      </c>
      <c r="R59" s="185">
        <v>313345</v>
      </c>
      <c r="S59" s="248"/>
      <c r="T59" s="248"/>
      <c r="U59" s="224">
        <v>377061</v>
      </c>
      <c r="V59" s="185">
        <v>0</v>
      </c>
      <c r="W59" s="185">
        <v>4273</v>
      </c>
      <c r="X59" s="185">
        <v>18505</v>
      </c>
      <c r="Y59" s="185">
        <v>77217</v>
      </c>
      <c r="Z59" s="185">
        <v>9354</v>
      </c>
      <c r="AA59" s="185">
        <v>1192</v>
      </c>
      <c r="AB59" s="248"/>
      <c r="AC59" s="185">
        <v>39090</v>
      </c>
      <c r="AD59" s="185">
        <v>26418</v>
      </c>
      <c r="AE59" s="185">
        <v>23632</v>
      </c>
      <c r="AF59" s="185">
        <v>10665</v>
      </c>
      <c r="AG59" s="185">
        <v>55088</v>
      </c>
      <c r="AH59" s="185">
        <v>0</v>
      </c>
      <c r="AI59" s="185">
        <v>14438</v>
      </c>
      <c r="AJ59" s="185">
        <v>188097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99270</v>
      </c>
      <c r="AZ59" s="185">
        <v>318309</v>
      </c>
      <c r="BA59" s="248"/>
      <c r="BB59" s="248"/>
      <c r="BC59" s="248"/>
      <c r="BD59" s="248"/>
      <c r="BE59" s="185">
        <v>809833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4.1" customHeight="1" x14ac:dyDescent="0.25">
      <c r="A60" s="250" t="s">
        <v>232</v>
      </c>
      <c r="B60" s="175"/>
      <c r="C60" s="186">
        <v>78.2630513438599</v>
      </c>
      <c r="D60" s="187">
        <v>0</v>
      </c>
      <c r="E60" s="187">
        <v>131.84628014601017</v>
      </c>
      <c r="F60" s="223">
        <v>0</v>
      </c>
      <c r="G60" s="187">
        <v>0</v>
      </c>
      <c r="H60" s="187">
        <v>33.636077829842037</v>
      </c>
      <c r="I60" s="187">
        <v>0</v>
      </c>
      <c r="J60" s="223">
        <v>4.2941305227741884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39.186933638736257</v>
      </c>
      <c r="Q60" s="221">
        <v>5.5312234987980782</v>
      </c>
      <c r="R60" s="221">
        <v>11.380617375006864</v>
      </c>
      <c r="S60" s="221">
        <v>20.889256609718402</v>
      </c>
      <c r="T60" s="221">
        <v>1.5896289354395605</v>
      </c>
      <c r="U60" s="221">
        <v>30.313172220982135</v>
      </c>
      <c r="V60" s="221">
        <v>0</v>
      </c>
      <c r="W60" s="221">
        <v>4.1905899905563189</v>
      </c>
      <c r="X60" s="221">
        <v>8.088039580700551</v>
      </c>
      <c r="Y60" s="221">
        <v>52.547640175322826</v>
      </c>
      <c r="Z60" s="221">
        <v>6.3115205448145613</v>
      </c>
      <c r="AA60" s="221">
        <v>4.2909848238324173</v>
      </c>
      <c r="AB60" s="221">
        <v>43.176468590494494</v>
      </c>
      <c r="AC60" s="221">
        <v>15.541861955364009</v>
      </c>
      <c r="AD60" s="221">
        <v>40.692932012877748</v>
      </c>
      <c r="AE60" s="221">
        <v>10.574225591689558</v>
      </c>
      <c r="AF60" s="221">
        <v>22.805296023866759</v>
      </c>
      <c r="AG60" s="221">
        <v>84.788482078640101</v>
      </c>
      <c r="AH60" s="221">
        <v>0</v>
      </c>
      <c r="AI60" s="221">
        <v>31.448690072520609</v>
      </c>
      <c r="AJ60" s="221">
        <v>383.20972628081728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20.576001446929951</v>
      </c>
      <c r="AZ60" s="221">
        <v>11.731834572589291</v>
      </c>
      <c r="BA60" s="221">
        <v>1.0989076923076921E-2</v>
      </c>
      <c r="BB60" s="221">
        <v>18.159045760473894</v>
      </c>
      <c r="BC60" s="221">
        <v>5.4616922594436801</v>
      </c>
      <c r="BD60" s="221">
        <v>0</v>
      </c>
      <c r="BE60" s="221">
        <v>34.807013892967021</v>
      </c>
      <c r="BF60" s="221">
        <v>52.79108913100962</v>
      </c>
      <c r="BG60" s="221">
        <v>12.125573337568678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10.788236833962911</v>
      </c>
      <c r="BO60" s="221">
        <v>3.4711630799244495</v>
      </c>
      <c r="BP60" s="221">
        <v>0</v>
      </c>
      <c r="BQ60" s="221">
        <v>0</v>
      </c>
      <c r="BR60" s="221">
        <v>1.0757295324519232</v>
      </c>
      <c r="BS60" s="221">
        <v>6.9414052036401088</v>
      </c>
      <c r="BT60" s="221">
        <v>5.1294505041208769</v>
      </c>
      <c r="BU60" s="221">
        <v>0.69625677369505501</v>
      </c>
      <c r="BV60" s="221">
        <v>0</v>
      </c>
      <c r="BW60" s="221">
        <v>2.4168951648351644</v>
      </c>
      <c r="BX60" s="221">
        <v>0</v>
      </c>
      <c r="BY60" s="221">
        <v>16.769235892170325</v>
      </c>
      <c r="BZ60" s="221">
        <v>2.0893632513736264</v>
      </c>
      <c r="CA60" s="221">
        <v>0</v>
      </c>
      <c r="CB60" s="221">
        <v>0</v>
      </c>
      <c r="CC60" s="221">
        <v>23.952201908385987</v>
      </c>
      <c r="CD60" s="249" t="s">
        <v>221</v>
      </c>
      <c r="CE60" s="251">
        <f t="shared" ref="CE60:CE70" si="0">SUM(C60:CD60)</f>
        <v>1293.5900074651308</v>
      </c>
    </row>
    <row r="61" spans="1:84" ht="14.1" customHeight="1" x14ac:dyDescent="0.25">
      <c r="A61" s="171" t="s">
        <v>233</v>
      </c>
      <c r="B61" s="175"/>
      <c r="C61" s="184">
        <v>6778873.0599999996</v>
      </c>
      <c r="D61" s="184">
        <v>0</v>
      </c>
      <c r="E61" s="184">
        <v>10972626.598814003</v>
      </c>
      <c r="F61" s="185">
        <v>0</v>
      </c>
      <c r="G61" s="184">
        <v>0</v>
      </c>
      <c r="H61" s="184">
        <v>2521466.7299999995</v>
      </c>
      <c r="I61" s="185">
        <v>0</v>
      </c>
      <c r="J61" s="185">
        <v>444368.06118599977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3685821.5600000005</v>
      </c>
      <c r="Q61" s="185">
        <v>682880.08999999973</v>
      </c>
      <c r="R61" s="185">
        <v>3851035.3200000003</v>
      </c>
      <c r="S61" s="185">
        <v>936054.96</v>
      </c>
      <c r="T61" s="185">
        <v>195883.71999999997</v>
      </c>
      <c r="U61" s="185">
        <v>1890054.6500000004</v>
      </c>
      <c r="V61" s="185">
        <v>0</v>
      </c>
      <c r="W61" s="185">
        <v>460052.43000000005</v>
      </c>
      <c r="X61" s="185">
        <v>817105.02000000014</v>
      </c>
      <c r="Y61" s="185">
        <v>4674040.74</v>
      </c>
      <c r="Z61" s="185">
        <v>748838.09</v>
      </c>
      <c r="AA61" s="185">
        <v>711356.37000000011</v>
      </c>
      <c r="AB61" s="185">
        <v>4184706.7399999984</v>
      </c>
      <c r="AC61" s="185">
        <v>1283504.5100000002</v>
      </c>
      <c r="AD61" s="185">
        <v>2883243.2799999993</v>
      </c>
      <c r="AE61" s="185">
        <v>899282.04999999993</v>
      </c>
      <c r="AF61" s="185">
        <v>2844122.77</v>
      </c>
      <c r="AG61" s="185">
        <v>7521982.2299999995</v>
      </c>
      <c r="AH61" s="185">
        <v>0</v>
      </c>
      <c r="AI61" s="185">
        <v>2909465.8700000006</v>
      </c>
      <c r="AJ61" s="185">
        <v>39955063.410000004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991820.00999999978</v>
      </c>
      <c r="AZ61" s="185">
        <v>445165.38999999996</v>
      </c>
      <c r="BA61" s="185">
        <v>0</v>
      </c>
      <c r="BB61" s="185">
        <v>1842602.7700000003</v>
      </c>
      <c r="BC61" s="185">
        <v>227723.42999999996</v>
      </c>
      <c r="BD61" s="185">
        <v>0</v>
      </c>
      <c r="BE61" s="185">
        <v>2456821.9200000009</v>
      </c>
      <c r="BF61" s="185">
        <v>2299535.0500000003</v>
      </c>
      <c r="BG61" s="185">
        <v>495702.03000000009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2567302.6900000004</v>
      </c>
      <c r="BO61" s="185">
        <v>322336.50999999989</v>
      </c>
      <c r="BP61" s="185">
        <v>0</v>
      </c>
      <c r="BQ61" s="185">
        <v>0</v>
      </c>
      <c r="BR61" s="185">
        <v>76509.619999999981</v>
      </c>
      <c r="BS61" s="185">
        <v>336230.50000000006</v>
      </c>
      <c r="BT61" s="185">
        <v>458067.90999999986</v>
      </c>
      <c r="BU61" s="185">
        <v>62873.46</v>
      </c>
      <c r="BV61" s="185">
        <v>0</v>
      </c>
      <c r="BW61" s="185">
        <v>260649.78000000003</v>
      </c>
      <c r="BX61" s="185">
        <v>0</v>
      </c>
      <c r="BY61" s="185">
        <v>1608259.8699999999</v>
      </c>
      <c r="BZ61" s="185">
        <v>324827.33999999997</v>
      </c>
      <c r="CA61" s="185">
        <v>0</v>
      </c>
      <c r="CB61" s="185">
        <v>0</v>
      </c>
      <c r="CC61" s="185">
        <v>2812444.13</v>
      </c>
      <c r="CD61" s="249" t="s">
        <v>221</v>
      </c>
      <c r="CE61" s="195">
        <f t="shared" si="0"/>
        <v>119440700.67</v>
      </c>
      <c r="CF61" s="252"/>
    </row>
    <row r="62" spans="1:84" ht="14.1" customHeight="1" x14ac:dyDescent="0.25">
      <c r="A62" s="171" t="s">
        <v>3</v>
      </c>
      <c r="B62" s="175"/>
      <c r="C62" s="195">
        <f t="shared" ref="C62:BN62" si="1">ROUND(C47+C48,0)</f>
        <v>1906636</v>
      </c>
      <c r="D62" s="195">
        <f t="shared" si="1"/>
        <v>0</v>
      </c>
      <c r="E62" s="195">
        <f t="shared" si="1"/>
        <v>3015040</v>
      </c>
      <c r="F62" s="195">
        <f t="shared" si="1"/>
        <v>0</v>
      </c>
      <c r="G62" s="195">
        <f t="shared" si="1"/>
        <v>0</v>
      </c>
      <c r="H62" s="195">
        <f t="shared" si="1"/>
        <v>731933</v>
      </c>
      <c r="I62" s="195">
        <f t="shared" si="1"/>
        <v>0</v>
      </c>
      <c r="J62" s="195">
        <f>ROUND(J47+J48,0)</f>
        <v>110333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1034769</v>
      </c>
      <c r="Q62" s="195">
        <f t="shared" si="1"/>
        <v>189033</v>
      </c>
      <c r="R62" s="195">
        <f t="shared" si="1"/>
        <v>562851</v>
      </c>
      <c r="S62" s="195">
        <f t="shared" si="1"/>
        <v>385821</v>
      </c>
      <c r="T62" s="195">
        <f t="shared" si="1"/>
        <v>41132</v>
      </c>
      <c r="U62" s="195">
        <f t="shared" si="1"/>
        <v>585334</v>
      </c>
      <c r="V62" s="195">
        <f t="shared" si="1"/>
        <v>0</v>
      </c>
      <c r="W62" s="195">
        <f t="shared" si="1"/>
        <v>123172</v>
      </c>
      <c r="X62" s="195">
        <f t="shared" si="1"/>
        <v>207852</v>
      </c>
      <c r="Y62" s="195">
        <f t="shared" si="1"/>
        <v>1260221</v>
      </c>
      <c r="Z62" s="195">
        <f t="shared" si="1"/>
        <v>195298</v>
      </c>
      <c r="AA62" s="195">
        <f t="shared" si="1"/>
        <v>149294</v>
      </c>
      <c r="AB62" s="195">
        <f t="shared" si="1"/>
        <v>1097562</v>
      </c>
      <c r="AC62" s="195">
        <f t="shared" si="1"/>
        <v>305787</v>
      </c>
      <c r="AD62" s="195">
        <f t="shared" si="1"/>
        <v>747012</v>
      </c>
      <c r="AE62" s="195">
        <f t="shared" si="1"/>
        <v>190861</v>
      </c>
      <c r="AF62" s="195">
        <f t="shared" si="1"/>
        <v>644450</v>
      </c>
      <c r="AG62" s="195">
        <f t="shared" si="1"/>
        <v>1988341</v>
      </c>
      <c r="AH62" s="195">
        <f t="shared" si="1"/>
        <v>0</v>
      </c>
      <c r="AI62" s="195">
        <f t="shared" si="1"/>
        <v>784845</v>
      </c>
      <c r="AJ62" s="195">
        <f t="shared" si="1"/>
        <v>8926574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317883</v>
      </c>
      <c r="AZ62" s="195">
        <f>ROUND(AZ47+AZ48,0)</f>
        <v>153076</v>
      </c>
      <c r="BA62" s="195">
        <f>ROUND(BA47+BA48,0)</f>
        <v>0</v>
      </c>
      <c r="BB62" s="195">
        <f t="shared" si="1"/>
        <v>470667</v>
      </c>
      <c r="BC62" s="195">
        <f t="shared" si="1"/>
        <v>98385</v>
      </c>
      <c r="BD62" s="195">
        <f t="shared" si="1"/>
        <v>0</v>
      </c>
      <c r="BE62" s="195">
        <f t="shared" si="1"/>
        <v>806686</v>
      </c>
      <c r="BF62" s="195">
        <f t="shared" si="1"/>
        <v>876062</v>
      </c>
      <c r="BG62" s="195">
        <f t="shared" si="1"/>
        <v>187086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457780</v>
      </c>
      <c r="BO62" s="195">
        <f t="shared" ref="BO62:CC62" si="2">ROUND(BO47+BO48,0)</f>
        <v>81343</v>
      </c>
      <c r="BP62" s="195">
        <f t="shared" si="2"/>
        <v>0</v>
      </c>
      <c r="BQ62" s="195">
        <f t="shared" si="2"/>
        <v>0</v>
      </c>
      <c r="BR62" s="195">
        <f t="shared" si="2"/>
        <v>17985</v>
      </c>
      <c r="BS62" s="195">
        <f t="shared" si="2"/>
        <v>146931</v>
      </c>
      <c r="BT62" s="195">
        <f t="shared" si="2"/>
        <v>118487</v>
      </c>
      <c r="BU62" s="195">
        <f t="shared" si="2"/>
        <v>23537</v>
      </c>
      <c r="BV62" s="195">
        <f t="shared" si="2"/>
        <v>0</v>
      </c>
      <c r="BW62" s="195">
        <f t="shared" si="2"/>
        <v>60766</v>
      </c>
      <c r="BX62" s="195">
        <f t="shared" si="2"/>
        <v>0</v>
      </c>
      <c r="BY62" s="195">
        <f t="shared" si="2"/>
        <v>423996</v>
      </c>
      <c r="BZ62" s="195">
        <f t="shared" si="2"/>
        <v>75274</v>
      </c>
      <c r="CA62" s="195">
        <f t="shared" si="2"/>
        <v>0</v>
      </c>
      <c r="CB62" s="195">
        <f t="shared" si="2"/>
        <v>0</v>
      </c>
      <c r="CC62" s="195">
        <f t="shared" si="2"/>
        <v>664819</v>
      </c>
      <c r="CD62" s="249" t="s">
        <v>221</v>
      </c>
      <c r="CE62" s="195">
        <f t="shared" si="0"/>
        <v>30164914</v>
      </c>
      <c r="CF62" s="252"/>
    </row>
    <row r="63" spans="1:84" ht="14.1" customHeight="1" x14ac:dyDescent="0.25">
      <c r="A63" s="171" t="s">
        <v>234</v>
      </c>
      <c r="B63" s="175"/>
      <c r="C63" s="184">
        <v>0</v>
      </c>
      <c r="D63" s="184">
        <v>0</v>
      </c>
      <c r="E63" s="184">
        <v>67684.616999999998</v>
      </c>
      <c r="F63" s="185">
        <v>0</v>
      </c>
      <c r="G63" s="184">
        <v>0</v>
      </c>
      <c r="H63" s="184">
        <v>0</v>
      </c>
      <c r="I63" s="185">
        <v>0</v>
      </c>
      <c r="J63" s="185">
        <v>8545.3830000000016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412426.33</v>
      </c>
      <c r="Q63" s="185">
        <v>0</v>
      </c>
      <c r="R63" s="185">
        <v>0</v>
      </c>
      <c r="S63" s="185">
        <v>0</v>
      </c>
      <c r="T63" s="185">
        <v>0</v>
      </c>
      <c r="U63" s="185">
        <v>32907.35</v>
      </c>
      <c r="V63" s="185">
        <v>0</v>
      </c>
      <c r="W63" s="185">
        <v>0</v>
      </c>
      <c r="X63" s="185">
        <v>0</v>
      </c>
      <c r="Y63" s="185">
        <v>7826</v>
      </c>
      <c r="Z63" s="185">
        <v>37072</v>
      </c>
      <c r="AA63" s="185">
        <v>42585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152700</v>
      </c>
      <c r="AH63" s="185">
        <v>0</v>
      </c>
      <c r="AI63" s="185">
        <v>0</v>
      </c>
      <c r="AJ63" s="185">
        <v>4289266.82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20400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5071413.5</v>
      </c>
      <c r="CF63" s="252"/>
    </row>
    <row r="64" spans="1:84" ht="14.1" customHeight="1" x14ac:dyDescent="0.25">
      <c r="A64" s="171" t="s">
        <v>235</v>
      </c>
      <c r="B64" s="175"/>
      <c r="C64" s="184">
        <v>551445.79000000015</v>
      </c>
      <c r="D64" s="184">
        <v>0</v>
      </c>
      <c r="E64" s="185">
        <v>862382.82433399977</v>
      </c>
      <c r="F64" s="185">
        <v>0</v>
      </c>
      <c r="G64" s="184">
        <v>0</v>
      </c>
      <c r="H64" s="184">
        <v>47156</v>
      </c>
      <c r="I64" s="185">
        <v>0</v>
      </c>
      <c r="J64" s="185">
        <v>41255.205665999965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5926854.3799999971</v>
      </c>
      <c r="Q64" s="185">
        <v>27093.149999999994</v>
      </c>
      <c r="R64" s="185">
        <v>3415.3499999999995</v>
      </c>
      <c r="S64" s="185">
        <v>160797.92999999996</v>
      </c>
      <c r="T64" s="185">
        <v>95889.48</v>
      </c>
      <c r="U64" s="185">
        <v>913028.52999999991</v>
      </c>
      <c r="V64" s="185">
        <v>0</v>
      </c>
      <c r="W64" s="185">
        <v>8322.99</v>
      </c>
      <c r="X64" s="185">
        <v>166073.54</v>
      </c>
      <c r="Y64" s="185">
        <v>2457002.2799999998</v>
      </c>
      <c r="Z64" s="185">
        <v>20060.02</v>
      </c>
      <c r="AA64" s="185">
        <v>169149.52999999997</v>
      </c>
      <c r="AB64" s="185">
        <v>12847302.380000001</v>
      </c>
      <c r="AC64" s="185">
        <v>122779.18000000002</v>
      </c>
      <c r="AD64" s="185">
        <v>1196000.3599999994</v>
      </c>
      <c r="AE64" s="185">
        <v>10857.490000000002</v>
      </c>
      <c r="AF64" s="185">
        <v>217935.10000000003</v>
      </c>
      <c r="AG64" s="185">
        <v>847935.43</v>
      </c>
      <c r="AH64" s="185">
        <v>0</v>
      </c>
      <c r="AI64" s="185">
        <v>1379348.9599999995</v>
      </c>
      <c r="AJ64" s="185">
        <v>2560062.4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237678.93</v>
      </c>
      <c r="AZ64" s="185">
        <v>449880.24</v>
      </c>
      <c r="BA64" s="185">
        <v>0</v>
      </c>
      <c r="BB64" s="185">
        <v>1776.53</v>
      </c>
      <c r="BC64" s="185">
        <v>4984.9799999999996</v>
      </c>
      <c r="BD64" s="185">
        <v>0</v>
      </c>
      <c r="BE64" s="185">
        <v>91020.23000000001</v>
      </c>
      <c r="BF64" s="185">
        <v>419206.36999999994</v>
      </c>
      <c r="BG64" s="185">
        <v>3580.6299999999997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26833.309999999998</v>
      </c>
      <c r="BO64" s="185">
        <v>39740.639999999999</v>
      </c>
      <c r="BP64" s="185">
        <v>0</v>
      </c>
      <c r="BQ64" s="185">
        <v>0</v>
      </c>
      <c r="BR64" s="185">
        <v>14292.330000000004</v>
      </c>
      <c r="BS64" s="185">
        <v>38816.51</v>
      </c>
      <c r="BT64" s="185">
        <v>1231.1600000000001</v>
      </c>
      <c r="BU64" s="185">
        <v>81.63</v>
      </c>
      <c r="BV64" s="185">
        <v>0</v>
      </c>
      <c r="BW64" s="185">
        <v>53032.63</v>
      </c>
      <c r="BX64" s="185">
        <v>0</v>
      </c>
      <c r="BY64" s="185">
        <v>4532.8599999999997</v>
      </c>
      <c r="BZ64" s="185">
        <v>632.03</v>
      </c>
      <c r="CA64" s="185">
        <v>0</v>
      </c>
      <c r="CB64" s="185">
        <v>0</v>
      </c>
      <c r="CC64" s="185">
        <v>724179.33000000007</v>
      </c>
      <c r="CD64" s="249" t="s">
        <v>221</v>
      </c>
      <c r="CE64" s="195">
        <f t="shared" si="0"/>
        <v>32743648.639999993</v>
      </c>
      <c r="CF64" s="252"/>
    </row>
    <row r="65" spans="1:84" ht="14.1" customHeight="1" x14ac:dyDescent="0.25">
      <c r="A65" s="171" t="s">
        <v>236</v>
      </c>
      <c r="B65" s="175"/>
      <c r="C65" s="184">
        <v>0</v>
      </c>
      <c r="D65" s="184">
        <v>0</v>
      </c>
      <c r="E65" s="184">
        <v>200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300</v>
      </c>
      <c r="Q65" s="185">
        <v>0</v>
      </c>
      <c r="R65" s="185">
        <v>0</v>
      </c>
      <c r="S65" s="185">
        <v>5797.02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1200</v>
      </c>
      <c r="AH65" s="185">
        <v>0</v>
      </c>
      <c r="AI65" s="185">
        <v>0</v>
      </c>
      <c r="AJ65" s="185">
        <v>14760.939999999999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1200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2677790.17</v>
      </c>
      <c r="BF65" s="185">
        <v>5577.27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6300</v>
      </c>
      <c r="BO65" s="185">
        <v>0</v>
      </c>
      <c r="BP65" s="185">
        <v>0</v>
      </c>
      <c r="BQ65" s="185">
        <v>0</v>
      </c>
      <c r="BR65" s="185">
        <v>0</v>
      </c>
      <c r="BS65" s="185">
        <v>400</v>
      </c>
      <c r="BT65" s="185">
        <v>600</v>
      </c>
      <c r="BU65" s="185">
        <v>0</v>
      </c>
      <c r="BV65" s="185">
        <v>0</v>
      </c>
      <c r="BW65" s="185">
        <v>0</v>
      </c>
      <c r="BX65" s="185">
        <v>0</v>
      </c>
      <c r="BY65" s="185">
        <v>2239</v>
      </c>
      <c r="BZ65" s="185">
        <v>0</v>
      </c>
      <c r="CA65" s="185">
        <v>0</v>
      </c>
      <c r="CB65" s="185">
        <v>0</v>
      </c>
      <c r="CC65" s="185">
        <v>600</v>
      </c>
      <c r="CD65" s="249" t="s">
        <v>221</v>
      </c>
      <c r="CE65" s="195">
        <f t="shared" si="0"/>
        <v>2716964.4</v>
      </c>
      <c r="CF65" s="252"/>
    </row>
    <row r="66" spans="1:84" ht="14.1" customHeight="1" x14ac:dyDescent="0.25">
      <c r="A66" s="171" t="s">
        <v>237</v>
      </c>
      <c r="B66" s="175"/>
      <c r="C66" s="184">
        <v>1028.74</v>
      </c>
      <c r="D66" s="184">
        <v>0</v>
      </c>
      <c r="E66" s="184">
        <v>55447.042957000005</v>
      </c>
      <c r="F66" s="184">
        <v>0</v>
      </c>
      <c r="G66" s="184">
        <v>0</v>
      </c>
      <c r="H66" s="184">
        <v>415.37</v>
      </c>
      <c r="I66" s="184">
        <v>0</v>
      </c>
      <c r="J66" s="184">
        <v>6833.5870429999995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172537.09999999998</v>
      </c>
      <c r="Q66" s="185">
        <v>0</v>
      </c>
      <c r="R66" s="185">
        <v>2248701.14</v>
      </c>
      <c r="S66" s="184">
        <v>1764.17</v>
      </c>
      <c r="T66" s="184">
        <v>0</v>
      </c>
      <c r="U66" s="185">
        <v>2926706.1000000006</v>
      </c>
      <c r="V66" s="185">
        <v>0</v>
      </c>
      <c r="W66" s="185">
        <v>2372.67</v>
      </c>
      <c r="X66" s="185">
        <v>4029.13</v>
      </c>
      <c r="Y66" s="185">
        <v>41823.54</v>
      </c>
      <c r="Z66" s="185">
        <v>2210</v>
      </c>
      <c r="AA66" s="185">
        <v>8542.5499999999993</v>
      </c>
      <c r="AB66" s="185">
        <v>1431514.1400000001</v>
      </c>
      <c r="AC66" s="185">
        <v>193.37</v>
      </c>
      <c r="AD66" s="185">
        <v>33408.639999999999</v>
      </c>
      <c r="AE66" s="185">
        <v>0</v>
      </c>
      <c r="AF66" s="185">
        <v>2712.0499999999993</v>
      </c>
      <c r="AG66" s="185">
        <v>194310.38</v>
      </c>
      <c r="AH66" s="185">
        <v>0</v>
      </c>
      <c r="AI66" s="185">
        <v>28383.279999999999</v>
      </c>
      <c r="AJ66" s="185">
        <v>-2226721.2700000009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2629.05</v>
      </c>
      <c r="AZ66" s="185">
        <v>0</v>
      </c>
      <c r="BA66" s="185">
        <v>0</v>
      </c>
      <c r="BB66" s="185">
        <v>543.61</v>
      </c>
      <c r="BC66" s="185">
        <v>1633.2</v>
      </c>
      <c r="BD66" s="185">
        <v>0</v>
      </c>
      <c r="BE66" s="185">
        <v>4442249.79</v>
      </c>
      <c r="BF66" s="185">
        <v>460919.60000000003</v>
      </c>
      <c r="BG66" s="185">
        <v>21675.020000000004</v>
      </c>
      <c r="BH66" s="185">
        <v>0</v>
      </c>
      <c r="BI66" s="185">
        <v>0</v>
      </c>
      <c r="BJ66" s="185">
        <v>0</v>
      </c>
      <c r="BK66" s="185">
        <v>178872.16999999998</v>
      </c>
      <c r="BL66" s="185">
        <v>0</v>
      </c>
      <c r="BM66" s="185">
        <v>0</v>
      </c>
      <c r="BN66" s="185">
        <v>27050249.899999995</v>
      </c>
      <c r="BO66" s="185">
        <v>8549.81</v>
      </c>
      <c r="BP66" s="185">
        <v>0</v>
      </c>
      <c r="BQ66" s="185">
        <v>0</v>
      </c>
      <c r="BR66" s="185">
        <v>466.79</v>
      </c>
      <c r="BS66" s="185">
        <v>3871.08</v>
      </c>
      <c r="BT66" s="185">
        <v>4800</v>
      </c>
      <c r="BU66" s="185">
        <v>0</v>
      </c>
      <c r="BV66" s="185">
        <v>121132.43999999999</v>
      </c>
      <c r="BW66" s="185">
        <v>3826.27</v>
      </c>
      <c r="BX66" s="185">
        <v>0</v>
      </c>
      <c r="BY66" s="185">
        <v>463.96</v>
      </c>
      <c r="BZ66" s="185">
        <v>0</v>
      </c>
      <c r="CA66" s="185">
        <v>0</v>
      </c>
      <c r="CB66" s="185">
        <v>0</v>
      </c>
      <c r="CC66" s="185">
        <v>9912775.5800000001</v>
      </c>
      <c r="CD66" s="249" t="s">
        <v>221</v>
      </c>
      <c r="CE66" s="195">
        <f t="shared" si="0"/>
        <v>47150869.999999993</v>
      </c>
      <c r="CF66" s="252"/>
    </row>
    <row r="67" spans="1:84" ht="14.1" customHeight="1" x14ac:dyDescent="0.25">
      <c r="A67" s="171" t="s">
        <v>6</v>
      </c>
      <c r="B67" s="175"/>
      <c r="C67" s="195">
        <f>ROUND(C51+C52,0)</f>
        <v>507672</v>
      </c>
      <c r="D67" s="195">
        <f>ROUND(D51+D52,0)</f>
        <v>0</v>
      </c>
      <c r="E67" s="195">
        <f t="shared" ref="E67:BP67" si="3">ROUND(E51+E52,0)</f>
        <v>768805</v>
      </c>
      <c r="F67" s="195">
        <f t="shared" si="3"/>
        <v>0</v>
      </c>
      <c r="G67" s="195">
        <f t="shared" si="3"/>
        <v>0</v>
      </c>
      <c r="H67" s="195">
        <f t="shared" si="3"/>
        <v>108910</v>
      </c>
      <c r="I67" s="195">
        <f t="shared" si="3"/>
        <v>0</v>
      </c>
      <c r="J67" s="195">
        <f>ROUND(J51+J52,0)</f>
        <v>14566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872096</v>
      </c>
      <c r="Q67" s="195">
        <f t="shared" si="3"/>
        <v>66229</v>
      </c>
      <c r="R67" s="195">
        <f t="shared" si="3"/>
        <v>0</v>
      </c>
      <c r="S67" s="195">
        <f t="shared" si="3"/>
        <v>69686</v>
      </c>
      <c r="T67" s="195">
        <f t="shared" si="3"/>
        <v>0</v>
      </c>
      <c r="U67" s="195">
        <f t="shared" si="3"/>
        <v>64058</v>
      </c>
      <c r="V67" s="195">
        <f t="shared" si="3"/>
        <v>0</v>
      </c>
      <c r="W67" s="195">
        <f t="shared" si="3"/>
        <v>20472</v>
      </c>
      <c r="X67" s="195">
        <f t="shared" si="3"/>
        <v>2434</v>
      </c>
      <c r="Y67" s="195">
        <f t="shared" si="3"/>
        <v>794461</v>
      </c>
      <c r="Z67" s="195">
        <f t="shared" si="3"/>
        <v>561080</v>
      </c>
      <c r="AA67" s="195">
        <f t="shared" si="3"/>
        <v>30459</v>
      </c>
      <c r="AB67" s="195">
        <f t="shared" si="3"/>
        <v>506640</v>
      </c>
      <c r="AC67" s="195">
        <f t="shared" si="3"/>
        <v>28523</v>
      </c>
      <c r="AD67" s="195">
        <f t="shared" si="3"/>
        <v>127305</v>
      </c>
      <c r="AE67" s="195">
        <f t="shared" si="3"/>
        <v>79600</v>
      </c>
      <c r="AF67" s="195">
        <f t="shared" si="3"/>
        <v>160089</v>
      </c>
      <c r="AG67" s="195">
        <f t="shared" si="3"/>
        <v>314068</v>
      </c>
      <c r="AH67" s="195">
        <f t="shared" si="3"/>
        <v>0</v>
      </c>
      <c r="AI67" s="195">
        <f t="shared" si="3"/>
        <v>298830</v>
      </c>
      <c r="AJ67" s="195">
        <f t="shared" si="3"/>
        <v>941459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117803</v>
      </c>
      <c r="AZ67" s="195">
        <f>ROUND(AZ51+AZ52,0)</f>
        <v>9960</v>
      </c>
      <c r="BA67" s="195">
        <f>ROUND(BA51+BA52,0)</f>
        <v>9147</v>
      </c>
      <c r="BB67" s="195">
        <f t="shared" si="3"/>
        <v>31677</v>
      </c>
      <c r="BC67" s="195">
        <f t="shared" si="3"/>
        <v>0</v>
      </c>
      <c r="BD67" s="195">
        <f t="shared" si="3"/>
        <v>30154</v>
      </c>
      <c r="BE67" s="195">
        <f t="shared" si="3"/>
        <v>2572474</v>
      </c>
      <c r="BF67" s="195">
        <f t="shared" si="3"/>
        <v>29130</v>
      </c>
      <c r="BG67" s="195">
        <f t="shared" si="3"/>
        <v>15770</v>
      </c>
      <c r="BH67" s="195">
        <f t="shared" si="3"/>
        <v>28415</v>
      </c>
      <c r="BI67" s="195">
        <f t="shared" si="3"/>
        <v>0</v>
      </c>
      <c r="BJ67" s="195">
        <f t="shared" si="3"/>
        <v>0</v>
      </c>
      <c r="BK67" s="195">
        <f t="shared" si="3"/>
        <v>23855</v>
      </c>
      <c r="BL67" s="195">
        <f t="shared" si="3"/>
        <v>0</v>
      </c>
      <c r="BM67" s="195">
        <f t="shared" si="3"/>
        <v>0</v>
      </c>
      <c r="BN67" s="195">
        <f t="shared" si="3"/>
        <v>6418031</v>
      </c>
      <c r="BO67" s="195">
        <f t="shared" si="3"/>
        <v>38813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36206</v>
      </c>
      <c r="BS67" s="195">
        <f t="shared" si="4"/>
        <v>15571</v>
      </c>
      <c r="BT67" s="195">
        <f t="shared" si="4"/>
        <v>19002</v>
      </c>
      <c r="BU67" s="195">
        <f t="shared" si="4"/>
        <v>7027</v>
      </c>
      <c r="BV67" s="195">
        <f t="shared" si="4"/>
        <v>50145</v>
      </c>
      <c r="BW67" s="195">
        <f t="shared" si="4"/>
        <v>3468</v>
      </c>
      <c r="BX67" s="195">
        <f t="shared" si="4"/>
        <v>18738</v>
      </c>
      <c r="BY67" s="195">
        <f t="shared" si="4"/>
        <v>126160</v>
      </c>
      <c r="BZ67" s="195">
        <f t="shared" si="4"/>
        <v>0</v>
      </c>
      <c r="CA67" s="195">
        <f t="shared" si="4"/>
        <v>94005</v>
      </c>
      <c r="CB67" s="195">
        <f t="shared" si="4"/>
        <v>0</v>
      </c>
      <c r="CC67" s="195">
        <f t="shared" si="4"/>
        <v>2304930</v>
      </c>
      <c r="CD67" s="249" t="s">
        <v>221</v>
      </c>
      <c r="CE67" s="195">
        <f t="shared" si="0"/>
        <v>18337923</v>
      </c>
      <c r="CF67" s="252"/>
    </row>
    <row r="68" spans="1:84" ht="14.1" customHeight="1" x14ac:dyDescent="0.25">
      <c r="A68" s="171" t="s">
        <v>238</v>
      </c>
      <c r="B68" s="175"/>
      <c r="C68" s="184">
        <v>111485.90000000001</v>
      </c>
      <c r="D68" s="184">
        <v>0</v>
      </c>
      <c r="E68" s="184">
        <v>213893.61444999999</v>
      </c>
      <c r="F68" s="184">
        <v>0</v>
      </c>
      <c r="G68" s="184">
        <v>0</v>
      </c>
      <c r="H68" s="184">
        <v>3.539999999999992</v>
      </c>
      <c r="I68" s="184">
        <v>0</v>
      </c>
      <c r="J68" s="184">
        <v>571.20554999999968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3102.38</v>
      </c>
      <c r="Q68" s="185">
        <v>624.58999999999992</v>
      </c>
      <c r="R68" s="185">
        <v>0</v>
      </c>
      <c r="S68" s="185">
        <v>-9947.0299999999988</v>
      </c>
      <c r="T68" s="185">
        <v>0</v>
      </c>
      <c r="U68" s="185">
        <v>0</v>
      </c>
      <c r="V68" s="185">
        <v>0</v>
      </c>
      <c r="W68" s="185">
        <v>0</v>
      </c>
      <c r="X68" s="185">
        <v>25700</v>
      </c>
      <c r="Y68" s="185">
        <v>212.69000000000005</v>
      </c>
      <c r="Z68" s="185">
        <v>0</v>
      </c>
      <c r="AA68" s="185">
        <v>3055</v>
      </c>
      <c r="AB68" s="185">
        <v>16574.830000000002</v>
      </c>
      <c r="AC68" s="185">
        <v>0</v>
      </c>
      <c r="AD68" s="185">
        <v>1396.03</v>
      </c>
      <c r="AE68" s="185">
        <v>0</v>
      </c>
      <c r="AF68" s="185">
        <v>0</v>
      </c>
      <c r="AG68" s="185">
        <v>17360.900000000001</v>
      </c>
      <c r="AH68" s="185">
        <v>0</v>
      </c>
      <c r="AI68" s="185">
        <v>7090.9199999999992</v>
      </c>
      <c r="AJ68" s="185">
        <v>262840.59999999998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14567.95</v>
      </c>
      <c r="BF68" s="185">
        <v>0</v>
      </c>
      <c r="BG68" s="185">
        <v>1455.4900000000002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669988.6100000001</v>
      </c>
      <c r="CF68" s="252"/>
    </row>
    <row r="69" spans="1:84" ht="14.1" customHeight="1" x14ac:dyDescent="0.25">
      <c r="A69" s="171" t="s">
        <v>239</v>
      </c>
      <c r="B69" s="175"/>
      <c r="C69" s="184">
        <v>4430.79</v>
      </c>
      <c r="D69" s="184">
        <v>0</v>
      </c>
      <c r="E69" s="185">
        <v>35636.481174</v>
      </c>
      <c r="F69" s="185">
        <v>0</v>
      </c>
      <c r="G69" s="184">
        <v>0</v>
      </c>
      <c r="H69" s="184">
        <v>1691.7900000000002</v>
      </c>
      <c r="I69" s="185">
        <v>0</v>
      </c>
      <c r="J69" s="185">
        <v>1367.7388260000007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64339.35</v>
      </c>
      <c r="Q69" s="185">
        <v>77.510000000000005</v>
      </c>
      <c r="R69" s="224">
        <v>30299.489999999998</v>
      </c>
      <c r="S69" s="185">
        <v>9712.76</v>
      </c>
      <c r="T69" s="184">
        <v>0</v>
      </c>
      <c r="U69" s="185">
        <v>19874.839999999997</v>
      </c>
      <c r="V69" s="185">
        <v>0</v>
      </c>
      <c r="W69" s="184">
        <v>19.98</v>
      </c>
      <c r="X69" s="185">
        <v>762.51</v>
      </c>
      <c r="Y69" s="185">
        <v>34334.079999999994</v>
      </c>
      <c r="Z69" s="185">
        <v>9446.09</v>
      </c>
      <c r="AA69" s="185">
        <v>10035.91</v>
      </c>
      <c r="AB69" s="185">
        <v>31315.690000000002</v>
      </c>
      <c r="AC69" s="185">
        <v>2664.53</v>
      </c>
      <c r="AD69" s="185">
        <v>3417.5099999999998</v>
      </c>
      <c r="AE69" s="185">
        <v>5243.17</v>
      </c>
      <c r="AF69" s="185">
        <v>46067.47</v>
      </c>
      <c r="AG69" s="185">
        <v>49717.46</v>
      </c>
      <c r="AH69" s="185">
        <v>0</v>
      </c>
      <c r="AI69" s="185">
        <v>18795.390000000003</v>
      </c>
      <c r="AJ69" s="185">
        <v>374001.69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-1704.98</v>
      </c>
      <c r="AZ69" s="185">
        <v>1503.27</v>
      </c>
      <c r="BA69" s="185">
        <v>0</v>
      </c>
      <c r="BB69" s="185">
        <v>144281.64000000001</v>
      </c>
      <c r="BC69" s="185">
        <v>0</v>
      </c>
      <c r="BD69" s="185">
        <v>0</v>
      </c>
      <c r="BE69" s="185">
        <v>419034.93999999989</v>
      </c>
      <c r="BF69" s="185">
        <v>593.42999999999995</v>
      </c>
      <c r="BG69" s="185">
        <v>41243.730000000003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1869465.1500000004</v>
      </c>
      <c r="BO69" s="185">
        <v>11.66</v>
      </c>
      <c r="BP69" s="185">
        <v>0</v>
      </c>
      <c r="BQ69" s="185">
        <v>0</v>
      </c>
      <c r="BR69" s="185">
        <v>9.1199999999999992</v>
      </c>
      <c r="BS69" s="185">
        <v>6732.8099999999995</v>
      </c>
      <c r="BT69" s="185">
        <v>11637.289999999999</v>
      </c>
      <c r="BU69" s="185">
        <v>81546.490000000005</v>
      </c>
      <c r="BV69" s="185">
        <v>1443.83</v>
      </c>
      <c r="BW69" s="185">
        <v>64168.68</v>
      </c>
      <c r="BX69" s="185">
        <v>0</v>
      </c>
      <c r="BY69" s="185">
        <v>45231.310000000005</v>
      </c>
      <c r="BZ69" s="185">
        <v>228.9</v>
      </c>
      <c r="CA69" s="185">
        <v>0</v>
      </c>
      <c r="CB69" s="185">
        <v>0</v>
      </c>
      <c r="CC69" s="185">
        <v>446731.88999999984</v>
      </c>
      <c r="CD69" s="188">
        <v>6004937.1299999999</v>
      </c>
      <c r="CE69" s="195">
        <f t="shared" si="0"/>
        <v>9890348.5199999996</v>
      </c>
      <c r="CF69" s="252"/>
    </row>
    <row r="70" spans="1:84" ht="14.1" customHeight="1" x14ac:dyDescent="0.25">
      <c r="A70" s="171" t="s">
        <v>240</v>
      </c>
      <c r="B70" s="175"/>
      <c r="C70" s="184">
        <v>1000</v>
      </c>
      <c r="D70" s="184">
        <v>0</v>
      </c>
      <c r="E70" s="184">
        <v>7970.2432290000006</v>
      </c>
      <c r="F70" s="185">
        <v>0</v>
      </c>
      <c r="G70" s="184">
        <v>0</v>
      </c>
      <c r="H70" s="184">
        <v>0</v>
      </c>
      <c r="I70" s="184">
        <v>0</v>
      </c>
      <c r="J70" s="185">
        <v>1006.2667709999996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10155.5</v>
      </c>
      <c r="Q70" s="184">
        <v>0</v>
      </c>
      <c r="R70" s="184">
        <v>2240859</v>
      </c>
      <c r="S70" s="184">
        <v>928.12000000000012</v>
      </c>
      <c r="T70" s="184">
        <v>0</v>
      </c>
      <c r="U70" s="185">
        <v>27488.720000000001</v>
      </c>
      <c r="V70" s="184">
        <v>0</v>
      </c>
      <c r="W70" s="184">
        <v>0</v>
      </c>
      <c r="X70" s="185">
        <v>0</v>
      </c>
      <c r="Y70" s="185">
        <v>221.4</v>
      </c>
      <c r="Z70" s="185">
        <v>0</v>
      </c>
      <c r="AA70" s="185">
        <v>0</v>
      </c>
      <c r="AB70" s="185">
        <v>4010627.3400000008</v>
      </c>
      <c r="AC70" s="185">
        <v>3050</v>
      </c>
      <c r="AD70" s="185">
        <v>10235.950000000001</v>
      </c>
      <c r="AE70" s="185">
        <v>0</v>
      </c>
      <c r="AF70" s="185">
        <v>30346.33</v>
      </c>
      <c r="AG70" s="185">
        <v>36676</v>
      </c>
      <c r="AH70" s="185">
        <v>0</v>
      </c>
      <c r="AI70" s="185">
        <v>3633.77</v>
      </c>
      <c r="AJ70" s="185">
        <v>-2112398.4100000011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2904</v>
      </c>
      <c r="AZ70" s="185">
        <v>915843.05999999994</v>
      </c>
      <c r="BA70" s="185">
        <v>0</v>
      </c>
      <c r="BB70" s="185">
        <v>0</v>
      </c>
      <c r="BC70" s="185">
        <v>0</v>
      </c>
      <c r="BD70" s="185">
        <v>0</v>
      </c>
      <c r="BE70" s="185">
        <v>9063.15</v>
      </c>
      <c r="BF70" s="185">
        <v>0</v>
      </c>
      <c r="BG70" s="185">
        <v>1080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17804.8</v>
      </c>
      <c r="BO70" s="185">
        <v>0</v>
      </c>
      <c r="BP70" s="185">
        <v>0</v>
      </c>
      <c r="BQ70" s="185">
        <v>0</v>
      </c>
      <c r="BR70" s="185">
        <v>7686.63</v>
      </c>
      <c r="BS70" s="185">
        <v>153751.27999999997</v>
      </c>
      <c r="BT70" s="185">
        <v>0</v>
      </c>
      <c r="BU70" s="185">
        <v>72523.88</v>
      </c>
      <c r="BV70" s="185">
        <v>0</v>
      </c>
      <c r="BW70" s="185">
        <v>13642.97</v>
      </c>
      <c r="BX70" s="185">
        <v>0</v>
      </c>
      <c r="BY70" s="185">
        <v>3966.12</v>
      </c>
      <c r="BZ70" s="185">
        <v>0</v>
      </c>
      <c r="CA70" s="185">
        <v>0</v>
      </c>
      <c r="CB70" s="185">
        <v>0</v>
      </c>
      <c r="CC70" s="185">
        <v>617985.84</v>
      </c>
      <c r="CD70" s="188">
        <v>26860.600000000002</v>
      </c>
      <c r="CE70" s="195">
        <f t="shared" si="0"/>
        <v>6114912.5599999987</v>
      </c>
      <c r="CF70" s="252"/>
    </row>
    <row r="71" spans="1:84" ht="14.1" customHeight="1" x14ac:dyDescent="0.25">
      <c r="A71" s="171" t="s">
        <v>241</v>
      </c>
      <c r="B71" s="175"/>
      <c r="C71" s="195">
        <f>SUM(C61:C68)+C69-C70</f>
        <v>9860572.2799999993</v>
      </c>
      <c r="D71" s="195">
        <f t="shared" ref="D71:AI71" si="5">SUM(D61:D69)-D70</f>
        <v>0</v>
      </c>
      <c r="E71" s="195">
        <f t="shared" si="5"/>
        <v>15983745.935500003</v>
      </c>
      <c r="F71" s="195">
        <f t="shared" si="5"/>
        <v>0</v>
      </c>
      <c r="G71" s="195">
        <f t="shared" si="5"/>
        <v>0</v>
      </c>
      <c r="H71" s="195">
        <f t="shared" si="5"/>
        <v>3411576.4299999997</v>
      </c>
      <c r="I71" s="195">
        <f t="shared" si="5"/>
        <v>0</v>
      </c>
      <c r="J71" s="195">
        <f t="shared" si="5"/>
        <v>626833.91449999972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12162090.599999998</v>
      </c>
      <c r="Q71" s="195">
        <f t="shared" si="5"/>
        <v>965937.33999999973</v>
      </c>
      <c r="R71" s="195">
        <f t="shared" si="5"/>
        <v>4455443.3000000007</v>
      </c>
      <c r="S71" s="195">
        <f t="shared" si="5"/>
        <v>1558758.6899999997</v>
      </c>
      <c r="T71" s="195">
        <f t="shared" si="5"/>
        <v>332905.19999999995</v>
      </c>
      <c r="U71" s="195">
        <f t="shared" si="5"/>
        <v>6404474.7500000009</v>
      </c>
      <c r="V71" s="195">
        <f t="shared" si="5"/>
        <v>0</v>
      </c>
      <c r="W71" s="195">
        <f t="shared" si="5"/>
        <v>614412.07000000007</v>
      </c>
      <c r="X71" s="195">
        <f t="shared" si="5"/>
        <v>1223956.2</v>
      </c>
      <c r="Y71" s="195">
        <f t="shared" si="5"/>
        <v>9269699.9299999978</v>
      </c>
      <c r="Z71" s="195">
        <f t="shared" si="5"/>
        <v>1574004.2</v>
      </c>
      <c r="AA71" s="195">
        <f t="shared" si="5"/>
        <v>1124477.3600000001</v>
      </c>
      <c r="AB71" s="195">
        <f t="shared" si="5"/>
        <v>16104988.439999998</v>
      </c>
      <c r="AC71" s="195">
        <f t="shared" si="5"/>
        <v>1740401.5900000003</v>
      </c>
      <c r="AD71" s="195">
        <f t="shared" si="5"/>
        <v>4981546.8699999982</v>
      </c>
      <c r="AE71" s="195">
        <f t="shared" si="5"/>
        <v>1185843.7099999997</v>
      </c>
      <c r="AF71" s="195">
        <f t="shared" si="5"/>
        <v>3885030.06</v>
      </c>
      <c r="AG71" s="195">
        <f t="shared" si="5"/>
        <v>11050939.400000002</v>
      </c>
      <c r="AH71" s="195">
        <f t="shared" si="5"/>
        <v>0</v>
      </c>
      <c r="AI71" s="195">
        <f t="shared" si="5"/>
        <v>5423125.6500000004</v>
      </c>
      <c r="AJ71" s="195">
        <f t="shared" ref="AJ71:BO71" si="6">SUM(AJ61:AJ69)-AJ70</f>
        <v>57209706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1664405.0099999998</v>
      </c>
      <c r="AZ71" s="195">
        <f t="shared" si="6"/>
        <v>143741.83999999997</v>
      </c>
      <c r="BA71" s="195">
        <f t="shared" si="6"/>
        <v>9147</v>
      </c>
      <c r="BB71" s="195">
        <f t="shared" si="6"/>
        <v>2491548.5500000003</v>
      </c>
      <c r="BC71" s="195">
        <f t="shared" si="6"/>
        <v>332726.60999999993</v>
      </c>
      <c r="BD71" s="195">
        <f t="shared" si="6"/>
        <v>30154</v>
      </c>
      <c r="BE71" s="195">
        <f t="shared" si="6"/>
        <v>13471581.849999998</v>
      </c>
      <c r="BF71" s="195">
        <f t="shared" si="6"/>
        <v>4091023.7200000007</v>
      </c>
      <c r="BG71" s="195">
        <f t="shared" si="6"/>
        <v>765432.9</v>
      </c>
      <c r="BH71" s="195">
        <f t="shared" si="6"/>
        <v>28415</v>
      </c>
      <c r="BI71" s="195">
        <f t="shared" si="6"/>
        <v>0</v>
      </c>
      <c r="BJ71" s="195">
        <f t="shared" si="6"/>
        <v>0</v>
      </c>
      <c r="BK71" s="195">
        <f t="shared" si="6"/>
        <v>202727.16999999998</v>
      </c>
      <c r="BL71" s="195">
        <f t="shared" si="6"/>
        <v>0</v>
      </c>
      <c r="BM71" s="195">
        <f t="shared" si="6"/>
        <v>0</v>
      </c>
      <c r="BN71" s="195">
        <f t="shared" si="6"/>
        <v>38378157.249999993</v>
      </c>
      <c r="BO71" s="195">
        <f t="shared" si="6"/>
        <v>490794.61999999988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137782.22999999998</v>
      </c>
      <c r="BS71" s="195">
        <f t="shared" si="7"/>
        <v>394801.62000000017</v>
      </c>
      <c r="BT71" s="195">
        <f t="shared" si="7"/>
        <v>613825.36</v>
      </c>
      <c r="BU71" s="195">
        <f t="shared" si="7"/>
        <v>102541.70000000001</v>
      </c>
      <c r="BV71" s="195">
        <f t="shared" si="7"/>
        <v>172721.27</v>
      </c>
      <c r="BW71" s="195">
        <f t="shared" si="7"/>
        <v>452668.39000000007</v>
      </c>
      <c r="BX71" s="195">
        <f t="shared" si="7"/>
        <v>18738</v>
      </c>
      <c r="BY71" s="195">
        <f t="shared" si="7"/>
        <v>2206916.88</v>
      </c>
      <c r="BZ71" s="195">
        <f t="shared" si="7"/>
        <v>400962.27</v>
      </c>
      <c r="CA71" s="195">
        <f t="shared" si="7"/>
        <v>94005</v>
      </c>
      <c r="CB71" s="195">
        <f t="shared" si="7"/>
        <v>0</v>
      </c>
      <c r="CC71" s="195">
        <f t="shared" si="7"/>
        <v>16248494.09</v>
      </c>
      <c r="CD71" s="245">
        <f>CD69-CD70</f>
        <v>5978076.5300000003</v>
      </c>
      <c r="CE71" s="195">
        <f>SUM(CE61:CE69)-CE70</f>
        <v>260071858.78000003</v>
      </c>
      <c r="CF71" s="252"/>
    </row>
    <row r="72" spans="1:84" ht="14.1" customHeight="1" x14ac:dyDescent="0.25">
      <c r="A72" s="171" t="s">
        <v>242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4.1" customHeight="1" x14ac:dyDescent="0.25">
      <c r="A73" s="171" t="s">
        <v>243</v>
      </c>
      <c r="B73" s="175"/>
      <c r="C73" s="184">
        <v>37932708.640000001</v>
      </c>
      <c r="D73" s="184">
        <v>0</v>
      </c>
      <c r="E73" s="185">
        <v>69881231.349725008</v>
      </c>
      <c r="F73" s="185">
        <v>0</v>
      </c>
      <c r="G73" s="184">
        <v>0</v>
      </c>
      <c r="H73" s="184">
        <v>13739613</v>
      </c>
      <c r="I73" s="185">
        <v>0</v>
      </c>
      <c r="J73" s="185">
        <v>3346019.4002749994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40679599.25</v>
      </c>
      <c r="Q73" s="185">
        <v>1288248</v>
      </c>
      <c r="R73" s="185">
        <v>0</v>
      </c>
      <c r="S73" s="185">
        <v>0</v>
      </c>
      <c r="T73" s="185">
        <v>637147</v>
      </c>
      <c r="U73" s="185">
        <v>17983332</v>
      </c>
      <c r="V73" s="185">
        <v>0</v>
      </c>
      <c r="W73" s="185">
        <v>2683955.6</v>
      </c>
      <c r="X73" s="185">
        <v>14721765.300000001</v>
      </c>
      <c r="Y73" s="185">
        <v>23374865.170000002</v>
      </c>
      <c r="Z73" s="185">
        <v>298327</v>
      </c>
      <c r="AA73" s="185">
        <v>538999.55000000005</v>
      </c>
      <c r="AB73" s="185">
        <v>18573752.649999999</v>
      </c>
      <c r="AC73" s="185">
        <v>11509491</v>
      </c>
      <c r="AD73" s="185">
        <v>1215134</v>
      </c>
      <c r="AE73" s="185">
        <v>3959004.94</v>
      </c>
      <c r="AF73" s="185">
        <v>0</v>
      </c>
      <c r="AG73" s="185">
        <v>25897327.060000002</v>
      </c>
      <c r="AH73" s="185">
        <v>0</v>
      </c>
      <c r="AI73" s="185">
        <v>868887</v>
      </c>
      <c r="AJ73" s="185">
        <v>67812.41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289197220.32000011</v>
      </c>
      <c r="CF73" s="252"/>
    </row>
    <row r="74" spans="1:84" ht="14.1" customHeight="1" x14ac:dyDescent="0.25">
      <c r="A74" s="171" t="s">
        <v>244</v>
      </c>
      <c r="B74" s="175"/>
      <c r="C74" s="184">
        <v>3546274</v>
      </c>
      <c r="D74" s="184">
        <v>0</v>
      </c>
      <c r="E74" s="185">
        <v>4387202.8405410089</v>
      </c>
      <c r="F74" s="185">
        <v>0</v>
      </c>
      <c r="G74" s="184">
        <v>0</v>
      </c>
      <c r="H74" s="184">
        <v>215000</v>
      </c>
      <c r="I74" s="184">
        <v>0</v>
      </c>
      <c r="J74" s="185">
        <v>115925.9494589977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29803548.159999996</v>
      </c>
      <c r="Q74" s="185">
        <v>2046475</v>
      </c>
      <c r="R74" s="185">
        <v>6515203</v>
      </c>
      <c r="S74" s="185">
        <v>0</v>
      </c>
      <c r="T74" s="185">
        <v>102622</v>
      </c>
      <c r="U74" s="185">
        <v>20567440.969999999</v>
      </c>
      <c r="V74" s="185">
        <v>0</v>
      </c>
      <c r="W74" s="185">
        <v>8727284.8000000007</v>
      </c>
      <c r="X74" s="185">
        <v>41179203.549999997</v>
      </c>
      <c r="Y74" s="185">
        <v>51869076.859999999</v>
      </c>
      <c r="Z74" s="185">
        <v>14183297</v>
      </c>
      <c r="AA74" s="185">
        <v>3985177.7</v>
      </c>
      <c r="AB74" s="185">
        <v>42230940.68</v>
      </c>
      <c r="AC74" s="185">
        <v>2390261</v>
      </c>
      <c r="AD74" s="185">
        <v>26868887</v>
      </c>
      <c r="AE74" s="185">
        <v>853645.10000000009</v>
      </c>
      <c r="AF74" s="185">
        <v>4426065.04</v>
      </c>
      <c r="AG74" s="185">
        <v>120090182.15000001</v>
      </c>
      <c r="AH74" s="185">
        <v>0</v>
      </c>
      <c r="AI74" s="185">
        <v>25246401.82</v>
      </c>
      <c r="AJ74" s="185">
        <v>81926200.75999999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491276315.37999994</v>
      </c>
      <c r="CF74" s="252"/>
    </row>
    <row r="75" spans="1:84" ht="14.1" customHeight="1" x14ac:dyDescent="0.25">
      <c r="A75" s="171" t="s">
        <v>245</v>
      </c>
      <c r="B75" s="175"/>
      <c r="C75" s="195">
        <f t="shared" ref="C75:AV75" si="9">SUM(C73:C74)</f>
        <v>41478982.640000001</v>
      </c>
      <c r="D75" s="195">
        <f t="shared" si="9"/>
        <v>0</v>
      </c>
      <c r="E75" s="195">
        <f t="shared" si="9"/>
        <v>74268434.190266013</v>
      </c>
      <c r="F75" s="195">
        <f t="shared" si="9"/>
        <v>0</v>
      </c>
      <c r="G75" s="195">
        <f t="shared" si="9"/>
        <v>0</v>
      </c>
      <c r="H75" s="195">
        <f t="shared" si="9"/>
        <v>13954613</v>
      </c>
      <c r="I75" s="195">
        <f t="shared" si="9"/>
        <v>0</v>
      </c>
      <c r="J75" s="195">
        <f t="shared" si="9"/>
        <v>3461945.3497339971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70483147.409999996</v>
      </c>
      <c r="Q75" s="195">
        <f t="shared" si="9"/>
        <v>3334723</v>
      </c>
      <c r="R75" s="195">
        <f t="shared" si="9"/>
        <v>6515203</v>
      </c>
      <c r="S75" s="195">
        <f t="shared" si="9"/>
        <v>0</v>
      </c>
      <c r="T75" s="195">
        <f t="shared" si="9"/>
        <v>739769</v>
      </c>
      <c r="U75" s="195">
        <f t="shared" si="9"/>
        <v>38550772.969999999</v>
      </c>
      <c r="V75" s="195">
        <f t="shared" si="9"/>
        <v>0</v>
      </c>
      <c r="W75" s="195">
        <f t="shared" si="9"/>
        <v>11411240.4</v>
      </c>
      <c r="X75" s="195">
        <f t="shared" si="9"/>
        <v>55900968.849999994</v>
      </c>
      <c r="Y75" s="195">
        <f t="shared" si="9"/>
        <v>75243942.030000001</v>
      </c>
      <c r="Z75" s="195">
        <f t="shared" si="9"/>
        <v>14481624</v>
      </c>
      <c r="AA75" s="195">
        <f t="shared" si="9"/>
        <v>4524177.25</v>
      </c>
      <c r="AB75" s="195">
        <f t="shared" si="9"/>
        <v>60804693.329999998</v>
      </c>
      <c r="AC75" s="195">
        <f t="shared" si="9"/>
        <v>13899752</v>
      </c>
      <c r="AD75" s="195">
        <f t="shared" si="9"/>
        <v>28084021</v>
      </c>
      <c r="AE75" s="195">
        <f t="shared" si="9"/>
        <v>4812650.04</v>
      </c>
      <c r="AF75" s="195">
        <f t="shared" si="9"/>
        <v>4426065.04</v>
      </c>
      <c r="AG75" s="195">
        <f t="shared" si="9"/>
        <v>145987509.21000001</v>
      </c>
      <c r="AH75" s="195">
        <f t="shared" si="9"/>
        <v>0</v>
      </c>
      <c r="AI75" s="195">
        <f t="shared" si="9"/>
        <v>26115288.82</v>
      </c>
      <c r="AJ75" s="195">
        <f t="shared" si="9"/>
        <v>81994013.169999987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780473535.70000005</v>
      </c>
      <c r="CF75" s="252"/>
    </row>
    <row r="76" spans="1:84" ht="14.1" customHeight="1" x14ac:dyDescent="0.25">
      <c r="A76" s="171" t="s">
        <v>246</v>
      </c>
      <c r="B76" s="175"/>
      <c r="C76" s="184">
        <v>23023.45</v>
      </c>
      <c r="D76" s="184">
        <v>0</v>
      </c>
      <c r="E76" s="185">
        <v>43782.97</v>
      </c>
      <c r="F76" s="185">
        <v>0</v>
      </c>
      <c r="G76" s="184">
        <v>0</v>
      </c>
      <c r="H76" s="184">
        <v>10126.700000000001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24565.469999999998</v>
      </c>
      <c r="Q76" s="185">
        <v>2498.21</v>
      </c>
      <c r="R76" s="185">
        <v>0</v>
      </c>
      <c r="S76" s="185">
        <v>5561.29</v>
      </c>
      <c r="T76" s="185">
        <v>0</v>
      </c>
      <c r="U76" s="185">
        <v>6826.27</v>
      </c>
      <c r="V76" s="185">
        <v>0</v>
      </c>
      <c r="W76" s="185">
        <v>0</v>
      </c>
      <c r="X76" s="185">
        <v>0</v>
      </c>
      <c r="Y76" s="185">
        <v>24986.89</v>
      </c>
      <c r="Z76" s="185">
        <v>7191</v>
      </c>
      <c r="AA76" s="185">
        <v>1891.88</v>
      </c>
      <c r="AB76" s="185">
        <v>3257.56</v>
      </c>
      <c r="AC76" s="185">
        <v>1504</v>
      </c>
      <c r="AD76" s="185">
        <v>8407.51</v>
      </c>
      <c r="AE76" s="185">
        <v>8761.7099999999991</v>
      </c>
      <c r="AF76" s="185">
        <v>19372.75</v>
      </c>
      <c r="AG76" s="185">
        <v>20927.63</v>
      </c>
      <c r="AH76" s="185">
        <v>0</v>
      </c>
      <c r="AI76" s="185">
        <v>23173.17</v>
      </c>
      <c r="AJ76" s="185">
        <v>93341.22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12127.54</v>
      </c>
      <c r="AZ76" s="185">
        <v>0</v>
      </c>
      <c r="BA76" s="185">
        <v>1107.6300000000001</v>
      </c>
      <c r="BB76" s="185">
        <v>3835.92</v>
      </c>
      <c r="BC76" s="185">
        <v>0</v>
      </c>
      <c r="BD76" s="185">
        <v>3651.48</v>
      </c>
      <c r="BE76" s="185">
        <v>291750.58000000013</v>
      </c>
      <c r="BF76" s="185">
        <v>2996.91</v>
      </c>
      <c r="BG76" s="185">
        <v>1625.72</v>
      </c>
      <c r="BH76" s="185">
        <v>3440.8900000000003</v>
      </c>
      <c r="BI76" s="185">
        <v>0</v>
      </c>
      <c r="BJ76" s="185">
        <v>0</v>
      </c>
      <c r="BK76" s="185">
        <v>2888.69</v>
      </c>
      <c r="BL76" s="185">
        <v>0</v>
      </c>
      <c r="BM76" s="185">
        <v>0</v>
      </c>
      <c r="BN76" s="185">
        <v>5739.51</v>
      </c>
      <c r="BO76" s="185">
        <v>4700</v>
      </c>
      <c r="BP76" s="185">
        <v>0</v>
      </c>
      <c r="BQ76" s="185">
        <v>0</v>
      </c>
      <c r="BR76" s="185">
        <v>4312.55</v>
      </c>
      <c r="BS76" s="185">
        <v>1881.27</v>
      </c>
      <c r="BT76" s="185">
        <v>2160.04</v>
      </c>
      <c r="BU76" s="185">
        <v>850.86</v>
      </c>
      <c r="BV76" s="185">
        <v>6072.16</v>
      </c>
      <c r="BW76" s="185">
        <v>420</v>
      </c>
      <c r="BX76" s="185">
        <v>2269</v>
      </c>
      <c r="BY76" s="185">
        <v>2602.36</v>
      </c>
      <c r="BZ76" s="185">
        <v>0</v>
      </c>
      <c r="CA76" s="185">
        <v>11383.4</v>
      </c>
      <c r="CB76" s="185">
        <v>0</v>
      </c>
      <c r="CC76" s="185">
        <v>114817.30399999999</v>
      </c>
      <c r="CD76" s="249" t="s">
        <v>221</v>
      </c>
      <c r="CE76" s="195">
        <f t="shared" si="8"/>
        <v>809833.49400000018</v>
      </c>
      <c r="CF76" s="195">
        <f>BE59-CE76</f>
        <v>-0.49400000018067658</v>
      </c>
    </row>
    <row r="77" spans="1:84" ht="14.1" customHeight="1" x14ac:dyDescent="0.25">
      <c r="A77" s="171" t="s">
        <v>247</v>
      </c>
      <c r="B77" s="175"/>
      <c r="C77" s="184">
        <v>24874</v>
      </c>
      <c r="D77" s="184">
        <v>0</v>
      </c>
      <c r="E77" s="184">
        <v>48710</v>
      </c>
      <c r="F77" s="184">
        <v>0</v>
      </c>
      <c r="G77" s="184">
        <v>0</v>
      </c>
      <c r="H77" s="184">
        <v>19767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25</v>
      </c>
      <c r="AB77" s="184">
        <v>0</v>
      </c>
      <c r="AC77" s="184">
        <v>0</v>
      </c>
      <c r="AD77" s="184">
        <v>0</v>
      </c>
      <c r="AE77" s="184">
        <v>5</v>
      </c>
      <c r="AF77" s="184">
        <v>0</v>
      </c>
      <c r="AG77" s="184">
        <v>3509</v>
      </c>
      <c r="AH77" s="184">
        <v>0</v>
      </c>
      <c r="AI77" s="184">
        <v>2380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99270</v>
      </c>
      <c r="CF77" s="195">
        <f>AY59-CE77</f>
        <v>0</v>
      </c>
    </row>
    <row r="78" spans="1:84" ht="14.1" customHeight="1" x14ac:dyDescent="0.25">
      <c r="A78" s="171" t="s">
        <v>248</v>
      </c>
      <c r="B78" s="175"/>
      <c r="C78" s="184">
        <v>6867.7212751068355</v>
      </c>
      <c r="D78" s="184">
        <v>0</v>
      </c>
      <c r="E78" s="184">
        <v>13060.129327114933</v>
      </c>
      <c r="F78" s="184">
        <v>0</v>
      </c>
      <c r="G78" s="184">
        <v>0</v>
      </c>
      <c r="H78" s="184">
        <v>3020.7181389680691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7327.6941966559607</v>
      </c>
      <c r="Q78" s="184">
        <v>745.19717795050894</v>
      </c>
      <c r="R78" s="184">
        <v>0</v>
      </c>
      <c r="S78" s="184">
        <v>1658.8908113266643</v>
      </c>
      <c r="T78" s="184">
        <v>0</v>
      </c>
      <c r="U78" s="184">
        <v>2036.2247929230216</v>
      </c>
      <c r="V78" s="184">
        <v>0</v>
      </c>
      <c r="W78" s="184">
        <v>0</v>
      </c>
      <c r="X78" s="184">
        <v>0</v>
      </c>
      <c r="Y78" s="184">
        <v>7453.4006003337572</v>
      </c>
      <c r="Z78" s="184">
        <v>2145.020997691191</v>
      </c>
      <c r="AA78" s="184">
        <v>564.33351760701021</v>
      </c>
      <c r="AB78" s="184">
        <v>971.70554877470681</v>
      </c>
      <c r="AC78" s="184">
        <v>448.63184265436678</v>
      </c>
      <c r="AD78" s="184">
        <v>2507.8967443051961</v>
      </c>
      <c r="AE78" s="184">
        <v>2613.551929589888</v>
      </c>
      <c r="AF78" s="184">
        <v>5778.7450330999891</v>
      </c>
      <c r="AG78" s="184">
        <v>6242.5539955377699</v>
      </c>
      <c r="AH78" s="184">
        <v>0</v>
      </c>
      <c r="AI78" s="184">
        <v>6912.3816205072408</v>
      </c>
      <c r="AJ78" s="184">
        <v>27842.981066626751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330.39766481333533</v>
      </c>
      <c r="BB78" s="184">
        <v>1144.225969331608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1026.3915033716651</v>
      </c>
      <c r="BI78" s="184">
        <v>0</v>
      </c>
      <c r="BJ78" s="249" t="s">
        <v>221</v>
      </c>
      <c r="BK78" s="184">
        <v>861.67441326944333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561.16863472764658</v>
      </c>
      <c r="BT78" s="184">
        <v>644.32362061644847</v>
      </c>
      <c r="BU78" s="184">
        <v>253.80511279314794</v>
      </c>
      <c r="BV78" s="184">
        <v>1811.2794745293481</v>
      </c>
      <c r="BW78" s="184">
        <v>125.28282840082051</v>
      </c>
      <c r="BX78" s="184">
        <v>676.82556581300412</v>
      </c>
      <c r="BY78" s="184">
        <v>776.26433646942678</v>
      </c>
      <c r="BZ78" s="184">
        <v>0</v>
      </c>
      <c r="CA78" s="184">
        <v>3395.582259090238</v>
      </c>
      <c r="CB78" s="184">
        <v>0</v>
      </c>
      <c r="CC78" s="249" t="s">
        <v>221</v>
      </c>
      <c r="CD78" s="249" t="s">
        <v>221</v>
      </c>
      <c r="CE78" s="195">
        <f t="shared" si="8"/>
        <v>109804.99999999999</v>
      </c>
      <c r="CF78" s="195"/>
    </row>
    <row r="79" spans="1:84" ht="14.1" customHeight="1" x14ac:dyDescent="0.25">
      <c r="A79" s="171" t="s">
        <v>249</v>
      </c>
      <c r="B79" s="175"/>
      <c r="C79" s="225">
        <v>169153.65955979683</v>
      </c>
      <c r="D79" s="225">
        <v>0</v>
      </c>
      <c r="E79" s="184">
        <v>275358.14719013579</v>
      </c>
      <c r="F79" s="184">
        <v>0</v>
      </c>
      <c r="G79" s="184">
        <v>0</v>
      </c>
      <c r="H79" s="184">
        <v>48237.699953130847</v>
      </c>
      <c r="I79" s="184">
        <v>0</v>
      </c>
      <c r="J79" s="184">
        <v>11693.331036256373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63599.342605649959</v>
      </c>
      <c r="Q79" s="184">
        <v>19351.70513650736</v>
      </c>
      <c r="R79" s="184">
        <v>0</v>
      </c>
      <c r="S79" s="184">
        <v>0</v>
      </c>
      <c r="T79" s="184">
        <v>5854.0769975167623</v>
      </c>
      <c r="U79" s="184">
        <v>0</v>
      </c>
      <c r="V79" s="184">
        <v>0</v>
      </c>
      <c r="W79" s="184">
        <v>84.371021891294149</v>
      </c>
      <c r="X79" s="184">
        <v>151.05904156515379</v>
      </c>
      <c r="Y79" s="184">
        <v>16798.05201321992</v>
      </c>
      <c r="Z79" s="184">
        <v>0</v>
      </c>
      <c r="AA79" s="184">
        <v>2.8546580392081111</v>
      </c>
      <c r="AB79" s="184">
        <v>0</v>
      </c>
      <c r="AC79" s="184">
        <v>0</v>
      </c>
      <c r="AD79" s="184">
        <v>40801.823534649557</v>
      </c>
      <c r="AE79" s="184">
        <v>0</v>
      </c>
      <c r="AF79" s="184">
        <v>9471.4071141473469</v>
      </c>
      <c r="AG79" s="184">
        <v>177785.73026889702</v>
      </c>
      <c r="AH79" s="184">
        <v>0</v>
      </c>
      <c r="AI79" s="184">
        <v>70777.330758386233</v>
      </c>
      <c r="AJ79" s="184">
        <v>134678.4091102106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1043799.0000000002</v>
      </c>
      <c r="CF79" s="195">
        <f>BA59</f>
        <v>0</v>
      </c>
    </row>
    <row r="80" spans="1:84" ht="14.1" customHeight="1" x14ac:dyDescent="0.25">
      <c r="A80" s="171" t="s">
        <v>250</v>
      </c>
      <c r="B80" s="175"/>
      <c r="C80" s="187">
        <v>40.601296680525181</v>
      </c>
      <c r="D80" s="187">
        <v>0</v>
      </c>
      <c r="E80" s="187">
        <v>66.093147831154468</v>
      </c>
      <c r="F80" s="187">
        <v>0</v>
      </c>
      <c r="G80" s="187">
        <v>0</v>
      </c>
      <c r="H80" s="187">
        <v>11.578307983877082</v>
      </c>
      <c r="I80" s="187">
        <v>0</v>
      </c>
      <c r="J80" s="187">
        <v>2.8067048849085405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15.265503474995947</v>
      </c>
      <c r="Q80" s="187">
        <v>4.6449147098920864</v>
      </c>
      <c r="R80" s="187">
        <v>0</v>
      </c>
      <c r="S80" s="187">
        <v>0</v>
      </c>
      <c r="T80" s="187">
        <v>1.4051313910994268</v>
      </c>
      <c r="U80" s="187">
        <v>0</v>
      </c>
      <c r="V80" s="187">
        <v>0</v>
      </c>
      <c r="W80" s="187">
        <v>2.0251249071182871E-2</v>
      </c>
      <c r="X80" s="187">
        <v>3.6258115720484749E-2</v>
      </c>
      <c r="Y80" s="187">
        <v>4.0319712574857789</v>
      </c>
      <c r="Z80" s="187">
        <v>0</v>
      </c>
      <c r="AA80" s="187">
        <v>6.8519249464042773E-4</v>
      </c>
      <c r="AB80" s="187">
        <v>0</v>
      </c>
      <c r="AC80" s="187">
        <v>0</v>
      </c>
      <c r="AD80" s="187">
        <v>9.7935034142794954</v>
      </c>
      <c r="AE80" s="187">
        <v>0</v>
      </c>
      <c r="AF80" s="187">
        <v>2.2733851057333587</v>
      </c>
      <c r="AG80" s="187">
        <v>42.673219125120916</v>
      </c>
      <c r="AH80" s="187">
        <v>0</v>
      </c>
      <c r="AI80" s="187">
        <v>16.988408124632073</v>
      </c>
      <c r="AJ80" s="187">
        <v>32.326336060212725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250.53902460120332</v>
      </c>
      <c r="CF80" s="255"/>
    </row>
    <row r="81" spans="1:5" ht="14.1" customHeight="1" x14ac:dyDescent="0.25">
      <c r="A81" s="208" t="s">
        <v>251</v>
      </c>
      <c r="B81" s="208"/>
      <c r="C81" s="208"/>
      <c r="D81" s="208"/>
      <c r="E81" s="208"/>
    </row>
    <row r="82" spans="1:5" ht="14.1" customHeight="1" x14ac:dyDescent="0.25">
      <c r="A82" s="171" t="s">
        <v>252</v>
      </c>
      <c r="B82" s="172"/>
      <c r="C82" s="282" t="s">
        <v>1263</v>
      </c>
      <c r="D82" s="256"/>
      <c r="E82" s="175"/>
    </row>
    <row r="83" spans="1:5" ht="14.1" customHeight="1" x14ac:dyDescent="0.25">
      <c r="A83" s="173" t="s">
        <v>253</v>
      </c>
      <c r="B83" s="172" t="s">
        <v>254</v>
      </c>
      <c r="C83" s="227" t="s">
        <v>1267</v>
      </c>
      <c r="D83" s="256"/>
      <c r="E83" s="175"/>
    </row>
    <row r="84" spans="1:5" ht="14.1" customHeight="1" x14ac:dyDescent="0.25">
      <c r="A84" s="173" t="s">
        <v>255</v>
      </c>
      <c r="B84" s="172" t="s">
        <v>254</v>
      </c>
      <c r="C84" s="230" t="s">
        <v>1268</v>
      </c>
      <c r="D84" s="205"/>
      <c r="E84" s="204"/>
    </row>
    <row r="85" spans="1:5" ht="14.1" customHeight="1" x14ac:dyDescent="0.25">
      <c r="A85" s="173" t="s">
        <v>1249</v>
      </c>
      <c r="B85" s="172"/>
      <c r="C85" s="271" t="s">
        <v>1269</v>
      </c>
      <c r="D85" s="205"/>
      <c r="E85" s="204"/>
    </row>
    <row r="86" spans="1:5" ht="14.1" customHeight="1" x14ac:dyDescent="0.25">
      <c r="A86" s="173" t="s">
        <v>1250</v>
      </c>
      <c r="B86" s="172" t="s">
        <v>254</v>
      </c>
      <c r="C86" s="231" t="s">
        <v>1270</v>
      </c>
      <c r="D86" s="205"/>
      <c r="E86" s="204"/>
    </row>
    <row r="87" spans="1:5" ht="14.1" customHeight="1" x14ac:dyDescent="0.25">
      <c r="A87" s="173" t="s">
        <v>256</v>
      </c>
      <c r="B87" s="172" t="s">
        <v>254</v>
      </c>
      <c r="C87" s="230" t="s">
        <v>1271</v>
      </c>
      <c r="D87" s="205"/>
      <c r="E87" s="204"/>
    </row>
    <row r="88" spans="1:5" ht="14.1" customHeight="1" x14ac:dyDescent="0.25">
      <c r="A88" s="173" t="s">
        <v>257</v>
      </c>
      <c r="B88" s="172" t="s">
        <v>254</v>
      </c>
      <c r="C88" s="230" t="s">
        <v>1272</v>
      </c>
      <c r="D88" s="205"/>
      <c r="E88" s="204"/>
    </row>
    <row r="89" spans="1:5" ht="14.1" customHeight="1" x14ac:dyDescent="0.25">
      <c r="A89" s="173" t="s">
        <v>258</v>
      </c>
      <c r="B89" s="172" t="s">
        <v>254</v>
      </c>
      <c r="C89" s="230" t="s">
        <v>1278</v>
      </c>
      <c r="D89" s="205"/>
      <c r="E89" s="204"/>
    </row>
    <row r="90" spans="1:5" ht="14.1" customHeight="1" x14ac:dyDescent="0.25">
      <c r="A90" s="173" t="s">
        <v>259</v>
      </c>
      <c r="B90" s="172" t="s">
        <v>254</v>
      </c>
      <c r="C90" s="230" t="s">
        <v>1279</v>
      </c>
      <c r="D90" s="205"/>
      <c r="E90" s="204"/>
    </row>
    <row r="91" spans="1:5" ht="14.1" customHeight="1" x14ac:dyDescent="0.25">
      <c r="A91" s="173" t="s">
        <v>260</v>
      </c>
      <c r="B91" s="172" t="s">
        <v>254</v>
      </c>
      <c r="C91" s="230" t="s">
        <v>1275</v>
      </c>
      <c r="D91" s="205"/>
      <c r="E91" s="204"/>
    </row>
    <row r="92" spans="1:5" ht="14.1" customHeight="1" x14ac:dyDescent="0.25">
      <c r="A92" s="173" t="s">
        <v>261</v>
      </c>
      <c r="B92" s="172" t="s">
        <v>254</v>
      </c>
      <c r="C92" s="226" t="s">
        <v>1276</v>
      </c>
      <c r="D92" s="256"/>
      <c r="E92" s="175"/>
    </row>
    <row r="93" spans="1:5" ht="14.1" customHeight="1" x14ac:dyDescent="0.25">
      <c r="A93" s="173" t="s">
        <v>262</v>
      </c>
      <c r="B93" s="172" t="s">
        <v>254</v>
      </c>
      <c r="C93" s="270" t="s">
        <v>1277</v>
      </c>
      <c r="D93" s="256"/>
      <c r="E93" s="175"/>
    </row>
    <row r="94" spans="1:5" ht="14.1" customHeight="1" x14ac:dyDescent="0.25">
      <c r="A94" s="173"/>
      <c r="B94" s="173"/>
      <c r="C94" s="191"/>
      <c r="D94" s="175"/>
      <c r="E94" s="175"/>
    </row>
    <row r="95" spans="1:5" ht="14.1" customHeight="1" x14ac:dyDescent="0.25">
      <c r="A95" s="208" t="s">
        <v>263</v>
      </c>
      <c r="B95" s="208"/>
      <c r="C95" s="208"/>
      <c r="D95" s="208"/>
      <c r="E95" s="208"/>
    </row>
    <row r="96" spans="1:5" ht="14.1" customHeight="1" x14ac:dyDescent="0.25">
      <c r="A96" s="257" t="s">
        <v>264</v>
      </c>
      <c r="B96" s="257"/>
      <c r="C96" s="257"/>
      <c r="D96" s="257"/>
      <c r="E96" s="257"/>
    </row>
    <row r="97" spans="1:5" ht="14.1" customHeight="1" x14ac:dyDescent="0.25">
      <c r="A97" s="173" t="s">
        <v>265</v>
      </c>
      <c r="B97" s="172" t="s">
        <v>254</v>
      </c>
      <c r="C97" s="189"/>
      <c r="D97" s="175"/>
      <c r="E97" s="175"/>
    </row>
    <row r="98" spans="1:5" ht="14.1" customHeight="1" x14ac:dyDescent="0.25">
      <c r="A98" s="173" t="s">
        <v>257</v>
      </c>
      <c r="B98" s="172" t="s">
        <v>254</v>
      </c>
      <c r="C98" s="189"/>
      <c r="D98" s="175"/>
      <c r="E98" s="175"/>
    </row>
    <row r="99" spans="1:5" ht="14.1" customHeight="1" x14ac:dyDescent="0.25">
      <c r="A99" s="173" t="s">
        <v>266</v>
      </c>
      <c r="B99" s="172" t="s">
        <v>254</v>
      </c>
      <c r="C99" s="189"/>
      <c r="D99" s="175"/>
      <c r="E99" s="175"/>
    </row>
    <row r="100" spans="1:5" ht="14.1" customHeight="1" x14ac:dyDescent="0.25">
      <c r="A100" s="257" t="s">
        <v>267</v>
      </c>
      <c r="B100" s="257"/>
      <c r="C100" s="257"/>
      <c r="D100" s="257"/>
      <c r="E100" s="257"/>
    </row>
    <row r="101" spans="1:5" ht="14.1" customHeight="1" x14ac:dyDescent="0.25">
      <c r="A101" s="173" t="s">
        <v>268</v>
      </c>
      <c r="B101" s="172" t="s">
        <v>254</v>
      </c>
      <c r="C101" s="189"/>
      <c r="D101" s="175"/>
      <c r="E101" s="175"/>
    </row>
    <row r="102" spans="1:5" ht="14.1" customHeight="1" x14ac:dyDescent="0.25">
      <c r="A102" s="173" t="s">
        <v>132</v>
      </c>
      <c r="B102" s="172" t="s">
        <v>254</v>
      </c>
      <c r="C102" s="222">
        <v>1</v>
      </c>
      <c r="D102" s="175"/>
      <c r="E102" s="175"/>
    </row>
    <row r="103" spans="1:5" ht="14.1" customHeight="1" x14ac:dyDescent="0.25">
      <c r="A103" s="257" t="s">
        <v>269</v>
      </c>
      <c r="B103" s="257"/>
      <c r="C103" s="257"/>
      <c r="D103" s="257"/>
      <c r="E103" s="257"/>
    </row>
    <row r="104" spans="1:5" ht="14.1" customHeight="1" x14ac:dyDescent="0.25">
      <c r="A104" s="173" t="s">
        <v>270</v>
      </c>
      <c r="B104" s="172" t="s">
        <v>254</v>
      </c>
      <c r="C104" s="189"/>
      <c r="D104" s="175"/>
      <c r="E104" s="175"/>
    </row>
    <row r="105" spans="1:5" ht="14.1" customHeight="1" x14ac:dyDescent="0.25">
      <c r="A105" s="173" t="s">
        <v>271</v>
      </c>
      <c r="B105" s="172" t="s">
        <v>254</v>
      </c>
      <c r="C105" s="189"/>
      <c r="D105" s="175"/>
      <c r="E105" s="175"/>
    </row>
    <row r="106" spans="1:5" ht="14.1" customHeight="1" x14ac:dyDescent="0.25">
      <c r="A106" s="173" t="s">
        <v>272</v>
      </c>
      <c r="B106" s="172" t="s">
        <v>254</v>
      </c>
      <c r="C106" s="189"/>
      <c r="D106" s="175"/>
      <c r="E106" s="175"/>
    </row>
    <row r="107" spans="1:5" ht="14.1" customHeight="1" x14ac:dyDescent="0.25">
      <c r="A107" s="173"/>
      <c r="B107" s="172"/>
      <c r="C107" s="190"/>
      <c r="D107" s="175"/>
      <c r="E107" s="175"/>
    </row>
    <row r="108" spans="1:5" ht="14.1" customHeight="1" x14ac:dyDescent="0.25">
      <c r="A108" s="207" t="s">
        <v>273</v>
      </c>
      <c r="B108" s="208"/>
      <c r="C108" s="208"/>
      <c r="D108" s="208"/>
      <c r="E108" s="208"/>
    </row>
    <row r="109" spans="1:5" ht="14.1" customHeight="1" x14ac:dyDescent="0.25">
      <c r="A109" s="173"/>
      <c r="B109" s="172"/>
      <c r="C109" s="190"/>
      <c r="D109" s="175"/>
      <c r="E109" s="175"/>
    </row>
    <row r="110" spans="1:5" ht="14.1" customHeight="1" x14ac:dyDescent="0.25">
      <c r="A110" s="171" t="s">
        <v>274</v>
      </c>
      <c r="B110" s="175"/>
      <c r="C110" s="182" t="s">
        <v>275</v>
      </c>
      <c r="D110" s="170" t="s">
        <v>215</v>
      </c>
      <c r="E110" s="175"/>
    </row>
    <row r="111" spans="1:5" ht="14.1" customHeight="1" x14ac:dyDescent="0.25">
      <c r="A111" s="173" t="s">
        <v>276</v>
      </c>
      <c r="B111" s="172" t="s">
        <v>254</v>
      </c>
      <c r="C111" s="189">
        <v>7319</v>
      </c>
      <c r="D111" s="174">
        <v>28350</v>
      </c>
      <c r="E111" s="175"/>
    </row>
    <row r="112" spans="1:5" ht="14.1" customHeight="1" x14ac:dyDescent="0.25">
      <c r="A112" s="173" t="s">
        <v>277</v>
      </c>
      <c r="B112" s="172" t="s">
        <v>254</v>
      </c>
      <c r="C112" s="189">
        <v>0</v>
      </c>
      <c r="D112" s="174">
        <v>0</v>
      </c>
      <c r="E112" s="175"/>
    </row>
    <row r="113" spans="1:5" ht="14.1" customHeight="1" x14ac:dyDescent="0.25">
      <c r="A113" s="173" t="s">
        <v>278</v>
      </c>
      <c r="B113" s="172" t="s">
        <v>254</v>
      </c>
      <c r="C113" s="189">
        <v>0</v>
      </c>
      <c r="D113" s="174">
        <v>0</v>
      </c>
      <c r="E113" s="175"/>
    </row>
    <row r="114" spans="1:5" ht="14.1" customHeight="1" x14ac:dyDescent="0.25">
      <c r="A114" s="173" t="s">
        <v>279</v>
      </c>
      <c r="B114" s="172" t="s">
        <v>254</v>
      </c>
      <c r="C114" s="189">
        <v>786</v>
      </c>
      <c r="D114" s="174">
        <v>1700</v>
      </c>
      <c r="E114" s="175"/>
    </row>
    <row r="115" spans="1:5" ht="14.1" customHeight="1" x14ac:dyDescent="0.25">
      <c r="A115" s="171" t="s">
        <v>280</v>
      </c>
      <c r="B115" s="175"/>
      <c r="C115" s="182" t="s">
        <v>167</v>
      </c>
      <c r="D115" s="175"/>
      <c r="E115" s="175"/>
    </row>
    <row r="116" spans="1:5" ht="14.1" customHeight="1" x14ac:dyDescent="0.25">
      <c r="A116" s="173" t="s">
        <v>281</v>
      </c>
      <c r="B116" s="172" t="s">
        <v>254</v>
      </c>
      <c r="C116" s="189">
        <v>12</v>
      </c>
      <c r="D116" s="175"/>
      <c r="E116" s="175"/>
    </row>
    <row r="117" spans="1:5" ht="14.1" customHeight="1" x14ac:dyDescent="0.25">
      <c r="A117" s="173" t="s">
        <v>282</v>
      </c>
      <c r="B117" s="172" t="s">
        <v>254</v>
      </c>
      <c r="C117" s="189">
        <v>6</v>
      </c>
      <c r="D117" s="175"/>
      <c r="E117" s="175"/>
    </row>
    <row r="118" spans="1:5" ht="14.1" customHeight="1" x14ac:dyDescent="0.25">
      <c r="A118" s="173" t="s">
        <v>1237</v>
      </c>
      <c r="B118" s="172" t="s">
        <v>254</v>
      </c>
      <c r="C118" s="189">
        <v>126</v>
      </c>
      <c r="D118" s="175"/>
      <c r="E118" s="175"/>
    </row>
    <row r="119" spans="1:5" ht="14.1" customHeight="1" x14ac:dyDescent="0.25">
      <c r="A119" s="173" t="s">
        <v>283</v>
      </c>
      <c r="B119" s="172" t="s">
        <v>254</v>
      </c>
      <c r="C119" s="189">
        <v>0</v>
      </c>
      <c r="D119" s="175"/>
      <c r="E119" s="175"/>
    </row>
    <row r="120" spans="1:5" ht="14.1" customHeight="1" x14ac:dyDescent="0.25">
      <c r="A120" s="173" t="s">
        <v>284</v>
      </c>
      <c r="B120" s="172" t="s">
        <v>254</v>
      </c>
      <c r="C120" s="189">
        <v>14</v>
      </c>
      <c r="D120" s="175"/>
      <c r="E120" s="175"/>
    </row>
    <row r="121" spans="1:5" ht="14.1" customHeight="1" x14ac:dyDescent="0.25">
      <c r="A121" s="173" t="s">
        <v>285</v>
      </c>
      <c r="B121" s="172" t="s">
        <v>254</v>
      </c>
      <c r="C121" s="189">
        <v>0</v>
      </c>
      <c r="D121" s="175"/>
      <c r="E121" s="175"/>
    </row>
    <row r="122" spans="1:5" ht="14.1" customHeight="1" x14ac:dyDescent="0.25">
      <c r="A122" s="173" t="s">
        <v>97</v>
      </c>
      <c r="B122" s="172" t="s">
        <v>254</v>
      </c>
      <c r="C122" s="189">
        <v>22</v>
      </c>
      <c r="D122" s="175"/>
      <c r="E122" s="175"/>
    </row>
    <row r="123" spans="1:5" ht="14.1" customHeight="1" x14ac:dyDescent="0.25">
      <c r="A123" s="173" t="s">
        <v>286</v>
      </c>
      <c r="B123" s="172" t="s">
        <v>254</v>
      </c>
      <c r="C123" s="189">
        <v>0</v>
      </c>
      <c r="D123" s="175"/>
      <c r="E123" s="175"/>
    </row>
    <row r="124" spans="1:5" ht="14.1" customHeight="1" x14ac:dyDescent="0.25">
      <c r="A124" s="173" t="s">
        <v>287</v>
      </c>
      <c r="B124" s="172"/>
      <c r="C124" s="189">
        <v>0</v>
      </c>
      <c r="D124" s="175"/>
      <c r="E124" s="175"/>
    </row>
    <row r="125" spans="1:5" ht="14.1" customHeight="1" x14ac:dyDescent="0.25">
      <c r="A125" s="173" t="s">
        <v>278</v>
      </c>
      <c r="B125" s="172" t="s">
        <v>254</v>
      </c>
      <c r="C125" s="189">
        <v>0</v>
      </c>
      <c r="D125" s="175"/>
      <c r="E125" s="175"/>
    </row>
    <row r="126" spans="1:5" ht="14.1" customHeight="1" x14ac:dyDescent="0.25">
      <c r="A126" s="173" t="s">
        <v>288</v>
      </c>
      <c r="B126" s="172" t="s">
        <v>254</v>
      </c>
      <c r="C126" s="189">
        <v>0</v>
      </c>
      <c r="D126" s="175"/>
      <c r="E126" s="175"/>
    </row>
    <row r="127" spans="1:5" ht="14.1" customHeight="1" x14ac:dyDescent="0.25">
      <c r="A127" s="173" t="s">
        <v>289</v>
      </c>
      <c r="B127" s="175"/>
      <c r="C127" s="191"/>
      <c r="D127" s="175"/>
      <c r="E127" s="175">
        <f>SUM(C116:C126)</f>
        <v>180</v>
      </c>
    </row>
    <row r="128" spans="1:5" ht="14.1" customHeight="1" x14ac:dyDescent="0.25">
      <c r="A128" s="173" t="s">
        <v>290</v>
      </c>
      <c r="B128" s="172" t="s">
        <v>254</v>
      </c>
      <c r="C128" s="189">
        <v>346</v>
      </c>
      <c r="D128" s="175"/>
      <c r="E128" s="175"/>
    </row>
    <row r="129" spans="1:6" ht="14.1" customHeight="1" x14ac:dyDescent="0.25">
      <c r="A129" s="173" t="s">
        <v>291</v>
      </c>
      <c r="B129" s="172" t="s">
        <v>254</v>
      </c>
      <c r="C129" s="189">
        <v>14</v>
      </c>
      <c r="D129" s="175"/>
      <c r="E129" s="175"/>
    </row>
    <row r="130" spans="1:6" ht="14.1" customHeight="1" x14ac:dyDescent="0.25">
      <c r="A130" s="173"/>
      <c r="B130" s="175"/>
      <c r="C130" s="191"/>
      <c r="D130" s="175"/>
      <c r="E130" s="175"/>
    </row>
    <row r="131" spans="1:6" ht="14.1" customHeight="1" x14ac:dyDescent="0.25">
      <c r="A131" s="173" t="s">
        <v>292</v>
      </c>
      <c r="B131" s="172" t="s">
        <v>254</v>
      </c>
      <c r="C131" s="189">
        <v>0</v>
      </c>
      <c r="D131" s="175"/>
      <c r="E131" s="175"/>
    </row>
    <row r="132" spans="1:6" ht="14.1" customHeight="1" x14ac:dyDescent="0.25">
      <c r="A132" s="173"/>
      <c r="B132" s="173"/>
      <c r="C132" s="191"/>
      <c r="D132" s="175"/>
      <c r="E132" s="175"/>
    </row>
    <row r="133" spans="1:6" ht="14.1" customHeight="1" x14ac:dyDescent="0.25">
      <c r="A133" s="173"/>
      <c r="B133" s="173"/>
      <c r="C133" s="191"/>
      <c r="D133" s="175"/>
      <c r="E133" s="175"/>
    </row>
    <row r="134" spans="1:6" ht="14.1" customHeight="1" x14ac:dyDescent="0.25">
      <c r="A134" s="173"/>
      <c r="B134" s="173"/>
      <c r="C134" s="191"/>
      <c r="D134" s="175"/>
      <c r="E134" s="175"/>
    </row>
    <row r="135" spans="1:6" ht="14.1" customHeight="1" x14ac:dyDescent="0.25">
      <c r="A135" s="173"/>
      <c r="B135" s="173"/>
      <c r="C135" s="191"/>
      <c r="D135" s="175"/>
      <c r="E135" s="175"/>
    </row>
    <row r="136" spans="1:6" ht="14.1" customHeight="1" x14ac:dyDescent="0.25">
      <c r="A136" s="208" t="s">
        <v>1238</v>
      </c>
      <c r="B136" s="207"/>
      <c r="C136" s="207"/>
      <c r="D136" s="207"/>
      <c r="E136" s="207"/>
    </row>
    <row r="137" spans="1:6" ht="14.1" customHeight="1" x14ac:dyDescent="0.25">
      <c r="A137" s="258" t="s">
        <v>293</v>
      </c>
      <c r="B137" s="176" t="s">
        <v>294</v>
      </c>
      <c r="C137" s="192" t="s">
        <v>295</v>
      </c>
      <c r="D137" s="176" t="s">
        <v>132</v>
      </c>
      <c r="E137" s="176" t="s">
        <v>203</v>
      </c>
    </row>
    <row r="138" spans="1:6" ht="14.1" customHeight="1" x14ac:dyDescent="0.25">
      <c r="A138" s="173" t="s">
        <v>275</v>
      </c>
      <c r="B138" s="174">
        <v>4211</v>
      </c>
      <c r="C138" s="189">
        <v>1909</v>
      </c>
      <c r="D138" s="174">
        <v>1199</v>
      </c>
      <c r="E138" s="175">
        <f>SUM(B138:D138)</f>
        <v>7319</v>
      </c>
    </row>
    <row r="139" spans="1:6" ht="14.1" customHeight="1" x14ac:dyDescent="0.25">
      <c r="A139" s="173" t="s">
        <v>215</v>
      </c>
      <c r="B139" s="174">
        <v>17615</v>
      </c>
      <c r="C139" s="189">
        <v>7010</v>
      </c>
      <c r="D139" s="174">
        <v>3725</v>
      </c>
      <c r="E139" s="175">
        <f>SUM(B139:D139)</f>
        <v>28350</v>
      </c>
    </row>
    <row r="140" spans="1:6" ht="14.1" customHeight="1" x14ac:dyDescent="0.25">
      <c r="A140" s="173" t="s">
        <v>296</v>
      </c>
      <c r="B140" s="174">
        <v>14996</v>
      </c>
      <c r="C140" s="174">
        <v>62064</v>
      </c>
      <c r="D140" s="174">
        <v>35738</v>
      </c>
      <c r="E140" s="175">
        <f>SUM(B140:D140)</f>
        <v>112798</v>
      </c>
    </row>
    <row r="141" spans="1:6" ht="14.1" customHeight="1" x14ac:dyDescent="0.25">
      <c r="A141" s="173" t="s">
        <v>243</v>
      </c>
      <c r="B141" s="174">
        <v>168576399</v>
      </c>
      <c r="C141" s="189">
        <v>72754676</v>
      </c>
      <c r="D141" s="174">
        <v>47866145.320000112</v>
      </c>
      <c r="E141" s="175">
        <f>SUM(B141:D141)</f>
        <v>289197220.32000011</v>
      </c>
      <c r="F141" s="199"/>
    </row>
    <row r="142" spans="1:6" ht="14.1" customHeight="1" x14ac:dyDescent="0.25">
      <c r="A142" s="173" t="s">
        <v>244</v>
      </c>
      <c r="B142" s="174">
        <v>205101863</v>
      </c>
      <c r="C142" s="189">
        <v>147406553</v>
      </c>
      <c r="D142" s="174">
        <v>138767899.37999994</v>
      </c>
      <c r="E142" s="175">
        <f>SUM(B142:D142)</f>
        <v>491276315.37999994</v>
      </c>
      <c r="F142" s="199"/>
    </row>
    <row r="143" spans="1:6" ht="14.1" customHeight="1" x14ac:dyDescent="0.25">
      <c r="A143" s="258" t="s">
        <v>297</v>
      </c>
      <c r="B143" s="176" t="s">
        <v>294</v>
      </c>
      <c r="C143" s="192" t="s">
        <v>295</v>
      </c>
      <c r="D143" s="176" t="s">
        <v>132</v>
      </c>
      <c r="E143" s="176" t="s">
        <v>203</v>
      </c>
    </row>
    <row r="144" spans="1:6" ht="14.1" customHeight="1" x14ac:dyDescent="0.25">
      <c r="A144" s="173" t="s">
        <v>275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4.1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4.1" customHeight="1" x14ac:dyDescent="0.25">
      <c r="A146" s="173" t="s">
        <v>296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4.1" customHeight="1" x14ac:dyDescent="0.25">
      <c r="A147" s="173" t="s">
        <v>243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4.1" customHeight="1" x14ac:dyDescent="0.25">
      <c r="A148" s="173" t="s">
        <v>244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4.1" customHeight="1" x14ac:dyDescent="0.25">
      <c r="A149" s="258" t="s">
        <v>298</v>
      </c>
      <c r="B149" s="176" t="s">
        <v>294</v>
      </c>
      <c r="C149" s="192" t="s">
        <v>295</v>
      </c>
      <c r="D149" s="176" t="s">
        <v>132</v>
      </c>
      <c r="E149" s="176" t="s">
        <v>203</v>
      </c>
    </row>
    <row r="150" spans="1:5" ht="14.1" customHeight="1" x14ac:dyDescent="0.25">
      <c r="A150" s="173" t="s">
        <v>275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4.1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4.1" customHeight="1" x14ac:dyDescent="0.25">
      <c r="A152" s="173" t="s">
        <v>296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4.1" customHeight="1" x14ac:dyDescent="0.25">
      <c r="A153" s="173" t="s">
        <v>243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4.1" customHeight="1" x14ac:dyDescent="0.25">
      <c r="A154" s="173" t="s">
        <v>244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4.1" customHeight="1" x14ac:dyDescent="0.25">
      <c r="A155" s="177"/>
      <c r="B155" s="177"/>
      <c r="C155" s="193"/>
      <c r="D155" s="178"/>
      <c r="E155" s="175"/>
    </row>
    <row r="156" spans="1:5" ht="14.1" customHeight="1" x14ac:dyDescent="0.25">
      <c r="A156" s="258" t="s">
        <v>299</v>
      </c>
      <c r="B156" s="176" t="s">
        <v>300</v>
      </c>
      <c r="C156" s="192" t="s">
        <v>301</v>
      </c>
      <c r="D156" s="175"/>
      <c r="E156" s="175"/>
    </row>
    <row r="157" spans="1:5" ht="14.1" customHeight="1" x14ac:dyDescent="0.25">
      <c r="A157" s="177" t="s">
        <v>302</v>
      </c>
      <c r="B157" s="174">
        <v>36013471.690000013</v>
      </c>
      <c r="C157" s="174">
        <v>63230868.390000135</v>
      </c>
      <c r="D157" s="175"/>
      <c r="E157" s="175"/>
    </row>
    <row r="158" spans="1:5" ht="14.1" customHeight="1" x14ac:dyDescent="0.25">
      <c r="A158" s="177"/>
      <c r="B158" s="178"/>
      <c r="C158" s="193"/>
      <c r="D158" s="175"/>
      <c r="E158" s="175"/>
    </row>
    <row r="159" spans="1:5" ht="14.1" customHeight="1" x14ac:dyDescent="0.25">
      <c r="A159" s="177"/>
      <c r="B159" s="177"/>
      <c r="C159" s="193"/>
      <c r="D159" s="178"/>
      <c r="E159" s="175"/>
    </row>
    <row r="160" spans="1:5" ht="14.1" customHeight="1" x14ac:dyDescent="0.25">
      <c r="A160" s="177"/>
      <c r="B160" s="177"/>
      <c r="C160" s="193"/>
      <c r="D160" s="178"/>
      <c r="E160" s="175"/>
    </row>
    <row r="161" spans="1:5" ht="14.1" customHeight="1" x14ac:dyDescent="0.25">
      <c r="A161" s="177"/>
      <c r="B161" s="177"/>
      <c r="C161" s="193"/>
      <c r="D161" s="178"/>
      <c r="E161" s="175"/>
    </row>
    <row r="162" spans="1:5" ht="14.1" customHeight="1" x14ac:dyDescent="0.25">
      <c r="A162" s="177"/>
      <c r="B162" s="177"/>
      <c r="C162" s="193"/>
      <c r="D162" s="178"/>
      <c r="E162" s="175"/>
    </row>
    <row r="163" spans="1:5" ht="14.1" customHeight="1" x14ac:dyDescent="0.25">
      <c r="A163" s="207" t="s">
        <v>303</v>
      </c>
      <c r="B163" s="208"/>
      <c r="C163" s="208"/>
      <c r="D163" s="208"/>
      <c r="E163" s="208"/>
    </row>
    <row r="164" spans="1:5" ht="14.1" customHeight="1" x14ac:dyDescent="0.25">
      <c r="A164" s="257" t="s">
        <v>304</v>
      </c>
      <c r="B164" s="257"/>
      <c r="C164" s="257"/>
      <c r="D164" s="257"/>
      <c r="E164" s="257"/>
    </row>
    <row r="165" spans="1:5" ht="14.1" customHeight="1" x14ac:dyDescent="0.25">
      <c r="A165" s="173" t="s">
        <v>305</v>
      </c>
      <c r="B165" s="172" t="s">
        <v>254</v>
      </c>
      <c r="C165" s="189">
        <v>7692805.6499999994</v>
      </c>
      <c r="D165" s="175"/>
      <c r="E165" s="175"/>
    </row>
    <row r="166" spans="1:5" ht="14.1" customHeight="1" x14ac:dyDescent="0.25">
      <c r="A166" s="173" t="s">
        <v>306</v>
      </c>
      <c r="B166" s="172" t="s">
        <v>254</v>
      </c>
      <c r="C166" s="189">
        <v>228954.36000000004</v>
      </c>
      <c r="D166" s="175"/>
      <c r="E166" s="175"/>
    </row>
    <row r="167" spans="1:5" ht="14.1" customHeight="1" x14ac:dyDescent="0.25">
      <c r="A167" s="177" t="s">
        <v>307</v>
      </c>
      <c r="B167" s="172" t="s">
        <v>254</v>
      </c>
      <c r="C167" s="189">
        <v>654846.06000000017</v>
      </c>
      <c r="D167" s="175"/>
      <c r="E167" s="175"/>
    </row>
    <row r="168" spans="1:5" ht="14.1" customHeight="1" x14ac:dyDescent="0.25">
      <c r="A168" s="173" t="s">
        <v>308</v>
      </c>
      <c r="B168" s="172" t="s">
        <v>254</v>
      </c>
      <c r="C168" s="189">
        <v>13339999.840000013</v>
      </c>
      <c r="D168" s="175"/>
      <c r="E168" s="175"/>
    </row>
    <row r="169" spans="1:5" ht="14.1" customHeight="1" x14ac:dyDescent="0.25">
      <c r="A169" s="173" t="s">
        <v>309</v>
      </c>
      <c r="B169" s="172" t="s">
        <v>254</v>
      </c>
      <c r="C169" s="189">
        <v>70819.620000000024</v>
      </c>
      <c r="D169" s="175"/>
      <c r="E169" s="175"/>
    </row>
    <row r="170" spans="1:5" ht="14.1" customHeight="1" x14ac:dyDescent="0.25">
      <c r="A170" s="173" t="s">
        <v>310</v>
      </c>
      <c r="B170" s="172" t="s">
        <v>254</v>
      </c>
      <c r="C170" s="189">
        <v>7271198.6800000034</v>
      </c>
      <c r="D170" s="175"/>
      <c r="E170" s="175"/>
    </row>
    <row r="171" spans="1:5" ht="14.1" customHeight="1" x14ac:dyDescent="0.25">
      <c r="A171" s="173" t="s">
        <v>311</v>
      </c>
      <c r="B171" s="172" t="s">
        <v>254</v>
      </c>
      <c r="C171" s="189">
        <v>906290</v>
      </c>
      <c r="D171" s="175"/>
      <c r="E171" s="175"/>
    </row>
    <row r="172" spans="1:5" ht="14.1" customHeight="1" x14ac:dyDescent="0.25">
      <c r="A172" s="173" t="s">
        <v>311</v>
      </c>
      <c r="B172" s="172" t="s">
        <v>254</v>
      </c>
      <c r="C172" s="189">
        <v>0</v>
      </c>
      <c r="D172" s="175"/>
      <c r="E172" s="175"/>
    </row>
    <row r="173" spans="1:5" ht="14.1" customHeight="1" x14ac:dyDescent="0.25">
      <c r="A173" s="173" t="s">
        <v>203</v>
      </c>
      <c r="B173" s="175"/>
      <c r="C173" s="191"/>
      <c r="D173" s="175">
        <f>SUM(C165:C172)</f>
        <v>30164914.210000016</v>
      </c>
      <c r="E173" s="175"/>
    </row>
    <row r="174" spans="1:5" ht="14.1" customHeight="1" x14ac:dyDescent="0.25">
      <c r="A174" s="257" t="s">
        <v>312</v>
      </c>
      <c r="B174" s="257"/>
      <c r="C174" s="257"/>
      <c r="D174" s="257"/>
      <c r="E174" s="257"/>
    </row>
    <row r="175" spans="1:5" ht="14.1" customHeight="1" x14ac:dyDescent="0.25">
      <c r="A175" s="173" t="s">
        <v>313</v>
      </c>
      <c r="B175" s="172" t="s">
        <v>254</v>
      </c>
      <c r="C175" s="189">
        <v>253999.32</v>
      </c>
      <c r="D175" s="175"/>
      <c r="E175" s="175"/>
    </row>
    <row r="176" spans="1:5" ht="14.1" customHeight="1" x14ac:dyDescent="0.25">
      <c r="A176" s="173" t="s">
        <v>314</v>
      </c>
      <c r="B176" s="172" t="s">
        <v>254</v>
      </c>
      <c r="C176" s="189">
        <v>415989.2900000001</v>
      </c>
      <c r="D176" s="175"/>
      <c r="E176" s="175"/>
    </row>
    <row r="177" spans="1:5" ht="14.1" customHeight="1" x14ac:dyDescent="0.25">
      <c r="A177" s="173" t="s">
        <v>203</v>
      </c>
      <c r="B177" s="175"/>
      <c r="C177" s="191"/>
      <c r="D177" s="175">
        <f>SUM(C175:C176)</f>
        <v>669988.6100000001</v>
      </c>
      <c r="E177" s="175"/>
    </row>
    <row r="178" spans="1:5" ht="14.1" customHeight="1" x14ac:dyDescent="0.25">
      <c r="A178" s="257" t="s">
        <v>315</v>
      </c>
      <c r="B178" s="257"/>
      <c r="C178" s="257"/>
      <c r="D178" s="257"/>
      <c r="E178" s="257"/>
    </row>
    <row r="179" spans="1:5" ht="14.1" customHeight="1" x14ac:dyDescent="0.25">
      <c r="A179" s="173" t="s">
        <v>316</v>
      </c>
      <c r="B179" s="172" t="s">
        <v>254</v>
      </c>
      <c r="C179" s="189">
        <v>1640417.6400000004</v>
      </c>
      <c r="D179" s="175"/>
      <c r="E179" s="175"/>
    </row>
    <row r="180" spans="1:5" ht="14.1" customHeight="1" x14ac:dyDescent="0.25">
      <c r="A180" s="173" t="s">
        <v>317</v>
      </c>
      <c r="B180" s="172" t="s">
        <v>254</v>
      </c>
      <c r="C180" s="189">
        <v>554536.0299999998</v>
      </c>
      <c r="D180" s="175"/>
      <c r="E180" s="175"/>
    </row>
    <row r="181" spans="1:5" ht="14.1" customHeight="1" x14ac:dyDescent="0.25">
      <c r="A181" s="173" t="s">
        <v>203</v>
      </c>
      <c r="B181" s="175"/>
      <c r="C181" s="191"/>
      <c r="D181" s="175">
        <f>SUM(C179:C180)</f>
        <v>2194953.67</v>
      </c>
      <c r="E181" s="175"/>
    </row>
    <row r="182" spans="1:5" ht="14.1" customHeight="1" x14ac:dyDescent="0.25">
      <c r="A182" s="257" t="s">
        <v>318</v>
      </c>
      <c r="B182" s="257"/>
      <c r="C182" s="257"/>
      <c r="D182" s="257"/>
      <c r="E182" s="257"/>
    </row>
    <row r="183" spans="1:5" ht="14.1" customHeight="1" x14ac:dyDescent="0.25">
      <c r="A183" s="173" t="s">
        <v>319</v>
      </c>
      <c r="B183" s="172" t="s">
        <v>254</v>
      </c>
      <c r="C183" s="189">
        <v>296106.35999999993</v>
      </c>
      <c r="D183" s="175"/>
      <c r="E183" s="175"/>
    </row>
    <row r="184" spans="1:5" ht="14.1" customHeight="1" x14ac:dyDescent="0.25">
      <c r="A184" s="173" t="s">
        <v>320</v>
      </c>
      <c r="B184" s="172" t="s">
        <v>254</v>
      </c>
      <c r="C184" s="189">
        <v>6069637.5200000005</v>
      </c>
      <c r="D184" s="175"/>
      <c r="E184" s="175"/>
    </row>
    <row r="185" spans="1:5" ht="14.1" customHeight="1" x14ac:dyDescent="0.25">
      <c r="A185" s="173" t="s">
        <v>132</v>
      </c>
      <c r="B185" s="172" t="s">
        <v>254</v>
      </c>
      <c r="C185" s="189">
        <v>0</v>
      </c>
      <c r="D185" s="175"/>
      <c r="E185" s="175"/>
    </row>
    <row r="186" spans="1:5" ht="14.1" customHeight="1" x14ac:dyDescent="0.25">
      <c r="A186" s="173" t="s">
        <v>203</v>
      </c>
      <c r="B186" s="175"/>
      <c r="C186" s="191"/>
      <c r="D186" s="175">
        <f>SUM(C183:C185)</f>
        <v>6365743.8800000008</v>
      </c>
      <c r="E186" s="175"/>
    </row>
    <row r="187" spans="1:5" ht="14.1" customHeight="1" x14ac:dyDescent="0.25">
      <c r="A187" s="257" t="s">
        <v>321</v>
      </c>
      <c r="B187" s="257"/>
      <c r="C187" s="257"/>
      <c r="D187" s="257"/>
      <c r="E187" s="257"/>
    </row>
    <row r="188" spans="1:5" ht="14.1" customHeight="1" x14ac:dyDescent="0.25">
      <c r="A188" s="173" t="s">
        <v>322</v>
      </c>
      <c r="B188" s="172" t="s">
        <v>254</v>
      </c>
      <c r="C188" s="189">
        <v>0</v>
      </c>
      <c r="D188" s="175"/>
      <c r="E188" s="175"/>
    </row>
    <row r="189" spans="1:5" ht="14.1" customHeight="1" x14ac:dyDescent="0.25">
      <c r="A189" s="173" t="s">
        <v>323</v>
      </c>
      <c r="B189" s="172" t="s">
        <v>254</v>
      </c>
      <c r="C189" s="189">
        <v>61699.830000000009</v>
      </c>
      <c r="D189" s="175"/>
      <c r="E189" s="175"/>
    </row>
    <row r="190" spans="1:5" ht="14.1" customHeight="1" x14ac:dyDescent="0.25">
      <c r="A190" s="173" t="s">
        <v>203</v>
      </c>
      <c r="B190" s="175"/>
      <c r="C190" s="191"/>
      <c r="D190" s="175">
        <f>SUM(C188:C189)</f>
        <v>61699.830000000009</v>
      </c>
      <c r="E190" s="175"/>
    </row>
    <row r="191" spans="1:5" ht="14.1" customHeight="1" x14ac:dyDescent="0.25">
      <c r="A191" s="173"/>
      <c r="B191" s="175"/>
      <c r="C191" s="191"/>
      <c r="D191" s="175"/>
      <c r="E191" s="175"/>
    </row>
    <row r="192" spans="1:5" ht="14.1" customHeight="1" x14ac:dyDescent="0.25">
      <c r="A192" s="208" t="s">
        <v>324</v>
      </c>
      <c r="B192" s="208"/>
      <c r="C192" s="208"/>
      <c r="D192" s="208"/>
      <c r="E192" s="208"/>
    </row>
    <row r="193" spans="1:8" ht="14.1" customHeight="1" x14ac:dyDescent="0.25">
      <c r="A193" s="207" t="s">
        <v>325</v>
      </c>
      <c r="B193" s="208"/>
      <c r="C193" s="208"/>
      <c r="D193" s="208"/>
      <c r="E193" s="208"/>
    </row>
    <row r="194" spans="1:8" ht="14.1" customHeight="1" x14ac:dyDescent="0.25">
      <c r="A194" s="171"/>
      <c r="B194" s="170" t="s">
        <v>326</v>
      </c>
      <c r="C194" s="182" t="s">
        <v>327</v>
      </c>
      <c r="D194" s="170" t="s">
        <v>328</v>
      </c>
      <c r="E194" s="170" t="s">
        <v>329</v>
      </c>
    </row>
    <row r="195" spans="1:8" ht="14.1" customHeight="1" x14ac:dyDescent="0.25">
      <c r="A195" s="173" t="s">
        <v>330</v>
      </c>
      <c r="B195" s="174">
        <v>3531052</v>
      </c>
      <c r="C195" s="189">
        <v>0</v>
      </c>
      <c r="D195" s="174">
        <v>0</v>
      </c>
      <c r="E195" s="175">
        <f t="shared" ref="E195:E203" si="10">SUM(B195:C195)-D195</f>
        <v>3531052</v>
      </c>
    </row>
    <row r="196" spans="1:8" ht="14.1" customHeight="1" x14ac:dyDescent="0.25">
      <c r="A196" s="173" t="s">
        <v>331</v>
      </c>
      <c r="B196" s="174">
        <v>2705104.98</v>
      </c>
      <c r="C196" s="189">
        <v>0</v>
      </c>
      <c r="D196" s="174">
        <v>0</v>
      </c>
      <c r="E196" s="175">
        <f t="shared" si="10"/>
        <v>2705104.98</v>
      </c>
    </row>
    <row r="197" spans="1:8" ht="14.1" customHeight="1" x14ac:dyDescent="0.25">
      <c r="A197" s="173" t="s">
        <v>332</v>
      </c>
      <c r="B197" s="174">
        <v>165401086.83000001</v>
      </c>
      <c r="C197" s="189">
        <v>434968.58999999997</v>
      </c>
      <c r="D197" s="174">
        <v>522.98</v>
      </c>
      <c r="E197" s="175">
        <f t="shared" si="10"/>
        <v>165835532.44000003</v>
      </c>
    </row>
    <row r="198" spans="1:8" ht="14.1" customHeight="1" x14ac:dyDescent="0.25">
      <c r="A198" s="173" t="s">
        <v>333</v>
      </c>
      <c r="B198" s="174">
        <v>17462279.579999998</v>
      </c>
      <c r="C198" s="189">
        <v>1508585.6800000002</v>
      </c>
      <c r="D198" s="174">
        <v>3888.6</v>
      </c>
      <c r="E198" s="175">
        <f t="shared" si="10"/>
        <v>18966976.659999996</v>
      </c>
    </row>
    <row r="199" spans="1:8" ht="14.1" customHeight="1" x14ac:dyDescent="0.25">
      <c r="A199" s="173" t="s">
        <v>334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4.1" customHeight="1" x14ac:dyDescent="0.25">
      <c r="A200" s="173" t="s">
        <v>335</v>
      </c>
      <c r="B200" s="174">
        <v>64687768.919999994</v>
      </c>
      <c r="C200" s="189">
        <v>3703250.2199999993</v>
      </c>
      <c r="D200" s="174">
        <v>3791575.19</v>
      </c>
      <c r="E200" s="175">
        <f t="shared" si="10"/>
        <v>64599443.950000003</v>
      </c>
    </row>
    <row r="201" spans="1:8" ht="14.1" customHeight="1" x14ac:dyDescent="0.25">
      <c r="A201" s="173" t="s">
        <v>336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4.1" customHeight="1" x14ac:dyDescent="0.25">
      <c r="A202" s="173" t="s">
        <v>337</v>
      </c>
      <c r="B202" s="174">
        <v>233639.38999999998</v>
      </c>
      <c r="C202" s="189">
        <v>26685.059999999998</v>
      </c>
      <c r="D202" s="174">
        <v>0</v>
      </c>
      <c r="E202" s="175">
        <f t="shared" si="10"/>
        <v>260324.44999999998</v>
      </c>
    </row>
    <row r="203" spans="1:8" ht="14.1" customHeight="1" x14ac:dyDescent="0.25">
      <c r="A203" s="173" t="s">
        <v>338</v>
      </c>
      <c r="B203" s="174">
        <v>462099.73000000045</v>
      </c>
      <c r="C203" s="189">
        <v>783444.40000000037</v>
      </c>
      <c r="D203" s="174">
        <v>0</v>
      </c>
      <c r="E203" s="175">
        <f t="shared" si="10"/>
        <v>1245544.1300000008</v>
      </c>
    </row>
    <row r="204" spans="1:8" ht="14.1" customHeight="1" x14ac:dyDescent="0.25">
      <c r="A204" s="173" t="s">
        <v>203</v>
      </c>
      <c r="B204" s="175">
        <f>SUM(B195:B203)</f>
        <v>254483031.42999995</v>
      </c>
      <c r="C204" s="191">
        <f>SUM(C195:C203)</f>
        <v>6456933.9499999993</v>
      </c>
      <c r="D204" s="175">
        <f>SUM(D195:D203)</f>
        <v>3795986.77</v>
      </c>
      <c r="E204" s="175">
        <f>SUM(E195:E203)</f>
        <v>257143978.61000001</v>
      </c>
    </row>
    <row r="205" spans="1:8" ht="14.1" customHeight="1" x14ac:dyDescent="0.25">
      <c r="A205" s="173"/>
      <c r="B205" s="173"/>
      <c r="C205" s="191"/>
      <c r="D205" s="175"/>
      <c r="E205" s="175"/>
    </row>
    <row r="206" spans="1:8" ht="14.1" customHeight="1" x14ac:dyDescent="0.25">
      <c r="A206" s="207" t="s">
        <v>339</v>
      </c>
      <c r="B206" s="207"/>
      <c r="C206" s="207"/>
      <c r="D206" s="207"/>
      <c r="E206" s="207"/>
    </row>
    <row r="207" spans="1:8" ht="14.1" customHeight="1" x14ac:dyDescent="0.25">
      <c r="A207" s="171"/>
      <c r="B207" s="170" t="s">
        <v>326</v>
      </c>
      <c r="C207" s="182" t="s">
        <v>327</v>
      </c>
      <c r="D207" s="170" t="s">
        <v>328</v>
      </c>
      <c r="E207" s="170" t="s">
        <v>329</v>
      </c>
      <c r="H207" s="259"/>
    </row>
    <row r="208" spans="1:8" ht="14.1" customHeight="1" x14ac:dyDescent="0.25">
      <c r="A208" s="173" t="s">
        <v>330</v>
      </c>
      <c r="B208" s="178"/>
      <c r="C208" s="193"/>
      <c r="D208" s="178"/>
      <c r="E208" s="175"/>
      <c r="H208" s="259"/>
    </row>
    <row r="209" spans="1:8" ht="14.1" customHeight="1" x14ac:dyDescent="0.25">
      <c r="A209" s="173" t="s">
        <v>331</v>
      </c>
      <c r="B209" s="174">
        <v>2023949.79</v>
      </c>
      <c r="C209" s="189">
        <v>70401.600000000006</v>
      </c>
      <c r="D209" s="174">
        <v>0</v>
      </c>
      <c r="E209" s="175">
        <f t="shared" ref="E209:E216" si="11">SUM(B209:C209)-D209</f>
        <v>2094351.3900000001</v>
      </c>
      <c r="H209" s="259"/>
    </row>
    <row r="210" spans="1:8" ht="14.1" customHeight="1" x14ac:dyDescent="0.25">
      <c r="A210" s="173" t="s">
        <v>332</v>
      </c>
      <c r="B210" s="174">
        <v>99111297.250000015</v>
      </c>
      <c r="C210" s="189">
        <v>5303819.0599999996</v>
      </c>
      <c r="D210" s="174">
        <v>522.98</v>
      </c>
      <c r="E210" s="175">
        <f t="shared" si="11"/>
        <v>104414593.33000001</v>
      </c>
      <c r="H210" s="259"/>
    </row>
    <row r="211" spans="1:8" ht="14.1" customHeight="1" x14ac:dyDescent="0.25">
      <c r="A211" s="173" t="s">
        <v>333</v>
      </c>
      <c r="B211" s="174">
        <v>8792643.4700000007</v>
      </c>
      <c r="C211" s="189">
        <v>819187.24</v>
      </c>
      <c r="D211" s="174">
        <v>3888.6</v>
      </c>
      <c r="E211" s="175">
        <f t="shared" si="11"/>
        <v>9607942.1100000013</v>
      </c>
      <c r="H211" s="259"/>
    </row>
    <row r="212" spans="1:8" ht="14.1" customHeight="1" x14ac:dyDescent="0.25">
      <c r="A212" s="173" t="s">
        <v>334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4.1" customHeight="1" x14ac:dyDescent="0.25">
      <c r="A213" s="173" t="s">
        <v>335</v>
      </c>
      <c r="B213" s="174">
        <v>51804666.620000005</v>
      </c>
      <c r="C213" s="189">
        <v>2138805.5699999994</v>
      </c>
      <c r="D213" s="174">
        <v>3692000.68</v>
      </c>
      <c r="E213" s="175">
        <f t="shared" si="11"/>
        <v>50251471.510000005</v>
      </c>
      <c r="H213" s="259"/>
    </row>
    <row r="214" spans="1:8" ht="14.1" customHeight="1" x14ac:dyDescent="0.25">
      <c r="A214" s="173" t="s">
        <v>336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4.1" customHeight="1" x14ac:dyDescent="0.25">
      <c r="A215" s="173" t="s">
        <v>337</v>
      </c>
      <c r="B215" s="174">
        <v>205649.59</v>
      </c>
      <c r="C215" s="189">
        <v>9065.8100000000013</v>
      </c>
      <c r="D215" s="174">
        <v>0</v>
      </c>
      <c r="E215" s="175">
        <f t="shared" si="11"/>
        <v>214715.4</v>
      </c>
      <c r="H215" s="259"/>
    </row>
    <row r="216" spans="1:8" ht="14.1" customHeight="1" x14ac:dyDescent="0.25">
      <c r="A216" s="173" t="s">
        <v>338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4.1" customHeight="1" x14ac:dyDescent="0.25">
      <c r="A217" s="173" t="s">
        <v>203</v>
      </c>
      <c r="B217" s="175">
        <f>SUM(B208:B216)</f>
        <v>161938206.72000003</v>
      </c>
      <c r="C217" s="191">
        <f>SUM(C208:C216)</f>
        <v>8341279.2799999984</v>
      </c>
      <c r="D217" s="175">
        <f>SUM(D208:D216)</f>
        <v>3696412.2600000002</v>
      </c>
      <c r="E217" s="175">
        <f>SUM(E208:E216)</f>
        <v>166583073.74000004</v>
      </c>
    </row>
    <row r="218" spans="1:8" ht="14.1" customHeight="1" x14ac:dyDescent="0.25">
      <c r="A218" s="173"/>
      <c r="B218" s="175"/>
      <c r="C218" s="191"/>
      <c r="D218" s="175"/>
      <c r="E218" s="175"/>
    </row>
    <row r="219" spans="1:8" ht="14.1" customHeight="1" x14ac:dyDescent="0.25">
      <c r="A219" s="208" t="s">
        <v>340</v>
      </c>
      <c r="B219" s="208"/>
      <c r="C219" s="208"/>
      <c r="D219" s="208"/>
      <c r="E219" s="208"/>
    </row>
    <row r="220" spans="1:8" ht="14.1" customHeight="1" x14ac:dyDescent="0.25">
      <c r="A220" s="208"/>
      <c r="B220" s="289" t="s">
        <v>1253</v>
      </c>
      <c r="C220" s="289"/>
      <c r="D220" s="208"/>
      <c r="E220" s="208"/>
    </row>
    <row r="221" spans="1:8" ht="14.1" customHeight="1" x14ac:dyDescent="0.25">
      <c r="A221" s="272" t="s">
        <v>1253</v>
      </c>
      <c r="B221" s="208"/>
      <c r="C221" s="189">
        <v>9808680.2700000033</v>
      </c>
      <c r="D221" s="172">
        <f>C221</f>
        <v>9808680.2700000033</v>
      </c>
      <c r="E221" s="208"/>
    </row>
    <row r="222" spans="1:8" ht="14.1" customHeight="1" x14ac:dyDescent="0.25">
      <c r="A222" s="257" t="s">
        <v>341</v>
      </c>
      <c r="B222" s="257"/>
      <c r="C222" s="257"/>
      <c r="D222" s="257"/>
      <c r="E222" s="257"/>
    </row>
    <row r="223" spans="1:8" ht="14.1" customHeight="1" x14ac:dyDescent="0.25">
      <c r="A223" s="173" t="s">
        <v>342</v>
      </c>
      <c r="B223" s="172" t="s">
        <v>254</v>
      </c>
      <c r="C223" s="189">
        <v>268095370.26000002</v>
      </c>
      <c r="D223" s="175"/>
      <c r="E223" s="175"/>
    </row>
    <row r="224" spans="1:8" ht="14.1" customHeight="1" x14ac:dyDescent="0.25">
      <c r="A224" s="173" t="s">
        <v>343</v>
      </c>
      <c r="B224" s="172" t="s">
        <v>254</v>
      </c>
      <c r="C224" s="189">
        <v>171809659.54999998</v>
      </c>
      <c r="D224" s="175"/>
      <c r="E224" s="175"/>
    </row>
    <row r="225" spans="1:5" ht="14.1" customHeight="1" x14ac:dyDescent="0.25">
      <c r="A225" s="173" t="s">
        <v>344</v>
      </c>
      <c r="B225" s="172" t="s">
        <v>254</v>
      </c>
      <c r="C225" s="189">
        <v>0</v>
      </c>
      <c r="D225" s="175"/>
      <c r="E225" s="175"/>
    </row>
    <row r="226" spans="1:5" ht="14.1" customHeight="1" x14ac:dyDescent="0.25">
      <c r="A226" s="173" t="s">
        <v>345</v>
      </c>
      <c r="B226" s="172" t="s">
        <v>254</v>
      </c>
      <c r="C226" s="189">
        <v>12647012.790000001</v>
      </c>
      <c r="D226" s="175"/>
      <c r="E226" s="175"/>
    </row>
    <row r="227" spans="1:5" ht="14.1" customHeight="1" x14ac:dyDescent="0.25">
      <c r="A227" s="173" t="s">
        <v>346</v>
      </c>
      <c r="B227" s="172" t="s">
        <v>254</v>
      </c>
      <c r="C227" s="189">
        <v>34237329.179999992</v>
      </c>
      <c r="D227" s="175"/>
      <c r="E227" s="175"/>
    </row>
    <row r="228" spans="1:5" ht="14.1" customHeight="1" x14ac:dyDescent="0.25">
      <c r="A228" s="173" t="s">
        <v>347</v>
      </c>
      <c r="B228" s="172" t="s">
        <v>254</v>
      </c>
      <c r="C228" s="189">
        <v>0</v>
      </c>
      <c r="D228" s="175"/>
      <c r="E228" s="175"/>
    </row>
    <row r="229" spans="1:5" ht="14.1" customHeight="1" x14ac:dyDescent="0.25">
      <c r="A229" s="173" t="s">
        <v>348</v>
      </c>
      <c r="B229" s="175"/>
      <c r="C229" s="191"/>
      <c r="D229" s="175">
        <f>SUM(C223:C228)</f>
        <v>486789371.78000003</v>
      </c>
      <c r="E229" s="175"/>
    </row>
    <row r="230" spans="1:5" ht="14.1" customHeight="1" x14ac:dyDescent="0.25">
      <c r="A230" s="257" t="s">
        <v>349</v>
      </c>
      <c r="B230" s="257"/>
      <c r="C230" s="257"/>
      <c r="D230" s="257"/>
      <c r="E230" s="257"/>
    </row>
    <row r="231" spans="1:5" ht="14.1" customHeight="1" x14ac:dyDescent="0.25">
      <c r="A231" s="171" t="s">
        <v>350</v>
      </c>
      <c r="B231" s="172" t="s">
        <v>254</v>
      </c>
      <c r="C231" s="189">
        <v>6807</v>
      </c>
      <c r="D231" s="175"/>
      <c r="E231" s="175"/>
    </row>
    <row r="232" spans="1:5" ht="14.1" customHeight="1" x14ac:dyDescent="0.25">
      <c r="A232" s="171"/>
      <c r="B232" s="172"/>
      <c r="C232" s="191"/>
      <c r="D232" s="175"/>
      <c r="E232" s="175"/>
    </row>
    <row r="233" spans="1:5" ht="14.1" customHeight="1" x14ac:dyDescent="0.25">
      <c r="A233" s="171" t="s">
        <v>351</v>
      </c>
      <c r="B233" s="172" t="s">
        <v>254</v>
      </c>
      <c r="C233" s="189">
        <v>2865953</v>
      </c>
      <c r="D233" s="175"/>
      <c r="E233" s="175"/>
    </row>
    <row r="234" spans="1:5" ht="14.1" customHeight="1" x14ac:dyDescent="0.25">
      <c r="A234" s="171" t="s">
        <v>352</v>
      </c>
      <c r="B234" s="172" t="s">
        <v>254</v>
      </c>
      <c r="C234" s="189">
        <v>8363392</v>
      </c>
      <c r="D234" s="175"/>
      <c r="E234" s="175"/>
    </row>
    <row r="235" spans="1:5" ht="14.1" customHeight="1" x14ac:dyDescent="0.25">
      <c r="A235" s="173"/>
      <c r="B235" s="175"/>
      <c r="C235" s="191"/>
      <c r="D235" s="175"/>
      <c r="E235" s="175"/>
    </row>
    <row r="236" spans="1:5" ht="14.1" customHeight="1" x14ac:dyDescent="0.25">
      <c r="A236" s="171" t="s">
        <v>353</v>
      </c>
      <c r="B236" s="175"/>
      <c r="C236" s="191"/>
      <c r="D236" s="175">
        <f>SUM(C233:C235)</f>
        <v>11229345</v>
      </c>
      <c r="E236" s="175"/>
    </row>
    <row r="237" spans="1:5" ht="14.1" customHeight="1" x14ac:dyDescent="0.25">
      <c r="A237" s="257" t="s">
        <v>354</v>
      </c>
      <c r="B237" s="257"/>
      <c r="C237" s="257"/>
      <c r="D237" s="257"/>
      <c r="E237" s="257"/>
    </row>
    <row r="238" spans="1:5" ht="14.1" customHeight="1" x14ac:dyDescent="0.25">
      <c r="A238" s="173" t="s">
        <v>355</v>
      </c>
      <c r="B238" s="172" t="s">
        <v>254</v>
      </c>
      <c r="C238" s="189">
        <v>4178677</v>
      </c>
      <c r="D238" s="175"/>
      <c r="E238" s="175"/>
    </row>
    <row r="239" spans="1:5" ht="14.1" customHeight="1" x14ac:dyDescent="0.25">
      <c r="A239" s="173" t="s">
        <v>354</v>
      </c>
      <c r="B239" s="172" t="s">
        <v>254</v>
      </c>
      <c r="C239" s="189">
        <v>14464160</v>
      </c>
      <c r="D239" s="175"/>
      <c r="E239" s="175"/>
    </row>
    <row r="240" spans="1:5" ht="14.1" customHeight="1" x14ac:dyDescent="0.25">
      <c r="A240" s="173" t="s">
        <v>356</v>
      </c>
      <c r="B240" s="175"/>
      <c r="C240" s="191"/>
      <c r="D240" s="175">
        <f>SUM(C238:C239)</f>
        <v>18642837</v>
      </c>
      <c r="E240" s="175"/>
    </row>
    <row r="241" spans="1:5" ht="14.1" customHeight="1" x14ac:dyDescent="0.25">
      <c r="A241" s="173"/>
      <c r="B241" s="175"/>
      <c r="C241" s="191"/>
      <c r="D241" s="175"/>
      <c r="E241" s="175"/>
    </row>
    <row r="242" spans="1:5" ht="14.1" customHeight="1" x14ac:dyDescent="0.25">
      <c r="A242" s="173" t="s">
        <v>357</v>
      </c>
      <c r="B242" s="175"/>
      <c r="C242" s="191"/>
      <c r="D242" s="175">
        <f>D221+D229+D236+D240</f>
        <v>526470234.05000001</v>
      </c>
      <c r="E242" s="175"/>
    </row>
    <row r="243" spans="1:5" ht="14.1" customHeight="1" x14ac:dyDescent="0.25">
      <c r="A243" s="173"/>
      <c r="B243" s="173"/>
      <c r="C243" s="191"/>
      <c r="D243" s="175"/>
      <c r="E243" s="175"/>
    </row>
    <row r="244" spans="1:5" ht="14.1" customHeight="1" x14ac:dyDescent="0.25">
      <c r="A244" s="173"/>
      <c r="B244" s="173"/>
      <c r="C244" s="191"/>
      <c r="D244" s="175"/>
      <c r="E244" s="175"/>
    </row>
    <row r="245" spans="1:5" ht="14.1" customHeight="1" x14ac:dyDescent="0.25">
      <c r="A245" s="173"/>
      <c r="B245" s="173"/>
      <c r="C245" s="191"/>
      <c r="D245" s="175"/>
      <c r="E245" s="175"/>
    </row>
    <row r="246" spans="1:5" ht="14.1" customHeight="1" x14ac:dyDescent="0.25">
      <c r="A246" s="173"/>
      <c r="B246" s="173"/>
      <c r="C246" s="191"/>
      <c r="D246" s="175"/>
      <c r="E246" s="175"/>
    </row>
    <row r="247" spans="1:5" ht="14.1" customHeight="1" x14ac:dyDescent="0.25">
      <c r="A247" s="173"/>
      <c r="B247" s="173"/>
      <c r="C247" s="191"/>
      <c r="D247" s="175"/>
      <c r="E247" s="175"/>
    </row>
    <row r="248" spans="1:5" ht="14.1" customHeight="1" x14ac:dyDescent="0.25">
      <c r="A248" s="208" t="s">
        <v>358</v>
      </c>
      <c r="B248" s="208"/>
      <c r="C248" s="208"/>
      <c r="D248" s="208"/>
      <c r="E248" s="208"/>
    </row>
    <row r="249" spans="1:5" ht="14.1" customHeight="1" x14ac:dyDescent="0.25">
      <c r="A249" s="257" t="s">
        <v>359</v>
      </c>
      <c r="B249" s="257"/>
      <c r="C249" s="257"/>
      <c r="D249" s="257"/>
      <c r="E249" s="257"/>
    </row>
    <row r="250" spans="1:5" ht="14.1" customHeight="1" x14ac:dyDescent="0.25">
      <c r="A250" s="173" t="s">
        <v>360</v>
      </c>
      <c r="B250" s="172" t="s">
        <v>254</v>
      </c>
      <c r="C250" s="189">
        <v>3554457</v>
      </c>
      <c r="D250" s="175"/>
      <c r="E250" s="175"/>
    </row>
    <row r="251" spans="1:5" ht="14.1" customHeight="1" x14ac:dyDescent="0.25">
      <c r="A251" s="173" t="s">
        <v>361</v>
      </c>
      <c r="B251" s="172" t="s">
        <v>254</v>
      </c>
      <c r="C251" s="189">
        <v>0</v>
      </c>
      <c r="D251" s="175"/>
      <c r="E251" s="175"/>
    </row>
    <row r="252" spans="1:5" ht="14.1" customHeight="1" x14ac:dyDescent="0.25">
      <c r="A252" s="173" t="s">
        <v>362</v>
      </c>
      <c r="B252" s="172" t="s">
        <v>254</v>
      </c>
      <c r="C252" s="189">
        <v>120880038</v>
      </c>
      <c r="D252" s="175"/>
      <c r="E252" s="175"/>
    </row>
    <row r="253" spans="1:5" ht="14.1" customHeight="1" x14ac:dyDescent="0.25">
      <c r="A253" s="173" t="s">
        <v>363</v>
      </c>
      <c r="B253" s="172" t="s">
        <v>254</v>
      </c>
      <c r="C253" s="189">
        <v>86719858</v>
      </c>
      <c r="D253" s="175"/>
      <c r="E253" s="175"/>
    </row>
    <row r="254" spans="1:5" ht="14.1" customHeight="1" x14ac:dyDescent="0.25">
      <c r="A254" s="173" t="s">
        <v>1239</v>
      </c>
      <c r="B254" s="172" t="s">
        <v>254</v>
      </c>
      <c r="C254" s="189">
        <v>0</v>
      </c>
      <c r="D254" s="175"/>
      <c r="E254" s="175"/>
    </row>
    <row r="255" spans="1:5" ht="14.1" customHeight="1" x14ac:dyDescent="0.25">
      <c r="A255" s="173" t="s">
        <v>364</v>
      </c>
      <c r="B255" s="172" t="s">
        <v>254</v>
      </c>
      <c r="C255" s="189">
        <v>-5097552</v>
      </c>
      <c r="D255" s="175"/>
      <c r="E255" s="175"/>
    </row>
    <row r="256" spans="1:5" ht="14.1" customHeight="1" x14ac:dyDescent="0.25">
      <c r="A256" s="173" t="s">
        <v>365</v>
      </c>
      <c r="B256" s="172" t="s">
        <v>254</v>
      </c>
      <c r="C256" s="189">
        <v>0</v>
      </c>
      <c r="D256" s="175"/>
      <c r="E256" s="175"/>
    </row>
    <row r="257" spans="1:5" ht="14.1" customHeight="1" x14ac:dyDescent="0.25">
      <c r="A257" s="173" t="s">
        <v>366</v>
      </c>
      <c r="B257" s="172" t="s">
        <v>254</v>
      </c>
      <c r="C257" s="189">
        <v>3911896</v>
      </c>
      <c r="D257" s="175"/>
      <c r="E257" s="175"/>
    </row>
    <row r="258" spans="1:5" ht="14.1" customHeight="1" x14ac:dyDescent="0.25">
      <c r="A258" s="173" t="s">
        <v>367</v>
      </c>
      <c r="B258" s="172" t="s">
        <v>254</v>
      </c>
      <c r="C258" s="189">
        <v>0</v>
      </c>
      <c r="D258" s="175"/>
      <c r="E258" s="175"/>
    </row>
    <row r="259" spans="1:5" ht="14.1" customHeight="1" x14ac:dyDescent="0.25">
      <c r="A259" s="173" t="s">
        <v>368</v>
      </c>
      <c r="B259" s="172" t="s">
        <v>254</v>
      </c>
      <c r="C259" s="189">
        <v>0</v>
      </c>
      <c r="D259" s="175"/>
      <c r="E259" s="175"/>
    </row>
    <row r="260" spans="1:5" ht="14.1" customHeight="1" x14ac:dyDescent="0.25">
      <c r="A260" s="173" t="s">
        <v>369</v>
      </c>
      <c r="B260" s="175"/>
      <c r="C260" s="191"/>
      <c r="D260" s="175">
        <f>SUM(C250:C252)-C253+SUM(C254:C259)</f>
        <v>36528981</v>
      </c>
      <c r="E260" s="175"/>
    </row>
    <row r="261" spans="1:5" ht="14.1" customHeight="1" x14ac:dyDescent="0.25">
      <c r="A261" s="257" t="s">
        <v>370</v>
      </c>
      <c r="B261" s="257"/>
      <c r="C261" s="257"/>
      <c r="D261" s="257"/>
      <c r="E261" s="257"/>
    </row>
    <row r="262" spans="1:5" ht="14.1" customHeight="1" x14ac:dyDescent="0.25">
      <c r="A262" s="173" t="s">
        <v>360</v>
      </c>
      <c r="B262" s="172" t="s">
        <v>254</v>
      </c>
      <c r="C262" s="189">
        <v>0</v>
      </c>
      <c r="D262" s="175"/>
      <c r="E262" s="175"/>
    </row>
    <row r="263" spans="1:5" ht="14.1" customHeight="1" x14ac:dyDescent="0.25">
      <c r="A263" s="173" t="s">
        <v>361</v>
      </c>
      <c r="B263" s="172" t="s">
        <v>254</v>
      </c>
      <c r="C263" s="189">
        <v>0</v>
      </c>
      <c r="D263" s="175"/>
      <c r="E263" s="175"/>
    </row>
    <row r="264" spans="1:5" ht="14.1" customHeight="1" x14ac:dyDescent="0.25">
      <c r="A264" s="173" t="s">
        <v>371</v>
      </c>
      <c r="B264" s="172" t="s">
        <v>254</v>
      </c>
      <c r="C264" s="189">
        <v>0</v>
      </c>
      <c r="D264" s="175"/>
      <c r="E264" s="175"/>
    </row>
    <row r="265" spans="1:5" ht="14.1" customHeight="1" x14ac:dyDescent="0.25">
      <c r="A265" s="173" t="s">
        <v>372</v>
      </c>
      <c r="B265" s="175"/>
      <c r="C265" s="191"/>
      <c r="D265" s="175">
        <f>SUM(C262:C264)</f>
        <v>0</v>
      </c>
      <c r="E265" s="175"/>
    </row>
    <row r="266" spans="1:5" ht="14.1" customHeight="1" x14ac:dyDescent="0.25">
      <c r="A266" s="257" t="s">
        <v>373</v>
      </c>
      <c r="B266" s="257"/>
      <c r="C266" s="257"/>
      <c r="D266" s="257"/>
      <c r="E266" s="257"/>
    </row>
    <row r="267" spans="1:5" ht="14.1" customHeight="1" x14ac:dyDescent="0.25">
      <c r="A267" s="173" t="s">
        <v>330</v>
      </c>
      <c r="B267" s="172" t="s">
        <v>254</v>
      </c>
      <c r="C267" s="189">
        <v>3531052</v>
      </c>
      <c r="D267" s="175"/>
      <c r="E267" s="175"/>
    </row>
    <row r="268" spans="1:5" ht="14.1" customHeight="1" x14ac:dyDescent="0.25">
      <c r="A268" s="173" t="s">
        <v>331</v>
      </c>
      <c r="B268" s="172" t="s">
        <v>254</v>
      </c>
      <c r="C268" s="189">
        <v>2705104.98</v>
      </c>
      <c r="D268" s="175"/>
      <c r="E268" s="175"/>
    </row>
    <row r="269" spans="1:5" ht="14.1" customHeight="1" x14ac:dyDescent="0.25">
      <c r="A269" s="173" t="s">
        <v>332</v>
      </c>
      <c r="B269" s="172" t="s">
        <v>254</v>
      </c>
      <c r="C269" s="189">
        <v>165835532.44000003</v>
      </c>
      <c r="D269" s="175"/>
      <c r="E269" s="175"/>
    </row>
    <row r="270" spans="1:5" ht="14.1" customHeight="1" x14ac:dyDescent="0.25">
      <c r="A270" s="173" t="s">
        <v>374</v>
      </c>
      <c r="B270" s="172" t="s">
        <v>254</v>
      </c>
      <c r="C270" s="189">
        <v>18966976.659999996</v>
      </c>
      <c r="D270" s="175"/>
      <c r="E270" s="175"/>
    </row>
    <row r="271" spans="1:5" ht="14.1" customHeight="1" x14ac:dyDescent="0.25">
      <c r="A271" s="173" t="s">
        <v>375</v>
      </c>
      <c r="B271" s="172" t="s">
        <v>254</v>
      </c>
      <c r="C271" s="189">
        <v>0</v>
      </c>
      <c r="D271" s="175"/>
      <c r="E271" s="175"/>
    </row>
    <row r="272" spans="1:5" ht="14.1" customHeight="1" x14ac:dyDescent="0.25">
      <c r="A272" s="173" t="s">
        <v>376</v>
      </c>
      <c r="B272" s="172" t="s">
        <v>254</v>
      </c>
      <c r="C272" s="189">
        <v>64599443.950000003</v>
      </c>
      <c r="D272" s="175"/>
      <c r="E272" s="175"/>
    </row>
    <row r="273" spans="1:5" ht="14.1" customHeight="1" x14ac:dyDescent="0.25">
      <c r="A273" s="173" t="s">
        <v>337</v>
      </c>
      <c r="B273" s="172" t="s">
        <v>254</v>
      </c>
      <c r="C273" s="189">
        <v>260324.44999999998</v>
      </c>
      <c r="D273" s="175"/>
      <c r="E273" s="175"/>
    </row>
    <row r="274" spans="1:5" ht="14.1" customHeight="1" x14ac:dyDescent="0.25">
      <c r="A274" s="173" t="s">
        <v>338</v>
      </c>
      <c r="B274" s="172" t="s">
        <v>254</v>
      </c>
      <c r="C274" s="189">
        <v>1245544.1300000008</v>
      </c>
      <c r="D274" s="175"/>
      <c r="E274" s="175"/>
    </row>
    <row r="275" spans="1:5" ht="14.1" customHeight="1" x14ac:dyDescent="0.25">
      <c r="A275" s="173" t="s">
        <v>377</v>
      </c>
      <c r="B275" s="175"/>
      <c r="C275" s="191"/>
      <c r="D275" s="175">
        <f>SUM(C267:C274)</f>
        <v>257143978.61000001</v>
      </c>
      <c r="E275" s="175"/>
    </row>
    <row r="276" spans="1:5" ht="14.1" customHeight="1" x14ac:dyDescent="0.25">
      <c r="A276" s="173" t="s">
        <v>378</v>
      </c>
      <c r="B276" s="172" t="s">
        <v>254</v>
      </c>
      <c r="C276" s="189">
        <v>166583073.74000004</v>
      </c>
      <c r="D276" s="175"/>
      <c r="E276" s="175"/>
    </row>
    <row r="277" spans="1:5" ht="14.1" customHeight="1" x14ac:dyDescent="0.25">
      <c r="A277" s="173" t="s">
        <v>379</v>
      </c>
      <c r="B277" s="175"/>
      <c r="C277" s="191"/>
      <c r="D277" s="175">
        <f>D275-C276</f>
        <v>90560904.869999975</v>
      </c>
      <c r="E277" s="175"/>
    </row>
    <row r="278" spans="1:5" ht="14.1" customHeight="1" x14ac:dyDescent="0.25">
      <c r="A278" s="257" t="s">
        <v>380</v>
      </c>
      <c r="B278" s="257"/>
      <c r="C278" s="257"/>
      <c r="D278" s="257"/>
      <c r="E278" s="257"/>
    </row>
    <row r="279" spans="1:5" ht="14.1" customHeight="1" x14ac:dyDescent="0.25">
      <c r="A279" s="173" t="s">
        <v>381</v>
      </c>
      <c r="B279" s="172" t="s">
        <v>254</v>
      </c>
      <c r="C279" s="189">
        <v>0</v>
      </c>
      <c r="D279" s="175"/>
      <c r="E279" s="175"/>
    </row>
    <row r="280" spans="1:5" ht="14.1" customHeight="1" x14ac:dyDescent="0.25">
      <c r="A280" s="173" t="s">
        <v>382</v>
      </c>
      <c r="B280" s="172" t="s">
        <v>254</v>
      </c>
      <c r="C280" s="189">
        <v>0</v>
      </c>
      <c r="D280" s="175"/>
      <c r="E280" s="175"/>
    </row>
    <row r="281" spans="1:5" ht="14.1" customHeight="1" x14ac:dyDescent="0.25">
      <c r="A281" s="173" t="s">
        <v>383</v>
      </c>
      <c r="B281" s="172" t="s">
        <v>254</v>
      </c>
      <c r="C281" s="189">
        <v>0</v>
      </c>
      <c r="D281" s="175"/>
      <c r="E281" s="175"/>
    </row>
    <row r="282" spans="1:5" ht="14.1" customHeight="1" x14ac:dyDescent="0.25">
      <c r="A282" s="173" t="s">
        <v>371</v>
      </c>
      <c r="B282" s="172" t="s">
        <v>254</v>
      </c>
      <c r="C282" s="189">
        <v>5804419</v>
      </c>
      <c r="D282" s="175"/>
      <c r="E282" s="175"/>
    </row>
    <row r="283" spans="1:5" ht="14.1" customHeight="1" x14ac:dyDescent="0.25">
      <c r="A283" s="173" t="s">
        <v>384</v>
      </c>
      <c r="B283" s="175"/>
      <c r="C283" s="191"/>
      <c r="D283" s="175">
        <f>C279-C280+C281+C282</f>
        <v>5804419</v>
      </c>
      <c r="E283" s="175"/>
    </row>
    <row r="284" spans="1:5" ht="14.1" customHeight="1" x14ac:dyDescent="0.25">
      <c r="A284" s="173"/>
      <c r="B284" s="175"/>
      <c r="C284" s="191"/>
      <c r="D284" s="175"/>
      <c r="E284" s="175"/>
    </row>
    <row r="285" spans="1:5" ht="14.1" customHeight="1" x14ac:dyDescent="0.25">
      <c r="A285" s="257" t="s">
        <v>385</v>
      </c>
      <c r="B285" s="257"/>
      <c r="C285" s="257"/>
      <c r="D285" s="257"/>
      <c r="E285" s="257"/>
    </row>
    <row r="286" spans="1:5" ht="14.1" customHeight="1" x14ac:dyDescent="0.25">
      <c r="A286" s="173" t="s">
        <v>386</v>
      </c>
      <c r="B286" s="172" t="s">
        <v>254</v>
      </c>
      <c r="C286" s="189">
        <v>0</v>
      </c>
      <c r="D286" s="175"/>
      <c r="E286" s="175"/>
    </row>
    <row r="287" spans="1:5" ht="14.1" customHeight="1" x14ac:dyDescent="0.25">
      <c r="A287" s="173" t="s">
        <v>387</v>
      </c>
      <c r="B287" s="172" t="s">
        <v>254</v>
      </c>
      <c r="C287" s="189">
        <v>0</v>
      </c>
      <c r="D287" s="175"/>
      <c r="E287" s="175"/>
    </row>
    <row r="288" spans="1:5" ht="14.1" customHeight="1" x14ac:dyDescent="0.25">
      <c r="A288" s="173" t="s">
        <v>388</v>
      </c>
      <c r="B288" s="172" t="s">
        <v>254</v>
      </c>
      <c r="C288" s="189">
        <v>0</v>
      </c>
      <c r="D288" s="175"/>
      <c r="E288" s="175"/>
    </row>
    <row r="289" spans="1:5" ht="14.1" customHeight="1" x14ac:dyDescent="0.25">
      <c r="A289" s="173" t="s">
        <v>389</v>
      </c>
      <c r="B289" s="172" t="s">
        <v>254</v>
      </c>
      <c r="C289" s="189">
        <v>0</v>
      </c>
      <c r="D289" s="175"/>
      <c r="E289" s="175"/>
    </row>
    <row r="290" spans="1:5" ht="14.1" customHeight="1" x14ac:dyDescent="0.25">
      <c r="A290" s="173" t="s">
        <v>390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4.1" customHeight="1" x14ac:dyDescent="0.25">
      <c r="A292" s="173" t="s">
        <v>391</v>
      </c>
      <c r="B292" s="175"/>
      <c r="C292" s="191"/>
      <c r="D292" s="175">
        <f>D260+D265+D277+D283+D290</f>
        <v>132894304.86999997</v>
      </c>
      <c r="E292" s="175"/>
    </row>
    <row r="293" spans="1:5" ht="14.1" customHeight="1" x14ac:dyDescent="0.25">
      <c r="A293" s="173"/>
      <c r="B293" s="173"/>
      <c r="C293" s="191"/>
      <c r="D293" s="175"/>
      <c r="E293" s="175"/>
    </row>
    <row r="294" spans="1:5" ht="14.1" customHeight="1" x14ac:dyDescent="0.25">
      <c r="A294" s="173"/>
      <c r="B294" s="173"/>
      <c r="C294" s="191"/>
      <c r="D294" s="175"/>
      <c r="E294" s="175"/>
    </row>
    <row r="295" spans="1:5" ht="14.1" customHeight="1" x14ac:dyDescent="0.25">
      <c r="A295" s="173"/>
      <c r="B295" s="173"/>
      <c r="C295" s="191"/>
      <c r="D295" s="175"/>
      <c r="E295" s="175"/>
    </row>
    <row r="296" spans="1:5" ht="14.1" customHeight="1" x14ac:dyDescent="0.25">
      <c r="A296" s="173"/>
      <c r="B296" s="173"/>
      <c r="C296" s="191"/>
      <c r="D296" s="175"/>
      <c r="E296" s="175"/>
    </row>
    <row r="297" spans="1:5" ht="14.1" customHeight="1" x14ac:dyDescent="0.25">
      <c r="A297" s="173"/>
      <c r="B297" s="173"/>
      <c r="C297" s="191"/>
      <c r="D297" s="175"/>
      <c r="E297" s="175"/>
    </row>
    <row r="298" spans="1:5" ht="14.1" customHeight="1" x14ac:dyDescent="0.25">
      <c r="A298" s="173"/>
      <c r="B298" s="173"/>
      <c r="C298" s="191"/>
      <c r="D298" s="175"/>
      <c r="E298" s="175"/>
    </row>
    <row r="299" spans="1:5" ht="14.1" customHeight="1" x14ac:dyDescent="0.25">
      <c r="A299" s="173"/>
      <c r="B299" s="173"/>
      <c r="C299" s="191"/>
      <c r="D299" s="175"/>
      <c r="E299" s="175"/>
    </row>
    <row r="300" spans="1:5" ht="14.1" customHeight="1" x14ac:dyDescent="0.25">
      <c r="A300" s="173"/>
      <c r="B300" s="173"/>
      <c r="C300" s="191"/>
      <c r="D300" s="175"/>
      <c r="E300" s="175"/>
    </row>
    <row r="301" spans="1:5" ht="14.1" customHeight="1" x14ac:dyDescent="0.25">
      <c r="A301" s="173"/>
      <c r="B301" s="173"/>
      <c r="C301" s="191"/>
      <c r="D301" s="175"/>
      <c r="E301" s="175"/>
    </row>
    <row r="302" spans="1:5" ht="14.1" customHeight="1" x14ac:dyDescent="0.25">
      <c r="A302" s="208" t="s">
        <v>392</v>
      </c>
      <c r="B302" s="208"/>
      <c r="C302" s="208"/>
      <c r="D302" s="208"/>
      <c r="E302" s="208"/>
    </row>
    <row r="303" spans="1:5" ht="14.1" customHeight="1" x14ac:dyDescent="0.25">
      <c r="A303" s="257" t="s">
        <v>393</v>
      </c>
      <c r="B303" s="257"/>
      <c r="C303" s="257"/>
      <c r="D303" s="257"/>
      <c r="E303" s="257"/>
    </row>
    <row r="304" spans="1:5" ht="14.1" customHeight="1" x14ac:dyDescent="0.25">
      <c r="A304" s="173" t="s">
        <v>394</v>
      </c>
      <c r="B304" s="172" t="s">
        <v>254</v>
      </c>
      <c r="C304" s="189">
        <v>0</v>
      </c>
      <c r="D304" s="175"/>
      <c r="E304" s="175"/>
    </row>
    <row r="305" spans="1:5" ht="14.1" customHeight="1" x14ac:dyDescent="0.25">
      <c r="A305" s="173" t="s">
        <v>395</v>
      </c>
      <c r="B305" s="172" t="s">
        <v>254</v>
      </c>
      <c r="C305" s="189">
        <v>2590198</v>
      </c>
      <c r="D305" s="175"/>
      <c r="E305" s="175"/>
    </row>
    <row r="306" spans="1:5" ht="14.1" customHeight="1" x14ac:dyDescent="0.25">
      <c r="A306" s="173" t="s">
        <v>396</v>
      </c>
      <c r="B306" s="172" t="s">
        <v>254</v>
      </c>
      <c r="C306" s="189">
        <v>0</v>
      </c>
      <c r="D306" s="175"/>
      <c r="E306" s="175"/>
    </row>
    <row r="307" spans="1:5" ht="14.1" customHeight="1" x14ac:dyDescent="0.25">
      <c r="A307" s="173" t="s">
        <v>397</v>
      </c>
      <c r="B307" s="172" t="s">
        <v>254</v>
      </c>
      <c r="C307" s="189">
        <v>3611612</v>
      </c>
      <c r="D307" s="175"/>
      <c r="E307" s="175"/>
    </row>
    <row r="308" spans="1:5" ht="14.1" customHeight="1" x14ac:dyDescent="0.25">
      <c r="A308" s="173" t="s">
        <v>398</v>
      </c>
      <c r="B308" s="172" t="s">
        <v>254</v>
      </c>
      <c r="C308" s="189">
        <v>0</v>
      </c>
      <c r="D308" s="175"/>
      <c r="E308" s="175"/>
    </row>
    <row r="309" spans="1:5" ht="14.1" customHeight="1" x14ac:dyDescent="0.25">
      <c r="A309" s="173" t="s">
        <v>1240</v>
      </c>
      <c r="B309" s="172" t="s">
        <v>254</v>
      </c>
      <c r="C309" s="189">
        <v>-416359</v>
      </c>
      <c r="D309" s="175"/>
      <c r="E309" s="175"/>
    </row>
    <row r="310" spans="1:5" ht="14.1" customHeight="1" x14ac:dyDescent="0.25">
      <c r="A310" s="173" t="s">
        <v>399</v>
      </c>
      <c r="B310" s="172" t="s">
        <v>254</v>
      </c>
      <c r="C310" s="189">
        <v>0</v>
      </c>
      <c r="D310" s="175"/>
      <c r="E310" s="175"/>
    </row>
    <row r="311" spans="1:5" ht="14.1" customHeight="1" x14ac:dyDescent="0.25">
      <c r="A311" s="173" t="s">
        <v>400</v>
      </c>
      <c r="B311" s="172" t="s">
        <v>254</v>
      </c>
      <c r="C311" s="189">
        <v>0</v>
      </c>
      <c r="D311" s="175"/>
      <c r="E311" s="175"/>
    </row>
    <row r="312" spans="1:5" ht="14.1" customHeight="1" x14ac:dyDescent="0.25">
      <c r="A312" s="173" t="s">
        <v>401</v>
      </c>
      <c r="B312" s="172" t="s">
        <v>254</v>
      </c>
      <c r="C312" s="189">
        <v>79734</v>
      </c>
      <c r="D312" s="175"/>
      <c r="E312" s="175"/>
    </row>
    <row r="313" spans="1:5" ht="14.1" customHeight="1" x14ac:dyDescent="0.25">
      <c r="A313" s="173" t="s">
        <v>402</v>
      </c>
      <c r="B313" s="172" t="s">
        <v>254</v>
      </c>
      <c r="C313" s="189">
        <v>0</v>
      </c>
      <c r="D313" s="175"/>
      <c r="E313" s="175"/>
    </row>
    <row r="314" spans="1:5" ht="14.1" customHeight="1" x14ac:dyDescent="0.25">
      <c r="A314" s="173" t="s">
        <v>403</v>
      </c>
      <c r="B314" s="175"/>
      <c r="C314" s="191"/>
      <c r="D314" s="175">
        <f>SUM(C304:C313)</f>
        <v>5865185</v>
      </c>
      <c r="E314" s="175"/>
    </row>
    <row r="315" spans="1:5" ht="14.1" customHeight="1" x14ac:dyDescent="0.25">
      <c r="A315" s="257" t="s">
        <v>404</v>
      </c>
      <c r="B315" s="257"/>
      <c r="C315" s="257"/>
      <c r="D315" s="257"/>
      <c r="E315" s="257"/>
    </row>
    <row r="316" spans="1:5" ht="14.1" customHeight="1" x14ac:dyDescent="0.25">
      <c r="A316" s="173" t="s">
        <v>405</v>
      </c>
      <c r="B316" s="172" t="s">
        <v>254</v>
      </c>
      <c r="C316" s="189">
        <v>0</v>
      </c>
      <c r="D316" s="175"/>
      <c r="E316" s="175"/>
    </row>
    <row r="317" spans="1:5" ht="14.1" customHeight="1" x14ac:dyDescent="0.25">
      <c r="A317" s="173" t="s">
        <v>406</v>
      </c>
      <c r="B317" s="172" t="s">
        <v>254</v>
      </c>
      <c r="C317" s="189">
        <v>0</v>
      </c>
      <c r="D317" s="175"/>
      <c r="E317" s="175"/>
    </row>
    <row r="318" spans="1:5" ht="14.1" customHeight="1" x14ac:dyDescent="0.25">
      <c r="A318" s="173" t="s">
        <v>407</v>
      </c>
      <c r="B318" s="172" t="s">
        <v>254</v>
      </c>
      <c r="C318" s="189">
        <v>0</v>
      </c>
      <c r="D318" s="175"/>
      <c r="E318" s="175"/>
    </row>
    <row r="319" spans="1:5" ht="14.1" customHeight="1" x14ac:dyDescent="0.25">
      <c r="A319" s="173" t="s">
        <v>408</v>
      </c>
      <c r="B319" s="175"/>
      <c r="C319" s="191"/>
      <c r="D319" s="175">
        <f>SUM(C316:C318)</f>
        <v>0</v>
      </c>
      <c r="E319" s="175"/>
    </row>
    <row r="320" spans="1:5" ht="14.1" customHeight="1" x14ac:dyDescent="0.25">
      <c r="A320" s="257" t="s">
        <v>409</v>
      </c>
      <c r="B320" s="257"/>
      <c r="C320" s="257"/>
      <c r="D320" s="257"/>
      <c r="E320" s="257"/>
    </row>
    <row r="321" spans="1:5" ht="14.1" customHeight="1" x14ac:dyDescent="0.25">
      <c r="A321" s="173" t="s">
        <v>410</v>
      </c>
      <c r="B321" s="172" t="s">
        <v>254</v>
      </c>
      <c r="C321" s="189">
        <v>0</v>
      </c>
      <c r="D321" s="175"/>
      <c r="E321" s="175"/>
    </row>
    <row r="322" spans="1:5" ht="14.1" customHeight="1" x14ac:dyDescent="0.25">
      <c r="A322" s="173" t="s">
        <v>411</v>
      </c>
      <c r="B322" s="172" t="s">
        <v>254</v>
      </c>
      <c r="C322" s="189">
        <v>0</v>
      </c>
      <c r="D322" s="175"/>
      <c r="E322" s="175"/>
    </row>
    <row r="323" spans="1:5" ht="14.1" customHeight="1" x14ac:dyDescent="0.25">
      <c r="A323" s="173" t="s">
        <v>412</v>
      </c>
      <c r="B323" s="172" t="s">
        <v>254</v>
      </c>
      <c r="C323" s="189">
        <v>0</v>
      </c>
      <c r="D323" s="175"/>
      <c r="E323" s="175"/>
    </row>
    <row r="324" spans="1:5" ht="14.1" customHeight="1" x14ac:dyDescent="0.25">
      <c r="A324" s="171" t="s">
        <v>413</v>
      </c>
      <c r="B324" s="172" t="s">
        <v>254</v>
      </c>
      <c r="C324" s="189">
        <v>0</v>
      </c>
      <c r="D324" s="175"/>
      <c r="E324" s="175"/>
    </row>
    <row r="325" spans="1:5" ht="14.1" customHeight="1" x14ac:dyDescent="0.25">
      <c r="A325" s="173" t="s">
        <v>414</v>
      </c>
      <c r="B325" s="172" t="s">
        <v>254</v>
      </c>
      <c r="C325" s="189">
        <v>0</v>
      </c>
      <c r="D325" s="175"/>
      <c r="E325" s="175"/>
    </row>
    <row r="326" spans="1:5" ht="14.1" customHeight="1" x14ac:dyDescent="0.25">
      <c r="A326" s="171" t="s">
        <v>415</v>
      </c>
      <c r="B326" s="172" t="s">
        <v>254</v>
      </c>
      <c r="C326" s="189">
        <v>0</v>
      </c>
      <c r="D326" s="175"/>
      <c r="E326" s="175"/>
    </row>
    <row r="327" spans="1:5" ht="14.1" customHeight="1" x14ac:dyDescent="0.25">
      <c r="A327" s="173" t="s">
        <v>416</v>
      </c>
      <c r="B327" s="172" t="s">
        <v>254</v>
      </c>
      <c r="C327" s="189">
        <v>11350295</v>
      </c>
      <c r="D327" s="175"/>
      <c r="E327" s="175"/>
    </row>
    <row r="328" spans="1:5" ht="14.1" customHeight="1" x14ac:dyDescent="0.25">
      <c r="A328" s="173" t="s">
        <v>203</v>
      </c>
      <c r="B328" s="175"/>
      <c r="C328" s="191"/>
      <c r="D328" s="175">
        <f>SUM(C321:C327)</f>
        <v>11350295</v>
      </c>
      <c r="E328" s="175"/>
    </row>
    <row r="329" spans="1:5" ht="14.1" customHeight="1" x14ac:dyDescent="0.25">
      <c r="A329" s="173" t="s">
        <v>417</v>
      </c>
      <c r="B329" s="175"/>
      <c r="C329" s="191"/>
      <c r="D329" s="175">
        <f>C313</f>
        <v>0</v>
      </c>
      <c r="E329" s="175"/>
    </row>
    <row r="330" spans="1:5" ht="14.1" customHeight="1" x14ac:dyDescent="0.25">
      <c r="A330" s="173" t="s">
        <v>418</v>
      </c>
      <c r="B330" s="175"/>
      <c r="C330" s="191"/>
      <c r="D330" s="175">
        <f>D328-D329</f>
        <v>11350295</v>
      </c>
      <c r="E330" s="175"/>
    </row>
    <row r="331" spans="1:5" ht="14.1" customHeight="1" x14ac:dyDescent="0.25">
      <c r="A331" s="173"/>
      <c r="B331" s="175"/>
      <c r="C331" s="191"/>
      <c r="D331" s="175"/>
      <c r="E331" s="175"/>
    </row>
    <row r="332" spans="1:5" ht="14.1" customHeight="1" x14ac:dyDescent="0.25">
      <c r="A332" s="173" t="s">
        <v>419</v>
      </c>
      <c r="B332" s="172" t="s">
        <v>254</v>
      </c>
      <c r="C332" s="189">
        <v>115678825</v>
      </c>
      <c r="D332" s="175"/>
      <c r="E332" s="175"/>
    </row>
    <row r="333" spans="1:5" ht="14.1" customHeight="1" x14ac:dyDescent="0.25">
      <c r="A333" s="173"/>
      <c r="B333" s="172"/>
      <c r="C333" s="232"/>
      <c r="D333" s="175"/>
      <c r="E333" s="175"/>
    </row>
    <row r="334" spans="1:5" ht="14.1" customHeight="1" x14ac:dyDescent="0.25">
      <c r="A334" s="173" t="s">
        <v>1140</v>
      </c>
      <c r="B334" s="172" t="s">
        <v>254</v>
      </c>
      <c r="C334" s="189">
        <v>0</v>
      </c>
      <c r="D334" s="175"/>
      <c r="E334" s="175"/>
    </row>
    <row r="335" spans="1:5" ht="14.1" customHeight="1" x14ac:dyDescent="0.25">
      <c r="A335" s="173" t="s">
        <v>1141</v>
      </c>
      <c r="B335" s="172" t="s">
        <v>254</v>
      </c>
      <c r="C335" s="189">
        <v>0</v>
      </c>
      <c r="D335" s="175"/>
      <c r="E335" s="175"/>
    </row>
    <row r="336" spans="1:5" ht="14.1" customHeight="1" x14ac:dyDescent="0.25">
      <c r="A336" s="173" t="s">
        <v>421</v>
      </c>
      <c r="B336" s="172" t="s">
        <v>254</v>
      </c>
      <c r="C336" s="189">
        <v>0</v>
      </c>
      <c r="D336" s="175"/>
      <c r="E336" s="175"/>
    </row>
    <row r="337" spans="1:5" ht="14.1" customHeight="1" x14ac:dyDescent="0.25">
      <c r="A337" s="173" t="s">
        <v>420</v>
      </c>
      <c r="B337" s="172" t="s">
        <v>254</v>
      </c>
      <c r="C337" s="189">
        <v>0</v>
      </c>
      <c r="D337" s="175"/>
      <c r="E337" s="175"/>
    </row>
    <row r="338" spans="1:5" ht="14.1" customHeight="1" x14ac:dyDescent="0.25">
      <c r="A338" s="173" t="s">
        <v>1251</v>
      </c>
      <c r="B338" s="172" t="s">
        <v>254</v>
      </c>
      <c r="C338" s="189">
        <v>0</v>
      </c>
      <c r="D338" s="175"/>
      <c r="E338" s="175"/>
    </row>
    <row r="339" spans="1:5" ht="14.1" customHeight="1" x14ac:dyDescent="0.25">
      <c r="A339" s="173" t="s">
        <v>422</v>
      </c>
      <c r="B339" s="175"/>
      <c r="C339" s="191"/>
      <c r="D339" s="175">
        <f>D314+D319+D330+C332+C336+C337</f>
        <v>132894305</v>
      </c>
      <c r="E339" s="175"/>
    </row>
    <row r="340" spans="1:5" ht="14.1" customHeight="1" x14ac:dyDescent="0.25">
      <c r="A340" s="173"/>
      <c r="B340" s="175"/>
      <c r="C340" s="191"/>
      <c r="D340" s="175"/>
      <c r="E340" s="175"/>
    </row>
    <row r="341" spans="1:5" ht="14.1" customHeight="1" x14ac:dyDescent="0.25">
      <c r="A341" s="173" t="s">
        <v>423</v>
      </c>
      <c r="B341" s="175"/>
      <c r="C341" s="191"/>
      <c r="D341" s="175">
        <f>D292</f>
        <v>132894304.86999997</v>
      </c>
      <c r="E341" s="175"/>
    </row>
    <row r="342" spans="1:5" ht="14.1" customHeight="1" x14ac:dyDescent="0.25">
      <c r="A342" s="173"/>
      <c r="B342" s="173"/>
      <c r="C342" s="191"/>
      <c r="D342" s="175"/>
      <c r="E342" s="175"/>
    </row>
    <row r="343" spans="1:5" ht="14.1" customHeight="1" x14ac:dyDescent="0.25">
      <c r="A343" s="173"/>
      <c r="B343" s="173"/>
      <c r="C343" s="191"/>
      <c r="D343" s="175"/>
      <c r="E343" s="175"/>
    </row>
    <row r="344" spans="1:5" ht="14.1" customHeight="1" x14ac:dyDescent="0.25">
      <c r="A344" s="173"/>
      <c r="B344" s="173"/>
      <c r="C344" s="191"/>
      <c r="D344" s="175"/>
      <c r="E344" s="175"/>
    </row>
    <row r="345" spans="1:5" ht="14.1" customHeight="1" x14ac:dyDescent="0.25">
      <c r="A345" s="173"/>
      <c r="B345" s="173"/>
      <c r="C345" s="191"/>
      <c r="D345" s="175"/>
      <c r="E345" s="175"/>
    </row>
    <row r="346" spans="1:5" ht="14.1" customHeight="1" x14ac:dyDescent="0.25">
      <c r="A346" s="173"/>
      <c r="B346" s="173"/>
      <c r="C346" s="191"/>
      <c r="D346" s="175"/>
      <c r="E346" s="175"/>
    </row>
    <row r="347" spans="1:5" ht="14.1" customHeight="1" x14ac:dyDescent="0.25">
      <c r="A347" s="173"/>
      <c r="B347" s="173"/>
      <c r="C347" s="191"/>
      <c r="D347" s="175"/>
      <c r="E347" s="175"/>
    </row>
    <row r="348" spans="1:5" ht="14.1" customHeight="1" x14ac:dyDescent="0.25">
      <c r="A348" s="173"/>
      <c r="B348" s="173"/>
      <c r="C348" s="191"/>
      <c r="D348" s="175"/>
      <c r="E348" s="175"/>
    </row>
    <row r="349" spans="1:5" ht="14.1" customHeight="1" x14ac:dyDescent="0.25">
      <c r="A349" s="173"/>
      <c r="B349" s="173"/>
      <c r="C349" s="191"/>
      <c r="D349" s="175"/>
      <c r="E349" s="175"/>
    </row>
    <row r="350" spans="1:5" ht="14.1" customHeight="1" x14ac:dyDescent="0.25">
      <c r="A350" s="173"/>
      <c r="B350" s="173"/>
      <c r="C350" s="191"/>
      <c r="D350" s="175"/>
      <c r="E350" s="175"/>
    </row>
    <row r="351" spans="1:5" ht="14.1" customHeight="1" x14ac:dyDescent="0.25">
      <c r="A351" s="173"/>
      <c r="B351" s="173"/>
      <c r="C351" s="191"/>
      <c r="D351" s="175"/>
      <c r="E351" s="175"/>
    </row>
    <row r="352" spans="1:5" ht="14.1" customHeight="1" x14ac:dyDescent="0.25">
      <c r="A352" s="173"/>
      <c r="B352" s="173"/>
      <c r="C352" s="191"/>
      <c r="D352" s="175"/>
      <c r="E352" s="175"/>
    </row>
    <row r="353" spans="1:5" ht="14.1" customHeight="1" x14ac:dyDescent="0.25">
      <c r="A353" s="173"/>
      <c r="B353" s="173"/>
      <c r="C353" s="191"/>
      <c r="D353" s="175"/>
      <c r="E353" s="175"/>
    </row>
    <row r="354" spans="1:5" ht="14.1" customHeight="1" x14ac:dyDescent="0.25">
      <c r="A354" s="173"/>
      <c r="B354" s="173"/>
      <c r="C354" s="191"/>
      <c r="D354" s="175"/>
      <c r="E354" s="175"/>
    </row>
    <row r="355" spans="1:5" ht="14.1" customHeight="1" x14ac:dyDescent="0.25">
      <c r="A355" s="173"/>
      <c r="B355" s="173"/>
      <c r="C355" s="191"/>
      <c r="D355" s="175"/>
      <c r="E355" s="175"/>
    </row>
    <row r="356" spans="1:5" ht="14.1" customHeight="1" x14ac:dyDescent="0.25">
      <c r="A356" s="173"/>
      <c r="B356" s="173"/>
      <c r="C356" s="191"/>
      <c r="D356" s="175"/>
      <c r="E356" s="175"/>
    </row>
    <row r="357" spans="1:5" ht="14.1" customHeight="1" x14ac:dyDescent="0.25">
      <c r="A357" s="208" t="s">
        <v>424</v>
      </c>
      <c r="B357" s="208"/>
      <c r="C357" s="208"/>
      <c r="D357" s="208"/>
      <c r="E357" s="208"/>
    </row>
    <row r="358" spans="1:5" ht="14.1" customHeight="1" x14ac:dyDescent="0.25">
      <c r="A358" s="257" t="s">
        <v>425</v>
      </c>
      <c r="B358" s="257"/>
      <c r="C358" s="257"/>
      <c r="D358" s="257"/>
      <c r="E358" s="257"/>
    </row>
    <row r="359" spans="1:5" ht="14.1" customHeight="1" x14ac:dyDescent="0.25">
      <c r="A359" s="173" t="s">
        <v>426</v>
      </c>
      <c r="B359" s="172" t="s">
        <v>254</v>
      </c>
      <c r="C359" s="189">
        <v>289197220.32000011</v>
      </c>
      <c r="D359" s="175"/>
      <c r="E359" s="175"/>
    </row>
    <row r="360" spans="1:5" ht="14.1" customHeight="1" x14ac:dyDescent="0.25">
      <c r="A360" s="173" t="s">
        <v>427</v>
      </c>
      <c r="B360" s="172" t="s">
        <v>254</v>
      </c>
      <c r="C360" s="189">
        <v>491276315.37999994</v>
      </c>
      <c r="D360" s="175"/>
      <c r="E360" s="175"/>
    </row>
    <row r="361" spans="1:5" ht="14.1" customHeight="1" x14ac:dyDescent="0.25">
      <c r="A361" s="173" t="s">
        <v>428</v>
      </c>
      <c r="B361" s="175"/>
      <c r="C361" s="191"/>
      <c r="D361" s="175">
        <f>SUM(C359:C360)</f>
        <v>780473535.70000005</v>
      </c>
      <c r="E361" s="175"/>
    </row>
    <row r="362" spans="1:5" ht="14.1" customHeight="1" x14ac:dyDescent="0.25">
      <c r="A362" s="257" t="s">
        <v>429</v>
      </c>
      <c r="B362" s="257"/>
      <c r="C362" s="257"/>
      <c r="D362" s="257"/>
      <c r="E362" s="257"/>
    </row>
    <row r="363" spans="1:5" ht="14.1" customHeight="1" x14ac:dyDescent="0.25">
      <c r="A363" s="173" t="s">
        <v>1253</v>
      </c>
      <c r="B363" s="257"/>
      <c r="C363" s="189">
        <v>9808680.2700000033</v>
      </c>
      <c r="D363" s="175"/>
      <c r="E363" s="257"/>
    </row>
    <row r="364" spans="1:5" ht="14.1" customHeight="1" x14ac:dyDescent="0.25">
      <c r="A364" s="173" t="s">
        <v>430</v>
      </c>
      <c r="B364" s="172" t="s">
        <v>254</v>
      </c>
      <c r="C364" s="189">
        <v>486789371.78000015</v>
      </c>
      <c r="D364" s="175"/>
      <c r="E364" s="175"/>
    </row>
    <row r="365" spans="1:5" ht="14.1" customHeight="1" x14ac:dyDescent="0.25">
      <c r="A365" s="173" t="s">
        <v>431</v>
      </c>
      <c r="B365" s="172" t="s">
        <v>254</v>
      </c>
      <c r="C365" s="189">
        <v>11229344.970000001</v>
      </c>
      <c r="D365" s="175"/>
      <c r="E365" s="175"/>
    </row>
    <row r="366" spans="1:5" ht="14.1" customHeight="1" x14ac:dyDescent="0.25">
      <c r="A366" s="173" t="s">
        <v>432</v>
      </c>
      <c r="B366" s="172" t="s">
        <v>254</v>
      </c>
      <c r="C366" s="189">
        <v>18642837.129999999</v>
      </c>
      <c r="D366" s="175"/>
      <c r="E366" s="175"/>
    </row>
    <row r="367" spans="1:5" ht="14.1" customHeight="1" x14ac:dyDescent="0.25">
      <c r="A367" s="173" t="s">
        <v>357</v>
      </c>
      <c r="B367" s="175"/>
      <c r="C367" s="191"/>
      <c r="D367" s="175">
        <f>SUM(C363:C366)</f>
        <v>526470234.15000015</v>
      </c>
      <c r="E367" s="175"/>
    </row>
    <row r="368" spans="1:5" ht="14.1" customHeight="1" x14ac:dyDescent="0.25">
      <c r="A368" s="173" t="s">
        <v>433</v>
      </c>
      <c r="B368" s="175"/>
      <c r="C368" s="191"/>
      <c r="D368" s="175">
        <f>D361-D367</f>
        <v>254003301.54999989</v>
      </c>
      <c r="E368" s="175"/>
    </row>
    <row r="369" spans="1:5" ht="14.1" customHeight="1" x14ac:dyDescent="0.25">
      <c r="A369" s="257" t="s">
        <v>434</v>
      </c>
      <c r="B369" s="257"/>
      <c r="C369" s="257"/>
      <c r="D369" s="257"/>
      <c r="E369" s="257"/>
    </row>
    <row r="370" spans="1:5" ht="14.1" customHeight="1" x14ac:dyDescent="0.25">
      <c r="A370" s="173" t="s">
        <v>435</v>
      </c>
      <c r="B370" s="172" t="s">
        <v>254</v>
      </c>
      <c r="C370" s="189">
        <v>6114912.5599999987</v>
      </c>
      <c r="D370" s="175"/>
      <c r="E370" s="175"/>
    </row>
    <row r="371" spans="1:5" ht="14.1" customHeight="1" x14ac:dyDescent="0.25">
      <c r="A371" s="173" t="s">
        <v>436</v>
      </c>
      <c r="B371" s="172" t="s">
        <v>254</v>
      </c>
      <c r="C371" s="189">
        <v>0</v>
      </c>
      <c r="D371" s="175"/>
      <c r="E371" s="175"/>
    </row>
    <row r="372" spans="1:5" ht="14.1" customHeight="1" x14ac:dyDescent="0.25">
      <c r="A372" s="173" t="s">
        <v>437</v>
      </c>
      <c r="B372" s="175"/>
      <c r="C372" s="191"/>
      <c r="D372" s="175">
        <f>SUM(C370:C371)</f>
        <v>6114912.5599999987</v>
      </c>
      <c r="E372" s="175"/>
    </row>
    <row r="373" spans="1:5" ht="14.1" customHeight="1" x14ac:dyDescent="0.25">
      <c r="A373" s="173" t="s">
        <v>438</v>
      </c>
      <c r="B373" s="175"/>
      <c r="C373" s="191"/>
      <c r="D373" s="175">
        <f>D368+D372</f>
        <v>260118214.1099999</v>
      </c>
      <c r="E373" s="175"/>
    </row>
    <row r="374" spans="1:5" ht="14.1" customHeight="1" x14ac:dyDescent="0.25">
      <c r="A374" s="173"/>
      <c r="B374" s="175"/>
      <c r="C374" s="191"/>
      <c r="D374" s="175"/>
      <c r="E374" s="175"/>
    </row>
    <row r="375" spans="1:5" ht="14.1" customHeight="1" x14ac:dyDescent="0.25">
      <c r="A375" s="173"/>
      <c r="B375" s="175"/>
      <c r="C375" s="191"/>
      <c r="D375" s="175"/>
      <c r="E375" s="175"/>
    </row>
    <row r="376" spans="1:5" ht="14.1" customHeight="1" x14ac:dyDescent="0.25">
      <c r="A376" s="173"/>
      <c r="B376" s="175"/>
      <c r="C376" s="191"/>
      <c r="D376" s="175"/>
      <c r="E376" s="175"/>
    </row>
    <row r="377" spans="1:5" ht="14.1" customHeight="1" x14ac:dyDescent="0.25">
      <c r="A377" s="257" t="s">
        <v>439</v>
      </c>
      <c r="B377" s="257"/>
      <c r="C377" s="257"/>
      <c r="D377" s="257"/>
      <c r="E377" s="257"/>
    </row>
    <row r="378" spans="1:5" ht="14.1" customHeight="1" x14ac:dyDescent="0.25">
      <c r="A378" s="173" t="s">
        <v>440</v>
      </c>
      <c r="B378" s="172" t="s">
        <v>254</v>
      </c>
      <c r="C378" s="189">
        <v>119440700.67</v>
      </c>
      <c r="D378" s="175"/>
      <c r="E378" s="175"/>
    </row>
    <row r="379" spans="1:5" ht="14.1" customHeight="1" x14ac:dyDescent="0.25">
      <c r="A379" s="173" t="s">
        <v>3</v>
      </c>
      <c r="B379" s="172" t="s">
        <v>254</v>
      </c>
      <c r="C379" s="189">
        <v>30164914</v>
      </c>
      <c r="D379" s="175"/>
      <c r="E379" s="175"/>
    </row>
    <row r="380" spans="1:5" ht="14.1" customHeight="1" x14ac:dyDescent="0.25">
      <c r="A380" s="173" t="s">
        <v>234</v>
      </c>
      <c r="B380" s="172" t="s">
        <v>254</v>
      </c>
      <c r="C380" s="189">
        <v>5071413.5</v>
      </c>
      <c r="D380" s="175"/>
      <c r="E380" s="175"/>
    </row>
    <row r="381" spans="1:5" ht="14.1" customHeight="1" x14ac:dyDescent="0.25">
      <c r="A381" s="173" t="s">
        <v>441</v>
      </c>
      <c r="B381" s="172" t="s">
        <v>254</v>
      </c>
      <c r="C381" s="189">
        <v>32743648.639999993</v>
      </c>
      <c r="D381" s="175"/>
      <c r="E381" s="175"/>
    </row>
    <row r="382" spans="1:5" ht="14.1" customHeight="1" x14ac:dyDescent="0.25">
      <c r="A382" s="173" t="s">
        <v>442</v>
      </c>
      <c r="B382" s="172" t="s">
        <v>254</v>
      </c>
      <c r="C382" s="189">
        <v>2716964.4</v>
      </c>
      <c r="D382" s="175"/>
      <c r="E382" s="175"/>
    </row>
    <row r="383" spans="1:5" ht="14.1" customHeight="1" x14ac:dyDescent="0.25">
      <c r="A383" s="173" t="s">
        <v>443</v>
      </c>
      <c r="B383" s="172" t="s">
        <v>254</v>
      </c>
      <c r="C383" s="189">
        <v>47150869.999999993</v>
      </c>
      <c r="D383" s="175"/>
      <c r="E383" s="175"/>
    </row>
    <row r="384" spans="1:5" ht="14.1" customHeight="1" x14ac:dyDescent="0.25">
      <c r="A384" s="173" t="s">
        <v>6</v>
      </c>
      <c r="B384" s="172" t="s">
        <v>254</v>
      </c>
      <c r="C384" s="189">
        <v>18337922.789999999</v>
      </c>
      <c r="D384" s="175"/>
      <c r="E384" s="175"/>
    </row>
    <row r="385" spans="1:6" ht="14.1" customHeight="1" x14ac:dyDescent="0.25">
      <c r="A385" s="173" t="s">
        <v>444</v>
      </c>
      <c r="B385" s="172" t="s">
        <v>254</v>
      </c>
      <c r="C385" s="189">
        <v>669988.6100000001</v>
      </c>
      <c r="D385" s="175"/>
      <c r="E385" s="175"/>
    </row>
    <row r="386" spans="1:6" ht="14.1" customHeight="1" x14ac:dyDescent="0.25">
      <c r="A386" s="173" t="s">
        <v>445</v>
      </c>
      <c r="B386" s="172" t="s">
        <v>254</v>
      </c>
      <c r="C386" s="189">
        <v>2194953.6700000004</v>
      </c>
      <c r="D386" s="175"/>
      <c r="E386" s="175"/>
    </row>
    <row r="387" spans="1:6" ht="14.1" customHeight="1" x14ac:dyDescent="0.25">
      <c r="A387" s="173" t="s">
        <v>446</v>
      </c>
      <c r="B387" s="172" t="s">
        <v>254</v>
      </c>
      <c r="C387" s="189">
        <v>6365743.8800000008</v>
      </c>
      <c r="D387" s="175"/>
      <c r="E387" s="175"/>
    </row>
    <row r="388" spans="1:6" ht="14.1" customHeight="1" x14ac:dyDescent="0.25">
      <c r="A388" s="173" t="s">
        <v>447</v>
      </c>
      <c r="B388" s="172" t="s">
        <v>254</v>
      </c>
      <c r="C388" s="189">
        <v>61699.830000000009</v>
      </c>
      <c r="D388" s="175"/>
      <c r="E388" s="175"/>
    </row>
    <row r="389" spans="1:6" ht="14.1" customHeight="1" x14ac:dyDescent="0.25">
      <c r="A389" s="173" t="s">
        <v>449</v>
      </c>
      <c r="B389" s="172" t="s">
        <v>254</v>
      </c>
      <c r="C389" s="189">
        <v>1267951.1399999987</v>
      </c>
      <c r="D389" s="175"/>
      <c r="E389" s="175"/>
    </row>
    <row r="390" spans="1:6" ht="14.1" customHeight="1" x14ac:dyDescent="0.25">
      <c r="A390" s="173" t="s">
        <v>450</v>
      </c>
      <c r="B390" s="175"/>
      <c r="C390" s="191"/>
      <c r="D390" s="175">
        <f>SUM(C378:C389)</f>
        <v>266186771.13</v>
      </c>
      <c r="E390" s="175"/>
    </row>
    <row r="391" spans="1:6" ht="14.1" customHeight="1" x14ac:dyDescent="0.25">
      <c r="A391" s="173" t="s">
        <v>451</v>
      </c>
      <c r="B391" s="175"/>
      <c r="C391" s="191"/>
      <c r="D391" s="175">
        <f>D373-D390</f>
        <v>-6068557.0200001001</v>
      </c>
      <c r="E391" s="175"/>
    </row>
    <row r="392" spans="1:6" ht="14.1" customHeight="1" x14ac:dyDescent="0.25">
      <c r="A392" s="173" t="s">
        <v>452</v>
      </c>
      <c r="B392" s="172" t="s">
        <v>254</v>
      </c>
      <c r="C392" s="189">
        <v>32468.279999999995</v>
      </c>
      <c r="D392" s="175"/>
      <c r="E392" s="175"/>
    </row>
    <row r="393" spans="1:6" ht="14.1" customHeight="1" x14ac:dyDescent="0.25">
      <c r="A393" s="173" t="s">
        <v>453</v>
      </c>
      <c r="B393" s="175"/>
      <c r="C393" s="191"/>
      <c r="D393" s="195">
        <f>D391+C392</f>
        <v>-6036088.7400000999</v>
      </c>
      <c r="E393" s="175"/>
      <c r="F393" s="197"/>
    </row>
    <row r="394" spans="1:6" ht="14.1" customHeight="1" x14ac:dyDescent="0.25">
      <c r="A394" s="173" t="s">
        <v>454</v>
      </c>
      <c r="B394" s="172" t="s">
        <v>254</v>
      </c>
      <c r="C394" s="189">
        <v>0</v>
      </c>
      <c r="D394" s="175"/>
      <c r="E394" s="175"/>
    </row>
    <row r="395" spans="1:6" ht="14.1" customHeight="1" x14ac:dyDescent="0.25">
      <c r="A395" s="173" t="s">
        <v>455</v>
      </c>
      <c r="B395" s="172" t="s">
        <v>254</v>
      </c>
      <c r="C395" s="189">
        <v>0</v>
      </c>
      <c r="D395" s="175"/>
      <c r="E395" s="175"/>
    </row>
    <row r="396" spans="1:6" ht="14.1" customHeight="1" x14ac:dyDescent="0.25">
      <c r="A396" s="173" t="s">
        <v>456</v>
      </c>
      <c r="B396" s="175"/>
      <c r="C396" s="191"/>
      <c r="D396" s="175">
        <f>D393+C394-C395</f>
        <v>-6036088.7400000999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457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PeaceHealth St John Medical Center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458</v>
      </c>
      <c r="B413" s="181" t="s">
        <v>459</v>
      </c>
      <c r="C413" s="181" t="s">
        <v>1241</v>
      </c>
      <c r="D413" s="181" t="s">
        <v>460</v>
      </c>
    </row>
    <row r="414" spans="1:5" ht="12.6" customHeight="1" x14ac:dyDescent="0.25">
      <c r="A414" s="179" t="s">
        <v>461</v>
      </c>
      <c r="B414" s="179">
        <f>C111</f>
        <v>7319</v>
      </c>
      <c r="C414" s="194">
        <f>E138</f>
        <v>7319</v>
      </c>
      <c r="D414" s="179"/>
    </row>
    <row r="415" spans="1:5" ht="12.6" customHeight="1" x14ac:dyDescent="0.25">
      <c r="A415" s="179" t="s">
        <v>462</v>
      </c>
      <c r="B415" s="179">
        <f>D111</f>
        <v>28350</v>
      </c>
      <c r="C415" s="179">
        <f>E139</f>
        <v>28350</v>
      </c>
      <c r="D415" s="194">
        <f>SUM(C59:H59)+N59</f>
        <v>28350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463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464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465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466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467</v>
      </c>
      <c r="B423" s="180">
        <f>C114</f>
        <v>786</v>
      </c>
    </row>
    <row r="424" spans="1:7" ht="12.6" customHeight="1" x14ac:dyDescent="0.25">
      <c r="A424" s="179" t="s">
        <v>1242</v>
      </c>
      <c r="B424" s="179">
        <f>D114</f>
        <v>1700</v>
      </c>
      <c r="D424" s="179">
        <f>J59</f>
        <v>1700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468</v>
      </c>
      <c r="B426" s="181" t="s">
        <v>469</v>
      </c>
      <c r="C426" s="181" t="s">
        <v>460</v>
      </c>
      <c r="D426" s="181" t="s">
        <v>470</v>
      </c>
    </row>
    <row r="427" spans="1:7" ht="12.6" customHeight="1" x14ac:dyDescent="0.25">
      <c r="A427" s="179" t="s">
        <v>471</v>
      </c>
      <c r="B427" s="179">
        <f t="shared" ref="B427:B437" si="12">C378</f>
        <v>119440700.67</v>
      </c>
      <c r="C427" s="179">
        <f t="shared" ref="C427:C434" si="13">CE61</f>
        <v>119440700.67</v>
      </c>
      <c r="D427" s="179"/>
    </row>
    <row r="428" spans="1:7" ht="12.6" customHeight="1" x14ac:dyDescent="0.25">
      <c r="A428" s="179" t="s">
        <v>3</v>
      </c>
      <c r="B428" s="179">
        <f t="shared" si="12"/>
        <v>30164914</v>
      </c>
      <c r="C428" s="179">
        <f t="shared" si="13"/>
        <v>30164914</v>
      </c>
      <c r="D428" s="179">
        <f>D173</f>
        <v>30164914.210000016</v>
      </c>
    </row>
    <row r="429" spans="1:7" ht="12.6" customHeight="1" x14ac:dyDescent="0.25">
      <c r="A429" s="179" t="s">
        <v>234</v>
      </c>
      <c r="B429" s="179">
        <f t="shared" si="12"/>
        <v>5071413.5</v>
      </c>
      <c r="C429" s="179">
        <f t="shared" si="13"/>
        <v>5071413.5</v>
      </c>
      <c r="D429" s="179"/>
    </row>
    <row r="430" spans="1:7" ht="12.6" customHeight="1" x14ac:dyDescent="0.25">
      <c r="A430" s="179" t="s">
        <v>235</v>
      </c>
      <c r="B430" s="179">
        <f t="shared" si="12"/>
        <v>32743648.639999993</v>
      </c>
      <c r="C430" s="179">
        <f t="shared" si="13"/>
        <v>32743648.639999993</v>
      </c>
      <c r="D430" s="179"/>
    </row>
    <row r="431" spans="1:7" ht="12.6" customHeight="1" x14ac:dyDescent="0.25">
      <c r="A431" s="179" t="s">
        <v>442</v>
      </c>
      <c r="B431" s="179">
        <f t="shared" si="12"/>
        <v>2716964.4</v>
      </c>
      <c r="C431" s="179">
        <f t="shared" si="13"/>
        <v>2716964.4</v>
      </c>
      <c r="D431" s="179"/>
    </row>
    <row r="432" spans="1:7" ht="12.6" customHeight="1" x14ac:dyDescent="0.25">
      <c r="A432" s="179" t="s">
        <v>443</v>
      </c>
      <c r="B432" s="179">
        <f t="shared" si="12"/>
        <v>47150869.999999993</v>
      </c>
      <c r="C432" s="179">
        <f t="shared" si="13"/>
        <v>47150869.999999993</v>
      </c>
      <c r="D432" s="179"/>
    </row>
    <row r="433" spans="1:7" ht="12.6" customHeight="1" x14ac:dyDescent="0.25">
      <c r="A433" s="179" t="s">
        <v>6</v>
      </c>
      <c r="B433" s="179">
        <f t="shared" si="12"/>
        <v>18337922.789999999</v>
      </c>
      <c r="C433" s="179">
        <f t="shared" si="13"/>
        <v>18337923</v>
      </c>
      <c r="D433" s="179">
        <f>C217</f>
        <v>8341279.2799999984</v>
      </c>
    </row>
    <row r="434" spans="1:7" ht="12.6" customHeight="1" x14ac:dyDescent="0.25">
      <c r="A434" s="179" t="s">
        <v>472</v>
      </c>
      <c r="B434" s="179">
        <f t="shared" si="12"/>
        <v>669988.6100000001</v>
      </c>
      <c r="C434" s="179">
        <f t="shared" si="13"/>
        <v>669988.6100000001</v>
      </c>
      <c r="D434" s="179">
        <f>D177</f>
        <v>669988.6100000001</v>
      </c>
    </row>
    <row r="435" spans="1:7" ht="12.6" customHeight="1" x14ac:dyDescent="0.25">
      <c r="A435" s="179" t="s">
        <v>445</v>
      </c>
      <c r="B435" s="179">
        <f t="shared" si="12"/>
        <v>2194953.6700000004</v>
      </c>
      <c r="C435" s="179"/>
      <c r="D435" s="179">
        <f>D181</f>
        <v>2194953.67</v>
      </c>
    </row>
    <row r="436" spans="1:7" ht="12.6" customHeight="1" x14ac:dyDescent="0.25">
      <c r="A436" s="179" t="s">
        <v>473</v>
      </c>
      <c r="B436" s="179">
        <f t="shared" si="12"/>
        <v>6365743.8800000008</v>
      </c>
      <c r="C436" s="179"/>
      <c r="D436" s="179">
        <f>D186</f>
        <v>6365743.8800000008</v>
      </c>
    </row>
    <row r="437" spans="1:7" ht="12.6" customHeight="1" x14ac:dyDescent="0.25">
      <c r="A437" s="194" t="s">
        <v>447</v>
      </c>
      <c r="B437" s="194">
        <f t="shared" si="12"/>
        <v>61699.830000000009</v>
      </c>
      <c r="C437" s="194"/>
      <c r="D437" s="194">
        <f>D190</f>
        <v>61699.830000000009</v>
      </c>
    </row>
    <row r="438" spans="1:7" ht="12.6" customHeight="1" x14ac:dyDescent="0.25">
      <c r="A438" s="194" t="s">
        <v>474</v>
      </c>
      <c r="B438" s="194">
        <f>C386+C387+C388</f>
        <v>8622397.3800000008</v>
      </c>
      <c r="C438" s="194">
        <f>CD69</f>
        <v>6004937.1299999999</v>
      </c>
      <c r="D438" s="194">
        <f>D181+D186+D190</f>
        <v>8622397.3800000008</v>
      </c>
    </row>
    <row r="439" spans="1:7" ht="12.6" customHeight="1" x14ac:dyDescent="0.25">
      <c r="A439" s="179" t="s">
        <v>449</v>
      </c>
      <c r="B439" s="194">
        <f>C389</f>
        <v>1267951.1399999987</v>
      </c>
      <c r="C439" s="194">
        <f>SUM(C69:CC69)</f>
        <v>3885411.3900000006</v>
      </c>
      <c r="D439" s="179"/>
    </row>
    <row r="440" spans="1:7" ht="12.6" customHeight="1" x14ac:dyDescent="0.25">
      <c r="A440" s="179" t="s">
        <v>475</v>
      </c>
      <c r="B440" s="194">
        <f>B438+B439</f>
        <v>9890348.5199999996</v>
      </c>
      <c r="C440" s="194">
        <f>CE69</f>
        <v>9890348.5199999996</v>
      </c>
      <c r="D440" s="179"/>
    </row>
    <row r="441" spans="1:7" ht="12.6" customHeight="1" x14ac:dyDescent="0.25">
      <c r="A441" s="179" t="s">
        <v>476</v>
      </c>
      <c r="B441" s="179">
        <f>D390</f>
        <v>266186771.13</v>
      </c>
      <c r="C441" s="179">
        <f>SUM(C427:C437)+C440</f>
        <v>266186771.34000003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477</v>
      </c>
      <c r="B443" s="181" t="s">
        <v>478</v>
      </c>
      <c r="C443" s="181" t="s">
        <v>469</v>
      </c>
      <c r="D443" s="179"/>
    </row>
    <row r="444" spans="1:7" ht="12.6" customHeight="1" x14ac:dyDescent="0.25">
      <c r="A444" s="179" t="s">
        <v>1255</v>
      </c>
      <c r="B444" s="179">
        <f>D221</f>
        <v>9808680.2700000033</v>
      </c>
      <c r="C444" s="179">
        <f>C363</f>
        <v>9808680.2700000033</v>
      </c>
      <c r="D444" s="179"/>
    </row>
    <row r="445" spans="1:7" ht="12.6" customHeight="1" x14ac:dyDescent="0.25">
      <c r="A445" s="179" t="s">
        <v>341</v>
      </c>
      <c r="B445" s="179">
        <f>D229</f>
        <v>486789371.78000003</v>
      </c>
      <c r="C445" s="179">
        <f>C364</f>
        <v>486789371.78000015</v>
      </c>
      <c r="D445" s="179"/>
    </row>
    <row r="446" spans="1:7" ht="12.6" customHeight="1" x14ac:dyDescent="0.25">
      <c r="A446" s="179" t="s">
        <v>349</v>
      </c>
      <c r="B446" s="179">
        <f>D236</f>
        <v>11229345</v>
      </c>
      <c r="C446" s="179">
        <f>C365</f>
        <v>11229344.970000001</v>
      </c>
      <c r="D446" s="179"/>
    </row>
    <row r="447" spans="1:7" ht="12.6" customHeight="1" x14ac:dyDescent="0.25">
      <c r="A447" s="179" t="s">
        <v>354</v>
      </c>
      <c r="B447" s="179">
        <f>D240</f>
        <v>18642837</v>
      </c>
      <c r="C447" s="179">
        <f>C366</f>
        <v>18642837.129999999</v>
      </c>
      <c r="D447" s="179"/>
    </row>
    <row r="448" spans="1:7" ht="12.6" customHeight="1" x14ac:dyDescent="0.25">
      <c r="A448" s="179" t="s">
        <v>356</v>
      </c>
      <c r="B448" s="179">
        <f>D242</f>
        <v>526470234.05000001</v>
      </c>
      <c r="C448" s="179">
        <f>D367</f>
        <v>526470234.15000015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479</v>
      </c>
      <c r="B450" s="181" t="s">
        <v>480</v>
      </c>
      <c r="C450" s="206"/>
      <c r="D450" s="206"/>
      <c r="F450" s="206"/>
      <c r="G450" s="206"/>
    </row>
    <row r="451" spans="1:7" ht="12.6" customHeight="1" x14ac:dyDescent="0.25">
      <c r="B451" s="181" t="s">
        <v>481</v>
      </c>
    </row>
    <row r="452" spans="1:7" ht="12.6" customHeight="1" x14ac:dyDescent="0.25">
      <c r="B452" s="181" t="s">
        <v>470</v>
      </c>
    </row>
    <row r="453" spans="1:7" ht="12.6" customHeight="1" x14ac:dyDescent="0.25">
      <c r="A453" s="199" t="s">
        <v>482</v>
      </c>
      <c r="B453" s="180">
        <f>C231</f>
        <v>6807</v>
      </c>
    </row>
    <row r="454" spans="1:7" ht="12.6" customHeight="1" x14ac:dyDescent="0.25">
      <c r="A454" s="179" t="s">
        <v>168</v>
      </c>
      <c r="B454" s="179">
        <f>C233</f>
        <v>2865953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8363392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483</v>
      </c>
      <c r="B457" s="181" t="s">
        <v>469</v>
      </c>
      <c r="C457" s="181" t="s">
        <v>484</v>
      </c>
      <c r="D457" s="179"/>
    </row>
    <row r="458" spans="1:7" ht="12.6" customHeight="1" x14ac:dyDescent="0.25">
      <c r="A458" s="179" t="s">
        <v>485</v>
      </c>
      <c r="B458" s="194">
        <f>C370</f>
        <v>6114912.5599999987</v>
      </c>
      <c r="C458" s="194">
        <f>CE70</f>
        <v>6114912.5599999987</v>
      </c>
      <c r="D458" s="194"/>
    </row>
    <row r="459" spans="1:7" ht="12.6" customHeight="1" x14ac:dyDescent="0.25">
      <c r="A459" s="179" t="s">
        <v>242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486</v>
      </c>
      <c r="B461" s="181"/>
      <c r="C461" s="181"/>
      <c r="D461" s="181" t="s">
        <v>1243</v>
      </c>
    </row>
    <row r="462" spans="1:7" ht="12.6" customHeight="1" x14ac:dyDescent="0.25">
      <c r="B462" s="181" t="s">
        <v>469</v>
      </c>
      <c r="C462" s="181" t="s">
        <v>484</v>
      </c>
      <c r="D462" s="181" t="s">
        <v>488</v>
      </c>
    </row>
    <row r="463" spans="1:7" ht="12.6" customHeight="1" x14ac:dyDescent="0.25">
      <c r="A463" s="179" t="s">
        <v>243</v>
      </c>
      <c r="B463" s="194">
        <f>C359</f>
        <v>289197220.32000011</v>
      </c>
      <c r="C463" s="194">
        <f>CE73</f>
        <v>289197220.32000011</v>
      </c>
      <c r="D463" s="194">
        <f>E141+E147+E153</f>
        <v>289197220.32000011</v>
      </c>
    </row>
    <row r="464" spans="1:7" ht="12.6" customHeight="1" x14ac:dyDescent="0.25">
      <c r="A464" s="179" t="s">
        <v>244</v>
      </c>
      <c r="B464" s="194">
        <f>C360</f>
        <v>491276315.37999994</v>
      </c>
      <c r="C464" s="194">
        <f>CE74</f>
        <v>491276315.37999994</v>
      </c>
      <c r="D464" s="194">
        <f>E142+E148+E154</f>
        <v>491276315.37999994</v>
      </c>
    </row>
    <row r="465" spans="1:7" ht="12.6" customHeight="1" x14ac:dyDescent="0.25">
      <c r="A465" s="179" t="s">
        <v>245</v>
      </c>
      <c r="B465" s="194">
        <f>D361</f>
        <v>780473535.70000005</v>
      </c>
      <c r="C465" s="194">
        <f>CE75</f>
        <v>780473535.70000005</v>
      </c>
      <c r="D465" s="194">
        <f>D463+D464</f>
        <v>780473535.70000005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489</v>
      </c>
      <c r="B467" s="181" t="s">
        <v>490</v>
      </c>
      <c r="C467" s="181" t="s">
        <v>491</v>
      </c>
      <c r="D467" s="179"/>
    </row>
    <row r="468" spans="1:7" ht="12.6" customHeight="1" x14ac:dyDescent="0.25">
      <c r="A468" s="179" t="s">
        <v>330</v>
      </c>
      <c r="B468" s="179">
        <f t="shared" ref="B468:B475" si="14">C267</f>
        <v>3531052</v>
      </c>
      <c r="C468" s="179">
        <f>E195</f>
        <v>3531052</v>
      </c>
      <c r="D468" s="179"/>
    </row>
    <row r="469" spans="1:7" ht="12.6" customHeight="1" x14ac:dyDescent="0.25">
      <c r="A469" s="179" t="s">
        <v>331</v>
      </c>
      <c r="B469" s="179">
        <f t="shared" si="14"/>
        <v>2705104.98</v>
      </c>
      <c r="C469" s="179">
        <f>E196</f>
        <v>2705104.98</v>
      </c>
      <c r="D469" s="179"/>
    </row>
    <row r="470" spans="1:7" ht="12.6" customHeight="1" x14ac:dyDescent="0.25">
      <c r="A470" s="179" t="s">
        <v>332</v>
      </c>
      <c r="B470" s="179">
        <f t="shared" si="14"/>
        <v>165835532.44000003</v>
      </c>
      <c r="C470" s="179">
        <f>E197</f>
        <v>165835532.44000003</v>
      </c>
      <c r="D470" s="179"/>
    </row>
    <row r="471" spans="1:7" ht="12.6" customHeight="1" x14ac:dyDescent="0.25">
      <c r="A471" s="179" t="s">
        <v>492</v>
      </c>
      <c r="B471" s="179">
        <f t="shared" si="14"/>
        <v>18966976.659999996</v>
      </c>
      <c r="C471" s="179">
        <f>E198</f>
        <v>18966976.659999996</v>
      </c>
      <c r="D471" s="179"/>
    </row>
    <row r="472" spans="1:7" ht="12.6" customHeight="1" x14ac:dyDescent="0.25">
      <c r="A472" s="179" t="s">
        <v>375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493</v>
      </c>
      <c r="B473" s="179">
        <f t="shared" si="14"/>
        <v>64599443.950000003</v>
      </c>
      <c r="C473" s="179">
        <f>SUM(E200:E201)</f>
        <v>64599443.950000003</v>
      </c>
      <c r="D473" s="179"/>
    </row>
    <row r="474" spans="1:7" ht="12.6" customHeight="1" x14ac:dyDescent="0.25">
      <c r="A474" s="179" t="s">
        <v>337</v>
      </c>
      <c r="B474" s="179">
        <f t="shared" si="14"/>
        <v>260324.44999999998</v>
      </c>
      <c r="C474" s="179">
        <f>E202</f>
        <v>260324.44999999998</v>
      </c>
      <c r="D474" s="179"/>
    </row>
    <row r="475" spans="1:7" ht="12.6" customHeight="1" x14ac:dyDescent="0.25">
      <c r="A475" s="179" t="s">
        <v>338</v>
      </c>
      <c r="B475" s="179">
        <f t="shared" si="14"/>
        <v>1245544.1300000008</v>
      </c>
      <c r="C475" s="179">
        <f>E203</f>
        <v>1245544.1300000008</v>
      </c>
      <c r="D475" s="179"/>
    </row>
    <row r="476" spans="1:7" ht="12.6" customHeight="1" x14ac:dyDescent="0.25">
      <c r="A476" s="179" t="s">
        <v>203</v>
      </c>
      <c r="B476" s="179">
        <f>D275</f>
        <v>257143978.61000001</v>
      </c>
      <c r="C476" s="179">
        <f>E204</f>
        <v>257143978.61000001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494</v>
      </c>
      <c r="B478" s="179">
        <f>C276</f>
        <v>166583073.74000004</v>
      </c>
      <c r="C478" s="179">
        <f>E217</f>
        <v>166583073.74000004</v>
      </c>
      <c r="D478" s="179"/>
    </row>
    <row r="480" spans="1:7" ht="12.6" customHeight="1" x14ac:dyDescent="0.25">
      <c r="A480" s="180" t="s">
        <v>495</v>
      </c>
    </row>
    <row r="481" spans="1:12" ht="12.6" customHeight="1" x14ac:dyDescent="0.25">
      <c r="A481" s="180" t="s">
        <v>496</v>
      </c>
      <c r="C481" s="180">
        <f>D341</f>
        <v>132894304.86999997</v>
      </c>
    </row>
    <row r="482" spans="1:12" ht="12.6" customHeight="1" x14ac:dyDescent="0.25">
      <c r="A482" s="180" t="s">
        <v>497</v>
      </c>
      <c r="C482" s="180">
        <f>D339</f>
        <v>132894305</v>
      </c>
    </row>
    <row r="485" spans="1:12" ht="12.6" customHeight="1" x14ac:dyDescent="0.25">
      <c r="A485" s="199" t="s">
        <v>498</v>
      </c>
    </row>
    <row r="486" spans="1:12" ht="12.6" customHeight="1" x14ac:dyDescent="0.25">
      <c r="A486" s="199" t="s">
        <v>499</v>
      </c>
    </row>
    <row r="487" spans="1:12" ht="12.6" customHeight="1" x14ac:dyDescent="0.25">
      <c r="A487" s="199" t="s">
        <v>500</v>
      </c>
    </row>
    <row r="488" spans="1:12" ht="12.6" customHeight="1" x14ac:dyDescent="0.25">
      <c r="A488" s="199"/>
    </row>
    <row r="489" spans="1:12" ht="12.6" customHeight="1" x14ac:dyDescent="0.25">
      <c r="A489" s="198" t="s">
        <v>501</v>
      </c>
    </row>
    <row r="490" spans="1:12" ht="12.6" customHeight="1" x14ac:dyDescent="0.25">
      <c r="A490" s="199" t="s">
        <v>502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026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503</v>
      </c>
      <c r="C494" s="181" t="s">
        <v>503</v>
      </c>
      <c r="D494" s="262" t="s">
        <v>504</v>
      </c>
      <c r="E494" s="262" t="s">
        <v>504</v>
      </c>
      <c r="F494" s="261" t="s">
        <v>505</v>
      </c>
      <c r="G494" s="261" t="s">
        <v>505</v>
      </c>
      <c r="H494" s="261" t="s">
        <v>506</v>
      </c>
      <c r="K494" s="261"/>
      <c r="L494" s="261"/>
    </row>
    <row r="495" spans="1:12" ht="12.6" customHeight="1" x14ac:dyDescent="0.25">
      <c r="B495" s="181" t="s">
        <v>301</v>
      </c>
      <c r="C495" s="181" t="s">
        <v>301</v>
      </c>
      <c r="D495" s="181" t="s">
        <v>507</v>
      </c>
      <c r="E495" s="181" t="s">
        <v>507</v>
      </c>
      <c r="F495" s="261" t="s">
        <v>508</v>
      </c>
      <c r="G495" s="261" t="s">
        <v>508</v>
      </c>
      <c r="H495" s="261" t="s">
        <v>509</v>
      </c>
      <c r="K495" s="261"/>
      <c r="L495" s="261"/>
    </row>
    <row r="496" spans="1:12" ht="12.6" customHeight="1" x14ac:dyDescent="0.25">
      <c r="A496" s="180" t="s">
        <v>510</v>
      </c>
      <c r="B496" s="240">
        <f>'Prior Year'!C71</f>
        <v>9936320.870000001</v>
      </c>
      <c r="C496" s="240">
        <f>C71</f>
        <v>9860572.2799999993</v>
      </c>
      <c r="D496" s="240">
        <f>'Prior Year'!C59</f>
        <v>9439</v>
      </c>
      <c r="E496" s="180">
        <f>C59</f>
        <v>8413</v>
      </c>
      <c r="F496" s="263">
        <f t="shared" ref="F496:G511" si="15">IF(B496=0,"",IF(D496=0,"",B496/D496))</f>
        <v>1052.6878768937388</v>
      </c>
      <c r="G496" s="264">
        <f t="shared" si="15"/>
        <v>1172.0637442053962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511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512</v>
      </c>
      <c r="B498" s="240">
        <f>'Prior Year'!E71</f>
        <v>15530428.483298</v>
      </c>
      <c r="C498" s="240">
        <f>E71</f>
        <v>15983745.935500003</v>
      </c>
      <c r="D498" s="240">
        <f>'Prior Year'!E59</f>
        <v>15589</v>
      </c>
      <c r="E498" s="180">
        <f>E59</f>
        <v>15313</v>
      </c>
      <c r="F498" s="263">
        <f t="shared" si="15"/>
        <v>996.24276626454548</v>
      </c>
      <c r="G498" s="263">
        <f t="shared" si="15"/>
        <v>1043.8023859139296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513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514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515</v>
      </c>
      <c r="B501" s="240">
        <f>'Prior Year'!H71</f>
        <v>4542683.4100000011</v>
      </c>
      <c r="C501" s="240">
        <f>H71</f>
        <v>3411576.4299999997</v>
      </c>
      <c r="D501" s="240">
        <f>'Prior Year'!H59</f>
        <v>5108</v>
      </c>
      <c r="E501" s="180">
        <f>H59</f>
        <v>4624</v>
      </c>
      <c r="F501" s="263">
        <f t="shared" si="15"/>
        <v>889.32721417384516</v>
      </c>
      <c r="G501" s="263">
        <f t="shared" si="15"/>
        <v>737.79767084775085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516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3">
      <c r="A503" s="180" t="s">
        <v>517</v>
      </c>
      <c r="B503" s="240">
        <f>'Prior Year'!J71</f>
        <v>394976.85670200014</v>
      </c>
      <c r="C503" s="240">
        <f>J71</f>
        <v>626833.91449999972</v>
      </c>
      <c r="D503" s="240">
        <f>'Prior Year'!J59</f>
        <v>1741</v>
      </c>
      <c r="E503" s="180">
        <f>J59</f>
        <v>1700</v>
      </c>
      <c r="F503" s="263">
        <f t="shared" si="15"/>
        <v>226.86780970821374</v>
      </c>
      <c r="G503" s="263">
        <f t="shared" si="15"/>
        <v>368.72583205882336</v>
      </c>
      <c r="H503" s="265">
        <f t="shared" si="16"/>
        <v>0.62528933713892876</v>
      </c>
      <c r="I503" s="288" t="s">
        <v>1280</v>
      </c>
      <c r="K503" s="261"/>
      <c r="L503" s="261"/>
    </row>
    <row r="504" spans="1:12" ht="12.6" customHeight="1" x14ac:dyDescent="0.3">
      <c r="A504" s="180" t="s">
        <v>518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88" t="s">
        <v>1281</v>
      </c>
      <c r="K504" s="261"/>
      <c r="L504" s="261"/>
    </row>
    <row r="505" spans="1:12" ht="12.6" customHeight="1" x14ac:dyDescent="0.3">
      <c r="A505" s="180" t="s">
        <v>519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88" t="s">
        <v>1282</v>
      </c>
      <c r="K505" s="261"/>
      <c r="L505" s="261"/>
    </row>
    <row r="506" spans="1:12" ht="12.6" customHeight="1" x14ac:dyDescent="0.3">
      <c r="A506" s="180" t="s">
        <v>520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88" t="s">
        <v>1283</v>
      </c>
      <c r="K506" s="261"/>
      <c r="L506" s="261"/>
    </row>
    <row r="507" spans="1:12" ht="12.6" customHeight="1" x14ac:dyDescent="0.25">
      <c r="A507" s="180" t="s">
        <v>521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522</v>
      </c>
      <c r="B508" s="240">
        <f>'Prior Year'!O71</f>
        <v>0</v>
      </c>
      <c r="C508" s="240">
        <f>O71</f>
        <v>0</v>
      </c>
      <c r="D508" s="240">
        <f>'Prior Year'!O59</f>
        <v>822</v>
      </c>
      <c r="E508" s="180">
        <f>O59</f>
        <v>786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523</v>
      </c>
      <c r="B509" s="240">
        <f>'Prior Year'!P71</f>
        <v>11415910.369999999</v>
      </c>
      <c r="C509" s="240">
        <f>P71</f>
        <v>12162090.599999998</v>
      </c>
      <c r="D509" s="240">
        <f>'Prior Year'!P59</f>
        <v>312352</v>
      </c>
      <c r="E509" s="180">
        <f>P59</f>
        <v>313345</v>
      </c>
      <c r="F509" s="263">
        <f t="shared" si="15"/>
        <v>36.548222422139119</v>
      </c>
      <c r="G509" s="263">
        <f t="shared" si="15"/>
        <v>38.813737573600974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524</v>
      </c>
      <c r="B510" s="240">
        <f>'Prior Year'!Q71</f>
        <v>970998.89999999991</v>
      </c>
      <c r="C510" s="240">
        <f>Q71</f>
        <v>965937.33999999973</v>
      </c>
      <c r="D510" s="240">
        <f>'Prior Year'!Q59</f>
        <v>288030</v>
      </c>
      <c r="E510" s="180">
        <f>Q59</f>
        <v>266828</v>
      </c>
      <c r="F510" s="263">
        <f t="shared" si="15"/>
        <v>3.3711727945005725</v>
      </c>
      <c r="G510" s="263">
        <f t="shared" si="15"/>
        <v>3.620074879697782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525</v>
      </c>
      <c r="B511" s="240">
        <f>'Prior Year'!R71</f>
        <v>4301763.24</v>
      </c>
      <c r="C511" s="240">
        <f>R71</f>
        <v>4455443.3000000007</v>
      </c>
      <c r="D511" s="240">
        <f>'Prior Year'!R59</f>
        <v>312352</v>
      </c>
      <c r="E511" s="180">
        <f>R59</f>
        <v>313345</v>
      </c>
      <c r="F511" s="263">
        <f t="shared" si="15"/>
        <v>13.772164865280198</v>
      </c>
      <c r="G511" s="263">
        <f t="shared" si="15"/>
        <v>14.218970463865709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526</v>
      </c>
      <c r="B512" s="240">
        <f>'Prior Year'!S71</f>
        <v>1572370.0600000003</v>
      </c>
      <c r="C512" s="240">
        <f>S71</f>
        <v>1558758.6899999997</v>
      </c>
      <c r="D512" s="181" t="s">
        <v>527</v>
      </c>
      <c r="E512" s="181" t="s">
        <v>527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1244</v>
      </c>
      <c r="B513" s="240">
        <f>'Prior Year'!T71</f>
        <v>249019.73</v>
      </c>
      <c r="C513" s="240">
        <f>T71</f>
        <v>332905.19999999995</v>
      </c>
      <c r="D513" s="181" t="s">
        <v>527</v>
      </c>
      <c r="E513" s="181" t="s">
        <v>527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528</v>
      </c>
      <c r="B514" s="240">
        <f>'Prior Year'!U71</f>
        <v>7366382.7400000002</v>
      </c>
      <c r="C514" s="240">
        <f>U71</f>
        <v>6404474.7500000009</v>
      </c>
      <c r="D514" s="240">
        <f>'Prior Year'!U59</f>
        <v>356629</v>
      </c>
      <c r="E514" s="180">
        <f>U59</f>
        <v>377061</v>
      </c>
      <c r="F514" s="263">
        <f t="shared" si="17"/>
        <v>20.655590936239062</v>
      </c>
      <c r="G514" s="263">
        <f t="shared" si="17"/>
        <v>16.985248408082516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529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530</v>
      </c>
      <c r="B516" s="240">
        <f>'Prior Year'!W71</f>
        <v>585179.8600000001</v>
      </c>
      <c r="C516" s="240">
        <f>W71</f>
        <v>614412.07000000007</v>
      </c>
      <c r="D516" s="240">
        <f>'Prior Year'!W59</f>
        <v>4353</v>
      </c>
      <c r="E516" s="180">
        <f>W59</f>
        <v>4273</v>
      </c>
      <c r="F516" s="263">
        <f t="shared" si="17"/>
        <v>134.43139444061569</v>
      </c>
      <c r="G516" s="263">
        <f t="shared" si="17"/>
        <v>143.78939152820035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531</v>
      </c>
      <c r="B517" s="240">
        <f>'Prior Year'!X71</f>
        <v>1058573.52</v>
      </c>
      <c r="C517" s="240">
        <f>X71</f>
        <v>1223956.2</v>
      </c>
      <c r="D517" s="240">
        <f>'Prior Year'!X59</f>
        <v>16178</v>
      </c>
      <c r="E517" s="180">
        <f>X59</f>
        <v>18505</v>
      </c>
      <c r="F517" s="263">
        <f t="shared" si="17"/>
        <v>65.432903943627153</v>
      </c>
      <c r="G517" s="263">
        <f t="shared" si="17"/>
        <v>66.141918400432317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532</v>
      </c>
      <c r="B518" s="240">
        <f>'Prior Year'!Y71</f>
        <v>8542575.8499999996</v>
      </c>
      <c r="C518" s="240">
        <f>Y71</f>
        <v>9269699.9299999978</v>
      </c>
      <c r="D518" s="240">
        <f>'Prior Year'!Y59</f>
        <v>76301</v>
      </c>
      <c r="E518" s="180">
        <f>Y59</f>
        <v>77217</v>
      </c>
      <c r="F518" s="263">
        <f t="shared" si="17"/>
        <v>111.95889765533872</v>
      </c>
      <c r="G518" s="263">
        <f t="shared" si="17"/>
        <v>120.04739798230956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533</v>
      </c>
      <c r="B519" s="240">
        <f>'Prior Year'!Z71</f>
        <v>1799460.3300000003</v>
      </c>
      <c r="C519" s="240">
        <f>Z71</f>
        <v>1574004.2</v>
      </c>
      <c r="D519" s="240">
        <f>'Prior Year'!Z59</f>
        <v>13134</v>
      </c>
      <c r="E519" s="180">
        <f>Z59</f>
        <v>9354</v>
      </c>
      <c r="F519" s="263">
        <f t="shared" si="17"/>
        <v>137.00779122887167</v>
      </c>
      <c r="G519" s="263">
        <f t="shared" si="17"/>
        <v>168.27070771862304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534</v>
      </c>
      <c r="B520" s="240">
        <f>'Prior Year'!AA71</f>
        <v>1021554.2899999999</v>
      </c>
      <c r="C520" s="240">
        <f>AA71</f>
        <v>1124477.3600000001</v>
      </c>
      <c r="D520" s="240">
        <f>'Prior Year'!AA59</f>
        <v>1055</v>
      </c>
      <c r="E520" s="180">
        <f>AA59</f>
        <v>1192</v>
      </c>
      <c r="F520" s="263">
        <f t="shared" si="17"/>
        <v>968.29790521327004</v>
      </c>
      <c r="G520" s="263">
        <f t="shared" si="17"/>
        <v>943.35348993288596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535</v>
      </c>
      <c r="B521" s="240">
        <f>'Prior Year'!AB71</f>
        <v>16858865.400000002</v>
      </c>
      <c r="C521" s="240">
        <f>AB71</f>
        <v>16104988.439999998</v>
      </c>
      <c r="D521" s="181" t="s">
        <v>527</v>
      </c>
      <c r="E521" s="181" t="s">
        <v>527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536</v>
      </c>
      <c r="B522" s="240">
        <f>'Prior Year'!AC71</f>
        <v>1702172.2300000002</v>
      </c>
      <c r="C522" s="240">
        <f>AC71</f>
        <v>1740401.5900000003</v>
      </c>
      <c r="D522" s="240">
        <f>'Prior Year'!AC59</f>
        <v>34049</v>
      </c>
      <c r="E522" s="180">
        <f>AC59</f>
        <v>39090</v>
      </c>
      <c r="F522" s="263">
        <f t="shared" si="17"/>
        <v>49.991842051161569</v>
      </c>
      <c r="G522" s="263">
        <f t="shared" si="17"/>
        <v>44.522936556664114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537</v>
      </c>
      <c r="B523" s="240">
        <f>'Prior Year'!AD71</f>
        <v>4394735.1499999994</v>
      </c>
      <c r="C523" s="240">
        <f>AD71</f>
        <v>4981546.8699999982</v>
      </c>
      <c r="D523" s="240">
        <f>'Prior Year'!AD59</f>
        <v>24008</v>
      </c>
      <c r="E523" s="180">
        <f>AD59</f>
        <v>26418</v>
      </c>
      <c r="F523" s="263">
        <f t="shared" si="17"/>
        <v>183.05294693435519</v>
      </c>
      <c r="G523" s="263">
        <f t="shared" si="17"/>
        <v>188.56638920433031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538</v>
      </c>
      <c r="B524" s="240">
        <f>'Prior Year'!AE71</f>
        <v>1174819.3299999998</v>
      </c>
      <c r="C524" s="240">
        <f>AE71</f>
        <v>1185843.7099999997</v>
      </c>
      <c r="D524" s="240">
        <f>'Prior Year'!AE59</f>
        <v>22914</v>
      </c>
      <c r="E524" s="180">
        <f>AE59</f>
        <v>23632</v>
      </c>
      <c r="F524" s="263">
        <f t="shared" si="17"/>
        <v>51.270809548747486</v>
      </c>
      <c r="G524" s="263">
        <f t="shared" si="17"/>
        <v>50.179574729180757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539</v>
      </c>
      <c r="B525" s="240">
        <f>'Prior Year'!AF71</f>
        <v>3033997.1300000004</v>
      </c>
      <c r="C525" s="240">
        <f>AF71</f>
        <v>3885030.06</v>
      </c>
      <c r="D525" s="240">
        <f>'Prior Year'!AF59</f>
        <v>10238</v>
      </c>
      <c r="E525" s="180">
        <f>AF59</f>
        <v>10665</v>
      </c>
      <c r="F525" s="263">
        <f t="shared" si="17"/>
        <v>296.34666243406917</v>
      </c>
      <c r="G525" s="263">
        <f t="shared" si="17"/>
        <v>364.27848663853729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540</v>
      </c>
      <c r="B526" s="240">
        <f>'Prior Year'!AG71</f>
        <v>10712792.900000002</v>
      </c>
      <c r="C526" s="240">
        <f>AG71</f>
        <v>11050939.400000002</v>
      </c>
      <c r="D526" s="240">
        <f>'Prior Year'!AG59</f>
        <v>55053</v>
      </c>
      <c r="E526" s="180">
        <f>AG59</f>
        <v>55088</v>
      </c>
      <c r="F526" s="263">
        <f t="shared" si="17"/>
        <v>194.59053820863537</v>
      </c>
      <c r="G526" s="263">
        <f t="shared" si="17"/>
        <v>200.60520258495501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541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542</v>
      </c>
      <c r="B528" s="240">
        <f>'Prior Year'!AI71</f>
        <v>5048114.1799999988</v>
      </c>
      <c r="C528" s="240">
        <f>AI71</f>
        <v>5423125.6500000004</v>
      </c>
      <c r="D528" s="240">
        <f>'Prior Year'!AI59</f>
        <v>13971</v>
      </c>
      <c r="E528" s="180">
        <f>AI59</f>
        <v>14438</v>
      </c>
      <c r="F528" s="263">
        <f t="shared" ref="F528:G540" si="18">IF(B528=0,"",IF(D528=0,"",B528/D528))</f>
        <v>361.32804953117164</v>
      </c>
      <c r="G528" s="263">
        <f t="shared" si="18"/>
        <v>375.61474234658544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543</v>
      </c>
      <c r="B529" s="240">
        <f>'Prior Year'!AJ71</f>
        <v>48814831.179999992</v>
      </c>
      <c r="C529" s="240">
        <f>AJ71</f>
        <v>57209706</v>
      </c>
      <c r="D529" s="240">
        <f>'Prior Year'!AJ59</f>
        <v>193960</v>
      </c>
      <c r="E529" s="180">
        <f>AJ59</f>
        <v>188097</v>
      </c>
      <c r="F529" s="263">
        <f t="shared" si="18"/>
        <v>251.67473283151162</v>
      </c>
      <c r="G529" s="263">
        <f t="shared" si="18"/>
        <v>304.15001834160034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544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545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546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1245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547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548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549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550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551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552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553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554</v>
      </c>
      <c r="B541" s="240">
        <f>'Prior Year'!AV71</f>
        <v>0</v>
      </c>
      <c r="C541" s="240">
        <f>AV71</f>
        <v>0</v>
      </c>
      <c r="D541" s="181" t="s">
        <v>527</v>
      </c>
      <c r="E541" s="181" t="s">
        <v>527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1246</v>
      </c>
      <c r="B542" s="240">
        <f>'Prior Year'!AW71</f>
        <v>0</v>
      </c>
      <c r="C542" s="240">
        <f>AW71</f>
        <v>0</v>
      </c>
      <c r="D542" s="181" t="s">
        <v>527</v>
      </c>
      <c r="E542" s="181" t="s">
        <v>527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555</v>
      </c>
      <c r="B543" s="240">
        <f>'Prior Year'!AX71</f>
        <v>0</v>
      </c>
      <c r="C543" s="240">
        <f>AX71</f>
        <v>0</v>
      </c>
      <c r="D543" s="181" t="s">
        <v>527</v>
      </c>
      <c r="E543" s="181" t="s">
        <v>527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556</v>
      </c>
      <c r="B544" s="240">
        <f>'Prior Year'!AY71</f>
        <v>1642467.74</v>
      </c>
      <c r="C544" s="240">
        <f>AY71</f>
        <v>1664405.0099999998</v>
      </c>
      <c r="D544" s="240">
        <f>'Prior Year'!AY59</f>
        <v>104927</v>
      </c>
      <c r="E544" s="180">
        <f>AY59</f>
        <v>99270</v>
      </c>
      <c r="F544" s="263">
        <f t="shared" ref="F544:G550" si="19">IF(B544=0,"",IF(D544=0,"",B544/D544))</f>
        <v>15.653432767543149</v>
      </c>
      <c r="G544" s="263">
        <f t="shared" si="19"/>
        <v>16.76644514959202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557</v>
      </c>
      <c r="B545" s="240">
        <f>'Prior Year'!AZ71</f>
        <v>179261.16000000015</v>
      </c>
      <c r="C545" s="240">
        <f>AZ71</f>
        <v>143741.83999999997</v>
      </c>
      <c r="D545" s="240">
        <f>'Prior Year'!AZ59</f>
        <v>298762</v>
      </c>
      <c r="E545" s="180">
        <f>AZ59</f>
        <v>318309</v>
      </c>
      <c r="F545" s="263">
        <f t="shared" si="19"/>
        <v>0.60001325469771971</v>
      </c>
      <c r="G545" s="263">
        <f t="shared" si="19"/>
        <v>0.45157956576785441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558</v>
      </c>
      <c r="B546" s="240">
        <f>'Prior Year'!BA71</f>
        <v>579706.74</v>
      </c>
      <c r="C546" s="240">
        <f>BA71</f>
        <v>9147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559</v>
      </c>
      <c r="B547" s="240">
        <f>'Prior Year'!BB71</f>
        <v>2339192.8200000003</v>
      </c>
      <c r="C547" s="240">
        <f>BB71</f>
        <v>2491548.5500000003</v>
      </c>
      <c r="D547" s="181" t="s">
        <v>527</v>
      </c>
      <c r="E547" s="181" t="s">
        <v>527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560</v>
      </c>
      <c r="B548" s="240">
        <f>'Prior Year'!BC71</f>
        <v>377177.55</v>
      </c>
      <c r="C548" s="240">
        <f>BC71</f>
        <v>332726.60999999993</v>
      </c>
      <c r="D548" s="181" t="s">
        <v>527</v>
      </c>
      <c r="E548" s="181" t="s">
        <v>527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561</v>
      </c>
      <c r="B549" s="240">
        <f>'Prior Year'!BD71</f>
        <v>30190.11</v>
      </c>
      <c r="C549" s="240">
        <f>BD71</f>
        <v>30154</v>
      </c>
      <c r="D549" s="181" t="s">
        <v>527</v>
      </c>
      <c r="E549" s="181" t="s">
        <v>527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562</v>
      </c>
      <c r="B550" s="240">
        <f>'Prior Year'!BE71</f>
        <v>12231944.349999998</v>
      </c>
      <c r="C550" s="240">
        <f>BE71</f>
        <v>13471581.849999998</v>
      </c>
      <c r="D550" s="240">
        <f>'Prior Year'!BE59</f>
        <v>809833</v>
      </c>
      <c r="E550" s="180">
        <f>BE59</f>
        <v>809833</v>
      </c>
      <c r="F550" s="263">
        <f t="shared" si="19"/>
        <v>15.104279956484852</v>
      </c>
      <c r="G550" s="263">
        <f t="shared" si="19"/>
        <v>16.635012218568516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563</v>
      </c>
      <c r="B551" s="240">
        <f>'Prior Year'!BF71</f>
        <v>3629258.6600000006</v>
      </c>
      <c r="C551" s="240">
        <f>BF71</f>
        <v>4091023.7200000007</v>
      </c>
      <c r="D551" s="181" t="s">
        <v>527</v>
      </c>
      <c r="E551" s="181" t="s">
        <v>527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564</v>
      </c>
      <c r="B552" s="240">
        <f>'Prior Year'!BG71</f>
        <v>1012766.92</v>
      </c>
      <c r="C552" s="240">
        <f>BG71</f>
        <v>765432.9</v>
      </c>
      <c r="D552" s="181" t="s">
        <v>527</v>
      </c>
      <c r="E552" s="181" t="s">
        <v>527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565</v>
      </c>
      <c r="B553" s="240">
        <f>'Prior Year'!BH71</f>
        <v>220965.54</v>
      </c>
      <c r="C553" s="240">
        <f>BH71</f>
        <v>28415</v>
      </c>
      <c r="D553" s="181" t="s">
        <v>527</v>
      </c>
      <c r="E553" s="181" t="s">
        <v>527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566</v>
      </c>
      <c r="B554" s="240">
        <f>'Prior Year'!BI71</f>
        <v>0</v>
      </c>
      <c r="C554" s="240">
        <f>BI71</f>
        <v>0</v>
      </c>
      <c r="D554" s="181" t="s">
        <v>527</v>
      </c>
      <c r="E554" s="181" t="s">
        <v>527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567</v>
      </c>
      <c r="B555" s="240">
        <f>'Prior Year'!BJ71</f>
        <v>0</v>
      </c>
      <c r="C555" s="240">
        <f>BJ71</f>
        <v>0</v>
      </c>
      <c r="D555" s="181" t="s">
        <v>527</v>
      </c>
      <c r="E555" s="181" t="s">
        <v>527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568</v>
      </c>
      <c r="B556" s="240">
        <f>'Prior Year'!BK71</f>
        <v>196280.13999999998</v>
      </c>
      <c r="C556" s="240">
        <f>BK71</f>
        <v>202727.16999999998</v>
      </c>
      <c r="D556" s="181" t="s">
        <v>527</v>
      </c>
      <c r="E556" s="181" t="s">
        <v>527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569</v>
      </c>
      <c r="B557" s="240">
        <f>'Prior Year'!BL71</f>
        <v>4393903.6599999992</v>
      </c>
      <c r="C557" s="240">
        <f>BL71</f>
        <v>0</v>
      </c>
      <c r="D557" s="181" t="s">
        <v>527</v>
      </c>
      <c r="E557" s="181" t="s">
        <v>527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570</v>
      </c>
      <c r="B558" s="240">
        <f>'Prior Year'!BM71</f>
        <v>0</v>
      </c>
      <c r="C558" s="240">
        <f>BM71</f>
        <v>0</v>
      </c>
      <c r="D558" s="181" t="s">
        <v>527</v>
      </c>
      <c r="E558" s="181" t="s">
        <v>527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571</v>
      </c>
      <c r="B559" s="240">
        <f>'Prior Year'!BN71</f>
        <v>36826867.029999994</v>
      </c>
      <c r="C559" s="240">
        <f>BN71</f>
        <v>38378157.249999993</v>
      </c>
      <c r="D559" s="181" t="s">
        <v>527</v>
      </c>
      <c r="E559" s="181" t="s">
        <v>527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572</v>
      </c>
      <c r="B560" s="240">
        <f>'Prior Year'!BO71</f>
        <v>421604.23000000004</v>
      </c>
      <c r="C560" s="240">
        <f>BO71</f>
        <v>490794.61999999988</v>
      </c>
      <c r="D560" s="181" t="s">
        <v>527</v>
      </c>
      <c r="E560" s="181" t="s">
        <v>527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573</v>
      </c>
      <c r="B561" s="240">
        <f>'Prior Year'!BP71</f>
        <v>0</v>
      </c>
      <c r="C561" s="240">
        <f>BP71</f>
        <v>0</v>
      </c>
      <c r="D561" s="181" t="s">
        <v>527</v>
      </c>
      <c r="E561" s="181" t="s">
        <v>527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574</v>
      </c>
      <c r="B562" s="240">
        <f>'Prior Year'!BQ71</f>
        <v>0</v>
      </c>
      <c r="C562" s="240">
        <f>BQ71</f>
        <v>0</v>
      </c>
      <c r="D562" s="181" t="s">
        <v>527</v>
      </c>
      <c r="E562" s="181" t="s">
        <v>527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575</v>
      </c>
      <c r="B563" s="240">
        <f>'Prior Year'!BR71</f>
        <v>123577.92999999998</v>
      </c>
      <c r="C563" s="240">
        <f>BR71</f>
        <v>137782.22999999998</v>
      </c>
      <c r="D563" s="181" t="s">
        <v>527</v>
      </c>
      <c r="E563" s="181" t="s">
        <v>527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1247</v>
      </c>
      <c r="B564" s="240">
        <f>'Prior Year'!BS71</f>
        <v>381205.69000000006</v>
      </c>
      <c r="C564" s="240">
        <f>BS71</f>
        <v>394801.62000000017</v>
      </c>
      <c r="D564" s="181" t="s">
        <v>527</v>
      </c>
      <c r="E564" s="181" t="s">
        <v>527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576</v>
      </c>
      <c r="B565" s="240">
        <f>'Prior Year'!BT71</f>
        <v>596261.4</v>
      </c>
      <c r="C565" s="240">
        <f>BT71</f>
        <v>613825.36</v>
      </c>
      <c r="D565" s="181" t="s">
        <v>527</v>
      </c>
      <c r="E565" s="181" t="s">
        <v>527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577</v>
      </c>
      <c r="B566" s="240">
        <f>'Prior Year'!BU71</f>
        <v>187529.69</v>
      </c>
      <c r="C566" s="240">
        <f>BU71</f>
        <v>102541.70000000001</v>
      </c>
      <c r="D566" s="181" t="s">
        <v>527</v>
      </c>
      <c r="E566" s="181" t="s">
        <v>527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578</v>
      </c>
      <c r="B567" s="240">
        <f>'Prior Year'!BV71</f>
        <v>356613.08000000007</v>
      </c>
      <c r="C567" s="240">
        <f>BV71</f>
        <v>172721.27</v>
      </c>
      <c r="D567" s="181" t="s">
        <v>527</v>
      </c>
      <c r="E567" s="181" t="s">
        <v>527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579</v>
      </c>
      <c r="B568" s="240">
        <f>'Prior Year'!BW71</f>
        <v>416349.99</v>
      </c>
      <c r="C568" s="240">
        <f>BW71</f>
        <v>452668.39000000007</v>
      </c>
      <c r="D568" s="181" t="s">
        <v>527</v>
      </c>
      <c r="E568" s="181" t="s">
        <v>527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580</v>
      </c>
      <c r="B569" s="240">
        <f>'Prior Year'!BX71</f>
        <v>18703</v>
      </c>
      <c r="C569" s="240">
        <f>BX71</f>
        <v>18738</v>
      </c>
      <c r="D569" s="181" t="s">
        <v>527</v>
      </c>
      <c r="E569" s="181" t="s">
        <v>527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581</v>
      </c>
      <c r="B570" s="240">
        <f>'Prior Year'!BY71</f>
        <v>614251.63</v>
      </c>
      <c r="C570" s="240">
        <f>BY71</f>
        <v>2206916.88</v>
      </c>
      <c r="D570" s="181" t="s">
        <v>527</v>
      </c>
      <c r="E570" s="181" t="s">
        <v>527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582</v>
      </c>
      <c r="B571" s="240">
        <f>'Prior Year'!BZ71</f>
        <v>1543529.46</v>
      </c>
      <c r="C571" s="240">
        <f>BZ71</f>
        <v>400962.27</v>
      </c>
      <c r="D571" s="181" t="s">
        <v>527</v>
      </c>
      <c r="E571" s="181" t="s">
        <v>527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583</v>
      </c>
      <c r="B572" s="240">
        <f>'Prior Year'!CA71</f>
        <v>93829</v>
      </c>
      <c r="C572" s="240">
        <f>CA71</f>
        <v>94005</v>
      </c>
      <c r="D572" s="181" t="s">
        <v>527</v>
      </c>
      <c r="E572" s="181" t="s">
        <v>527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584</v>
      </c>
      <c r="B573" s="240">
        <f>'Prior Year'!CB71</f>
        <v>0</v>
      </c>
      <c r="C573" s="240">
        <f>CB71</f>
        <v>0</v>
      </c>
      <c r="D573" s="181" t="s">
        <v>527</v>
      </c>
      <c r="E573" s="181" t="s">
        <v>527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585</v>
      </c>
      <c r="B574" s="240">
        <f>'Prior Year'!CC71</f>
        <v>15710392.559999999</v>
      </c>
      <c r="C574" s="240">
        <f>CC71</f>
        <v>16248494.09</v>
      </c>
      <c r="D574" s="181" t="s">
        <v>527</v>
      </c>
      <c r="E574" s="181" t="s">
        <v>527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586</v>
      </c>
      <c r="B575" s="240">
        <f>'Prior Year'!CD71</f>
        <v>7209004.4500000002</v>
      </c>
      <c r="C575" s="240">
        <f>CD71</f>
        <v>5978076.5300000003</v>
      </c>
      <c r="D575" s="181" t="s">
        <v>527</v>
      </c>
      <c r="E575" s="181" t="s">
        <v>527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587</v>
      </c>
      <c r="D612" s="180">
        <f>CE76-(BE76+CD76)</f>
        <v>518082.91400000005</v>
      </c>
      <c r="E612" s="180">
        <f>SUM(C624:D647)+SUM(C668:D713)</f>
        <v>200092847.46310607</v>
      </c>
      <c r="F612" s="180">
        <f>CE64-(AX64+BD64+BE64+BG64+BJ64+BN64+BP64+BQ64+CB64+CC64+CD64)</f>
        <v>31898035.139999993</v>
      </c>
      <c r="G612" s="180">
        <f>CE77-(AX77+AY77+BD77+BE77+BG77+BJ77+BN77+BP77+BQ77+CB77+CC77+CD77)</f>
        <v>99270</v>
      </c>
      <c r="H612" s="197">
        <f>CE60-(AX60+AY60+AZ60+BD60+BE60+BG60+BJ60+BN60+BO60+BP60+BQ60+BR60+CB60+CC60+CD60)</f>
        <v>1175.0622528603506</v>
      </c>
      <c r="I612" s="180">
        <f>CE78-(AX78+AY78+AZ78+BD78+BE78+BF78+BG78+BJ78+BN78+BO78+BP78+BQ78+BR78+CB78+CC78+CD78)</f>
        <v>109804.99999999999</v>
      </c>
      <c r="J612" s="180">
        <f>CE79-(AX79+AY79+AZ79+BA79+BD79+BE79+BF79+BG79+BJ79+BN79+BO79+BP79+BQ79+BR79+CB79+CC79+CD79)</f>
        <v>1043799.0000000002</v>
      </c>
      <c r="K612" s="180">
        <f>CE75-(AW75+AX75+AY75+AZ75+BA75+BB75+BC75+BD75+BE75+BF75+BG75+BH75+BI75+BJ75+BK75+BL75+BM75+BN75+BO75+BP75+BQ75+BR75+BS75+BT75+BU75+BV75+BW75+BX75+CB75+CC75+CD75)</f>
        <v>780473535.70000005</v>
      </c>
      <c r="L612" s="197">
        <f>CE80-(AW80+AX80+AY80+AZ80+BA80+BB80+BC80+BD80+BE80+BF80+BG80+BH80+BI80+BJ80+BK80+BL80+BM80+BN80+BO80+BP80+BQ80+BR80+BS80+BT80+BU80+BV80+BW80+BX80+BY80+BZ80+CA80+CB80+CC80+CD80)</f>
        <v>250.53902460120332</v>
      </c>
    </row>
    <row r="613" spans="1:14" ht="12.6" customHeight="1" x14ac:dyDescent="0.25">
      <c r="A613" s="196"/>
      <c r="C613" s="181" t="s">
        <v>588</v>
      </c>
      <c r="D613" s="181" t="s">
        <v>589</v>
      </c>
      <c r="E613" s="198" t="s">
        <v>590</v>
      </c>
      <c r="F613" s="181" t="s">
        <v>591</v>
      </c>
      <c r="G613" s="181" t="s">
        <v>592</v>
      </c>
      <c r="H613" s="181" t="s">
        <v>593</v>
      </c>
      <c r="I613" s="181" t="s">
        <v>594</v>
      </c>
      <c r="J613" s="181" t="s">
        <v>595</v>
      </c>
      <c r="K613" s="181" t="s">
        <v>596</v>
      </c>
      <c r="L613" s="198" t="s">
        <v>597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13471581.849999998</v>
      </c>
      <c r="N614" s="199" t="s">
        <v>598</v>
      </c>
    </row>
    <row r="615" spans="1:14" ht="12.6" customHeight="1" x14ac:dyDescent="0.25">
      <c r="A615" s="196"/>
      <c r="B615" s="198" t="s">
        <v>599</v>
      </c>
      <c r="C615" s="273">
        <f>CD69-CD70</f>
        <v>5978076.5300000003</v>
      </c>
      <c r="D615" s="266">
        <f>SUM(C614:C615)</f>
        <v>19449658.379999999</v>
      </c>
      <c r="N615" s="199" t="s">
        <v>600</v>
      </c>
    </row>
    <row r="616" spans="1:14" ht="12.6" customHeight="1" x14ac:dyDescent="0.25">
      <c r="A616" s="196">
        <v>8310</v>
      </c>
      <c r="B616" s="200" t="s">
        <v>601</v>
      </c>
      <c r="C616" s="180">
        <f>AX71</f>
        <v>0</v>
      </c>
      <c r="D616" s="180">
        <f>(D615/D612)*AX76</f>
        <v>0</v>
      </c>
      <c r="N616" s="199" t="s">
        <v>602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603</v>
      </c>
    </row>
    <row r="618" spans="1:14" ht="12.6" customHeight="1" x14ac:dyDescent="0.25">
      <c r="A618" s="196">
        <v>8470</v>
      </c>
      <c r="B618" s="200" t="s">
        <v>604</v>
      </c>
      <c r="C618" s="180">
        <f>BG71</f>
        <v>765432.9</v>
      </c>
      <c r="D618" s="180">
        <f>(D615/D612)*BG76</f>
        <v>61032.120085576869</v>
      </c>
      <c r="N618" s="199" t="s">
        <v>605</v>
      </c>
    </row>
    <row r="619" spans="1:14" ht="12.6" customHeight="1" x14ac:dyDescent="0.25">
      <c r="A619" s="196">
        <v>8610</v>
      </c>
      <c r="B619" s="200" t="s">
        <v>606</v>
      </c>
      <c r="C619" s="180">
        <f>BN71</f>
        <v>38378157.249999993</v>
      </c>
      <c r="D619" s="180">
        <f>(D615/D612)*BN76</f>
        <v>215470.35378316641</v>
      </c>
      <c r="N619" s="199" t="s">
        <v>607</v>
      </c>
    </row>
    <row r="620" spans="1:14" ht="12.6" customHeight="1" x14ac:dyDescent="0.25">
      <c r="A620" s="196">
        <v>8790</v>
      </c>
      <c r="B620" s="200" t="s">
        <v>608</v>
      </c>
      <c r="C620" s="180">
        <f>CC71</f>
        <v>16248494.09</v>
      </c>
      <c r="D620" s="180">
        <f>(D615/D612)*CC76</f>
        <v>4310424.6030252352</v>
      </c>
      <c r="N620" s="199" t="s">
        <v>609</v>
      </c>
    </row>
    <row r="621" spans="1:14" ht="12.6" customHeight="1" x14ac:dyDescent="0.25">
      <c r="A621" s="196">
        <v>8630</v>
      </c>
      <c r="B621" s="200" t="s">
        <v>610</v>
      </c>
      <c r="C621" s="180">
        <f>BP71</f>
        <v>0</v>
      </c>
      <c r="D621" s="180">
        <f>(D615/D612)*BP76</f>
        <v>0</v>
      </c>
      <c r="N621" s="199" t="s">
        <v>611</v>
      </c>
    </row>
    <row r="622" spans="1:14" ht="12.6" customHeight="1" x14ac:dyDescent="0.25">
      <c r="A622" s="196">
        <v>8770</v>
      </c>
      <c r="B622" s="198" t="s">
        <v>612</v>
      </c>
      <c r="C622" s="180">
        <f>CB71</f>
        <v>0</v>
      </c>
      <c r="D622" s="180">
        <f>(D615/D612)*CB76</f>
        <v>0</v>
      </c>
      <c r="N622" s="199" t="s">
        <v>613</v>
      </c>
    </row>
    <row r="623" spans="1:14" ht="12.6" customHeight="1" x14ac:dyDescent="0.25">
      <c r="A623" s="196">
        <v>8640</v>
      </c>
      <c r="B623" s="200" t="s">
        <v>614</v>
      </c>
      <c r="C623" s="180">
        <f>BQ71</f>
        <v>0</v>
      </c>
      <c r="D623" s="180">
        <f>(D615/D612)*BQ76</f>
        <v>0</v>
      </c>
      <c r="E623" s="180">
        <f>SUM(C616:D623)</f>
        <v>59979011.316893972</v>
      </c>
      <c r="N623" s="199" t="s">
        <v>615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30154</v>
      </c>
      <c r="D624" s="180">
        <f>(D615/D612)*BD76</f>
        <v>137082.37940732858</v>
      </c>
      <c r="E624" s="180">
        <f>(E623/E612)*SUM(C624:D624)</f>
        <v>50130.091206373734</v>
      </c>
      <c r="F624" s="180">
        <f>SUM(C624:E624)</f>
        <v>217366.47061370232</v>
      </c>
      <c r="N624" s="199" t="s">
        <v>616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1664405.0099999998</v>
      </c>
      <c r="D625" s="180">
        <f>(D615/D612)*AY76</f>
        <v>455287.18206249352</v>
      </c>
      <c r="E625" s="180">
        <f>(E623/E612)*SUM(C625:D625)</f>
        <v>635390.23802182695</v>
      </c>
      <c r="F625" s="180">
        <f>(F624/F612)*AY64</f>
        <v>1619.6430258663645</v>
      </c>
      <c r="G625" s="180">
        <f>SUM(C625:F625)</f>
        <v>2756702.0731101865</v>
      </c>
      <c r="N625" s="199" t="s">
        <v>617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137782.22999999998</v>
      </c>
      <c r="D626" s="180">
        <f>(D615/D612)*BR76</f>
        <v>161900.00090732388</v>
      </c>
      <c r="E626" s="180">
        <f>(E623/E612)*SUM(C626:D626)</f>
        <v>89831.516453263772</v>
      </c>
      <c r="F626" s="180">
        <f>(F624/F612)*BR64</f>
        <v>97.393877563655394</v>
      </c>
      <c r="G626" s="180">
        <f>(G625/G612)*BR77</f>
        <v>0</v>
      </c>
      <c r="N626" s="199" t="s">
        <v>618</v>
      </c>
    </row>
    <row r="627" spans="1:14" ht="12.6" customHeight="1" x14ac:dyDescent="0.25">
      <c r="A627" s="196">
        <v>8620</v>
      </c>
      <c r="B627" s="198" t="s">
        <v>619</v>
      </c>
      <c r="C627" s="180">
        <f>BO71</f>
        <v>490794.61999999988</v>
      </c>
      <c r="D627" s="180">
        <f>(D615/D612)*BO76</f>
        <v>176445.49147590686</v>
      </c>
      <c r="E627" s="180">
        <f>(E623/E612)*SUM(C627:D627)</f>
        <v>200009.15927131343</v>
      </c>
      <c r="F627" s="180">
        <f>(F624/F612)*BO64</f>
        <v>270.80924009320421</v>
      </c>
      <c r="G627" s="180">
        <f>(G625/G612)*BO77</f>
        <v>0</v>
      </c>
      <c r="N627" s="199" t="s">
        <v>620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143741.83999999997</v>
      </c>
      <c r="D628" s="180">
        <f>(D615/D612)*AZ76</f>
        <v>0</v>
      </c>
      <c r="E628" s="180">
        <f>(E623/E612)*SUM(C628:D628)</f>
        <v>43087.464431535096</v>
      </c>
      <c r="F628" s="180">
        <f>(F624/F612)*AZ64</f>
        <v>3065.6709586797879</v>
      </c>
      <c r="G628" s="180">
        <f>(G625/G612)*AZ77</f>
        <v>0</v>
      </c>
      <c r="H628" s="180">
        <f>SUM(C626:G628)</f>
        <v>1447026.1966156794</v>
      </c>
      <c r="N628" s="199" t="s">
        <v>621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4091023.7200000007</v>
      </c>
      <c r="D629" s="180">
        <f>(D615/D612)*BF76</f>
        <v>112508.77826788511</v>
      </c>
      <c r="E629" s="180">
        <f>(E623/E612)*SUM(C629:D629)</f>
        <v>1260033.661778084</v>
      </c>
      <c r="F629" s="180">
        <f>(F624/F612)*BF64</f>
        <v>2856.6464581831237</v>
      </c>
      <c r="G629" s="180">
        <f>(G625/G612)*BF77</f>
        <v>0</v>
      </c>
      <c r="H629" s="180">
        <f>(H628/H612)*BF60</f>
        <v>65009.397361284064</v>
      </c>
      <c r="I629" s="180">
        <f>SUM(C629:H629)</f>
        <v>5531432.2038654378</v>
      </c>
      <c r="N629" s="199" t="s">
        <v>622</v>
      </c>
    </row>
    <row r="630" spans="1:14" ht="12.6" customHeight="1" x14ac:dyDescent="0.25">
      <c r="A630" s="196">
        <v>8350</v>
      </c>
      <c r="B630" s="200" t="s">
        <v>623</v>
      </c>
      <c r="C630" s="180">
        <f>BA71</f>
        <v>9147</v>
      </c>
      <c r="D630" s="180">
        <f>(D615/D612)*BA76</f>
        <v>41582.195685842285</v>
      </c>
      <c r="E630" s="180">
        <f>(E623/E612)*SUM(C630:D630)</f>
        <v>15206.375643682546</v>
      </c>
      <c r="F630" s="180">
        <f>(F624/F612)*BA64</f>
        <v>0</v>
      </c>
      <c r="G630" s="180">
        <f>(G625/G612)*BA77</f>
        <v>0</v>
      </c>
      <c r="H630" s="180">
        <f>(H628/H612)*BA60</f>
        <v>13.532459361714286</v>
      </c>
      <c r="I630" s="180">
        <f>(I629/I612)*BA78</f>
        <v>16643.798399257063</v>
      </c>
      <c r="J630" s="180">
        <f>SUM(C630:I630)</f>
        <v>82592.902188143606</v>
      </c>
      <c r="N630" s="199" t="s">
        <v>624</v>
      </c>
    </row>
    <row r="631" spans="1:14" ht="12.6" customHeight="1" x14ac:dyDescent="0.25">
      <c r="A631" s="196">
        <v>8200</v>
      </c>
      <c r="B631" s="200" t="s">
        <v>625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626</v>
      </c>
    </row>
    <row r="632" spans="1:14" ht="12.6" customHeight="1" x14ac:dyDescent="0.25">
      <c r="A632" s="196">
        <v>8360</v>
      </c>
      <c r="B632" s="200" t="s">
        <v>627</v>
      </c>
      <c r="C632" s="180">
        <f>BB71</f>
        <v>2491548.5500000003</v>
      </c>
      <c r="D632" s="180">
        <f>(D615/D612)*BB76</f>
        <v>144006.55099197035</v>
      </c>
      <c r="E632" s="180">
        <f>(E623/E612)*SUM(C632:D632)</f>
        <v>790023.18789951806</v>
      </c>
      <c r="F632" s="180">
        <f>(F624/F612)*BB64</f>
        <v>12.10601387654502</v>
      </c>
      <c r="G632" s="180">
        <f>(G625/G612)*BB77</f>
        <v>0</v>
      </c>
      <c r="H632" s="180">
        <f>(H628/H612)*BB60</f>
        <v>22361.891769551585</v>
      </c>
      <c r="I632" s="180">
        <f>(I629/I612)*BB78</f>
        <v>57640.438734666037</v>
      </c>
      <c r="J632" s="180">
        <f>(J630/J612)*BB79</f>
        <v>0</v>
      </c>
      <c r="N632" s="199" t="s">
        <v>628</v>
      </c>
    </row>
    <row r="633" spans="1:14" ht="12.6" customHeight="1" x14ac:dyDescent="0.25">
      <c r="A633" s="196">
        <v>8370</v>
      </c>
      <c r="B633" s="200" t="s">
        <v>629</v>
      </c>
      <c r="C633" s="180">
        <f>BC71</f>
        <v>332726.60999999993</v>
      </c>
      <c r="D633" s="180">
        <f>(D615/D612)*BC76</f>
        <v>0</v>
      </c>
      <c r="E633" s="180">
        <f>(E623/E612)*SUM(C633:D633)</f>
        <v>99736.764005527206</v>
      </c>
      <c r="F633" s="180">
        <f>(F624/F612)*BC64</f>
        <v>33.969725844370423</v>
      </c>
      <c r="G633" s="180">
        <f>(G625/G612)*BC77</f>
        <v>0</v>
      </c>
      <c r="H633" s="180">
        <f>(H628/H612)*BC60</f>
        <v>6725.7813430990509</v>
      </c>
      <c r="I633" s="180">
        <f>(I629/I612)*BC78</f>
        <v>0</v>
      </c>
      <c r="J633" s="180">
        <f>(J630/J612)*BC79</f>
        <v>0</v>
      </c>
      <c r="N633" s="199" t="s">
        <v>630</v>
      </c>
    </row>
    <row r="634" spans="1:14" ht="12.6" customHeight="1" x14ac:dyDescent="0.25">
      <c r="A634" s="196">
        <v>8490</v>
      </c>
      <c r="B634" s="200" t="s">
        <v>631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632</v>
      </c>
    </row>
    <row r="635" spans="1:14" ht="12.6" customHeight="1" x14ac:dyDescent="0.25">
      <c r="A635" s="196">
        <v>8530</v>
      </c>
      <c r="B635" s="200" t="s">
        <v>633</v>
      </c>
      <c r="C635" s="180">
        <f>BK71</f>
        <v>202727.16999999998</v>
      </c>
      <c r="D635" s="180">
        <f>(D615/D612)*BK76</f>
        <v>108446.02697266753</v>
      </c>
      <c r="E635" s="180">
        <f>(E623/E612)*SUM(C635:D635)</f>
        <v>93276.001313235451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43406.890385733393</v>
      </c>
      <c r="J635" s="180">
        <f>(J630/J612)*BK79</f>
        <v>0</v>
      </c>
      <c r="N635" s="199" t="s">
        <v>634</v>
      </c>
    </row>
    <row r="636" spans="1:14" ht="12.6" customHeight="1" x14ac:dyDescent="0.25">
      <c r="A636" s="196">
        <v>8480</v>
      </c>
      <c r="B636" s="200" t="s">
        <v>635</v>
      </c>
      <c r="C636" s="180">
        <f>BH71</f>
        <v>28415</v>
      </c>
      <c r="D636" s="180">
        <f>(D615/D612)*BH76</f>
        <v>129176.49514139004</v>
      </c>
      <c r="E636" s="180">
        <f>(E623/E612)*SUM(C636:D636)</f>
        <v>47238.98025527627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51704.52179339638</v>
      </c>
      <c r="J636" s="180">
        <f>(J630/J612)*BH79</f>
        <v>0</v>
      </c>
      <c r="N636" s="199" t="s">
        <v>636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637</v>
      </c>
    </row>
    <row r="638" spans="1:14" ht="12.6" customHeight="1" x14ac:dyDescent="0.25">
      <c r="A638" s="196">
        <v>8590</v>
      </c>
      <c r="B638" s="200" t="s">
        <v>638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639</v>
      </c>
    </row>
    <row r="639" spans="1:14" ht="12.6" customHeight="1" x14ac:dyDescent="0.25">
      <c r="A639" s="196">
        <v>8660</v>
      </c>
      <c r="B639" s="200" t="s">
        <v>640</v>
      </c>
      <c r="C639" s="180">
        <f>BS71</f>
        <v>394801.62000000017</v>
      </c>
      <c r="D639" s="180">
        <f>(D615/D612)*BS76</f>
        <v>70625.874414655162</v>
      </c>
      <c r="E639" s="180">
        <f>(E623/E612)*SUM(C639:D639)</f>
        <v>139514.63687295199</v>
      </c>
      <c r="F639" s="180">
        <f>(F624/F612)*BS64</f>
        <v>264.51183413679956</v>
      </c>
      <c r="G639" s="180">
        <f>(G625/G612)*BS77</f>
        <v>0</v>
      </c>
      <c r="H639" s="180">
        <f>(H628/H612)*BS60</f>
        <v>8547.968540850874</v>
      </c>
      <c r="I639" s="180">
        <f>(I629/I612)*BS78</f>
        <v>28268.897208066166</v>
      </c>
      <c r="J639" s="180">
        <f>(J630/J612)*BS79</f>
        <v>0</v>
      </c>
      <c r="N639" s="199" t="s">
        <v>641</v>
      </c>
    </row>
    <row r="640" spans="1:14" ht="12.6" customHeight="1" x14ac:dyDescent="0.25">
      <c r="A640" s="196">
        <v>8670</v>
      </c>
      <c r="B640" s="200" t="s">
        <v>642</v>
      </c>
      <c r="C640" s="180">
        <f>BT71</f>
        <v>613825.36</v>
      </c>
      <c r="D640" s="180">
        <f>(D615/D612)*BT76</f>
        <v>81091.344554812313</v>
      </c>
      <c r="E640" s="180">
        <f>(E623/E612)*SUM(C640:D640)</f>
        <v>208305.38130293216</v>
      </c>
      <c r="F640" s="180">
        <f>(F624/F612)*BT64</f>
        <v>8.3896360006569939</v>
      </c>
      <c r="G640" s="180">
        <f>(G625/G612)*BT77</f>
        <v>0</v>
      </c>
      <c r="H640" s="180">
        <f>(H628/H612)*BT60</f>
        <v>6316.643425179047</v>
      </c>
      <c r="I640" s="180">
        <f>(I629/I612)*BT78</f>
        <v>32457.833657747826</v>
      </c>
      <c r="J640" s="180">
        <f>(J630/J612)*BT79</f>
        <v>0</v>
      </c>
      <c r="N640" s="199" t="s">
        <v>643</v>
      </c>
    </row>
    <row r="641" spans="1:14" ht="12.6" customHeight="1" x14ac:dyDescent="0.25">
      <c r="A641" s="196">
        <v>8680</v>
      </c>
      <c r="B641" s="200" t="s">
        <v>644</v>
      </c>
      <c r="C641" s="180">
        <f>BU71</f>
        <v>102541.70000000001</v>
      </c>
      <c r="D641" s="180">
        <f>(D615/D612)*BU76</f>
        <v>31942.64061216811</v>
      </c>
      <c r="E641" s="180">
        <f>(E623/E612)*SUM(C641:D641)</f>
        <v>40312.474382721455</v>
      </c>
      <c r="F641" s="180">
        <f>(F624/F612)*BU64</f>
        <v>0.55626075143249476</v>
      </c>
      <c r="G641" s="180">
        <f>(G625/G612)*BU77</f>
        <v>0</v>
      </c>
      <c r="H641" s="180">
        <f>(H628/H612)*BU60</f>
        <v>857.40290665910368</v>
      </c>
      <c r="I641" s="180">
        <f>(I629/I612)*BU78</f>
        <v>12785.444874183493</v>
      </c>
      <c r="J641" s="180">
        <f>(J630/J612)*BU79</f>
        <v>0</v>
      </c>
      <c r="N641" s="199" t="s">
        <v>645</v>
      </c>
    </row>
    <row r="642" spans="1:14" ht="12.6" customHeight="1" x14ac:dyDescent="0.25">
      <c r="A642" s="196">
        <v>8690</v>
      </c>
      <c r="B642" s="200" t="s">
        <v>646</v>
      </c>
      <c r="C642" s="180">
        <f>BV71</f>
        <v>172721.27</v>
      </c>
      <c r="D642" s="180">
        <f>(D615/D612)*BV76</f>
        <v>227958.56500432821</v>
      </c>
      <c r="E642" s="180">
        <f>(E623/E612)*SUM(C642:D642)</f>
        <v>120106.1440369926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91243.29143128368</v>
      </c>
      <c r="J642" s="180">
        <f>(J630/J612)*BV79</f>
        <v>0</v>
      </c>
      <c r="N642" s="199" t="s">
        <v>647</v>
      </c>
    </row>
    <row r="643" spans="1:14" ht="12.6" customHeight="1" x14ac:dyDescent="0.25">
      <c r="A643" s="196">
        <v>8700</v>
      </c>
      <c r="B643" s="200" t="s">
        <v>648</v>
      </c>
      <c r="C643" s="180">
        <f>BW71</f>
        <v>452668.39000000007</v>
      </c>
      <c r="D643" s="180">
        <f>(D615/D612)*BW76</f>
        <v>15767.469451038485</v>
      </c>
      <c r="E643" s="180">
        <f>(E623/E612)*SUM(C643:D643)</f>
        <v>140416.41203808301</v>
      </c>
      <c r="F643" s="180">
        <f>(F624/F612)*BW64</f>
        <v>361.38638508197312</v>
      </c>
      <c r="G643" s="180">
        <f>(G625/G612)*BW77</f>
        <v>0</v>
      </c>
      <c r="H643" s="180">
        <f>(H628/H612)*BW60</f>
        <v>2976.2768819073699</v>
      </c>
      <c r="I643" s="180">
        <f>(I629/I612)*BW78</f>
        <v>6311.1285606998417</v>
      </c>
      <c r="J643" s="180">
        <f>(J630/J612)*BW79</f>
        <v>0</v>
      </c>
      <c r="N643" s="199" t="s">
        <v>649</v>
      </c>
    </row>
    <row r="644" spans="1:14" ht="12.6" customHeight="1" x14ac:dyDescent="0.25">
      <c r="A644" s="196">
        <v>8710</v>
      </c>
      <c r="B644" s="200" t="s">
        <v>650</v>
      </c>
      <c r="C644" s="180">
        <f>BX71</f>
        <v>18738</v>
      </c>
      <c r="D644" s="180">
        <f>(D615/D612)*BX76</f>
        <v>85181.876629538863</v>
      </c>
      <c r="E644" s="180">
        <f>(E623/E612)*SUM(C644:D644)</f>
        <v>31150.596012996441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34095.120724352237</v>
      </c>
      <c r="J644" s="180">
        <f>(J630/J612)*BX79</f>
        <v>0</v>
      </c>
      <c r="K644" s="180">
        <f>SUM(C631:J644)</f>
        <v>7821371.5439858707</v>
      </c>
      <c r="N644" s="199" t="s">
        <v>651</v>
      </c>
    </row>
    <row r="645" spans="1:14" ht="12.6" customHeight="1" x14ac:dyDescent="0.25">
      <c r="A645" s="196">
        <v>8720</v>
      </c>
      <c r="B645" s="200" t="s">
        <v>652</v>
      </c>
      <c r="C645" s="180">
        <f>BY71</f>
        <v>2206916.88</v>
      </c>
      <c r="D645" s="180">
        <f>(D615/D612)*BY76</f>
        <v>97696.742382391705</v>
      </c>
      <c r="E645" s="180">
        <f>(E623/E612)*SUM(C645:D645)</f>
        <v>690821.52755824313</v>
      </c>
      <c r="F645" s="180">
        <f>(F624/F612)*BY64</f>
        <v>30.888792230041631</v>
      </c>
      <c r="G645" s="180">
        <f>(G625/G612)*BY77</f>
        <v>0</v>
      </c>
      <c r="H645" s="180">
        <f>(H628/H612)*BY60</f>
        <v>20650.415392147042</v>
      </c>
      <c r="I645" s="180">
        <f>(I629/I612)*BY78</f>
        <v>39104.353621959141</v>
      </c>
      <c r="J645" s="180">
        <f>(J630/J612)*BY79</f>
        <v>0</v>
      </c>
      <c r="K645" s="180">
        <v>0</v>
      </c>
      <c r="N645" s="199" t="s">
        <v>653</v>
      </c>
    </row>
    <row r="646" spans="1:14" ht="12.6" customHeight="1" x14ac:dyDescent="0.25">
      <c r="A646" s="196">
        <v>8730</v>
      </c>
      <c r="B646" s="200" t="s">
        <v>654</v>
      </c>
      <c r="C646" s="180">
        <f>BZ71</f>
        <v>400962.27</v>
      </c>
      <c r="D646" s="180">
        <f>(D615/D612)*BZ76</f>
        <v>0</v>
      </c>
      <c r="E646" s="180">
        <f>(E623/E612)*SUM(C646:D646)</f>
        <v>120190.80559294758</v>
      </c>
      <c r="F646" s="180">
        <f>(F624/F612)*BZ64</f>
        <v>4.3069151381585158</v>
      </c>
      <c r="G646" s="180">
        <f>(G625/G612)*BZ77</f>
        <v>0</v>
      </c>
      <c r="H646" s="180">
        <f>(H628/H612)*BZ60</f>
        <v>2572.9388818543366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655</v>
      </c>
    </row>
    <row r="647" spans="1:14" ht="12.6" customHeight="1" x14ac:dyDescent="0.25">
      <c r="A647" s="196">
        <v>8740</v>
      </c>
      <c r="B647" s="200" t="s">
        <v>656</v>
      </c>
      <c r="C647" s="180">
        <f>CA71</f>
        <v>94005</v>
      </c>
      <c r="D647" s="180">
        <f>(D615/D612)*CA76</f>
        <v>427350.9803546464</v>
      </c>
      <c r="E647" s="180">
        <f>(E623/E612)*SUM(C647:D647)</f>
        <v>156279.53043942488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171052.62109016802</v>
      </c>
      <c r="J647" s="180">
        <f>(J630/J612)*CA79</f>
        <v>0</v>
      </c>
      <c r="K647" s="180">
        <v>0</v>
      </c>
      <c r="L647" s="180">
        <f>SUM(C645:K647)</f>
        <v>4427639.2610211512</v>
      </c>
      <c r="N647" s="199" t="s">
        <v>657</v>
      </c>
    </row>
    <row r="648" spans="1:14" ht="12.6" customHeight="1" x14ac:dyDescent="0.25">
      <c r="A648" s="196"/>
      <c r="B648" s="196"/>
      <c r="C648" s="180">
        <f>SUM(C614:C647)</f>
        <v>88921388.859999999</v>
      </c>
      <c r="L648" s="266"/>
    </row>
    <row r="666" spans="1:14" ht="12.6" customHeight="1" x14ac:dyDescent="0.25">
      <c r="C666" s="181" t="s">
        <v>658</v>
      </c>
      <c r="M666" s="181" t="s">
        <v>659</v>
      </c>
    </row>
    <row r="667" spans="1:14" ht="12.6" customHeight="1" x14ac:dyDescent="0.25">
      <c r="C667" s="181" t="s">
        <v>588</v>
      </c>
      <c r="D667" s="181" t="s">
        <v>589</v>
      </c>
      <c r="E667" s="198" t="s">
        <v>590</v>
      </c>
      <c r="F667" s="181" t="s">
        <v>591</v>
      </c>
      <c r="G667" s="181" t="s">
        <v>592</v>
      </c>
      <c r="H667" s="181" t="s">
        <v>593</v>
      </c>
      <c r="I667" s="181" t="s">
        <v>594</v>
      </c>
      <c r="J667" s="181" t="s">
        <v>595</v>
      </c>
      <c r="K667" s="181" t="s">
        <v>596</v>
      </c>
      <c r="L667" s="198" t="s">
        <v>597</v>
      </c>
      <c r="M667" s="181" t="s">
        <v>660</v>
      </c>
    </row>
    <row r="668" spans="1:14" ht="12.6" customHeight="1" x14ac:dyDescent="0.25">
      <c r="A668" s="196">
        <v>6010</v>
      </c>
      <c r="B668" s="198" t="s">
        <v>281</v>
      </c>
      <c r="C668" s="180">
        <f>C71</f>
        <v>9860572.2799999993</v>
      </c>
      <c r="D668" s="180">
        <f>(D615/D612)*C76</f>
        <v>864337.01079169533</v>
      </c>
      <c r="E668" s="180">
        <f>(E623/E612)*SUM(C668:D668)</f>
        <v>3214854.8230524077</v>
      </c>
      <c r="F668" s="180">
        <f>(F624/F612)*C64</f>
        <v>3757.7808344932723</v>
      </c>
      <c r="G668" s="180">
        <f>(G625/G612)*C77</f>
        <v>690744.50857804751</v>
      </c>
      <c r="H668" s="180">
        <f>(H628/H612)*C60</f>
        <v>96376.7538664202</v>
      </c>
      <c r="I668" s="180">
        <f>(I629/I612)*C78</f>
        <v>345961.7925258209</v>
      </c>
      <c r="J668" s="180">
        <f>(J630/J612)*C79</f>
        <v>13384.65706404091</v>
      </c>
      <c r="K668" s="180">
        <f>(K644/K612)*C75</f>
        <v>415673.97183173941</v>
      </c>
      <c r="L668" s="180">
        <f>(L647/L612)*C80</f>
        <v>717524.5274352266</v>
      </c>
      <c r="M668" s="180">
        <f t="shared" ref="M668:M713" si="20">ROUND(SUM(D668:L668),0)</f>
        <v>6362616</v>
      </c>
      <c r="N668" s="198" t="s">
        <v>661</v>
      </c>
    </row>
    <row r="669" spans="1:14" ht="12.6" customHeight="1" x14ac:dyDescent="0.25">
      <c r="A669" s="196">
        <v>6030</v>
      </c>
      <c r="B669" s="198" t="s">
        <v>282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662</v>
      </c>
    </row>
    <row r="670" spans="1:14" ht="12.6" customHeight="1" x14ac:dyDescent="0.25">
      <c r="A670" s="196">
        <v>6070</v>
      </c>
      <c r="B670" s="198" t="s">
        <v>663</v>
      </c>
      <c r="C670" s="180">
        <f>E71</f>
        <v>15983745.935500003</v>
      </c>
      <c r="D670" s="180">
        <f>(D615/D612)*E76</f>
        <v>1643682.480835082</v>
      </c>
      <c r="E670" s="180">
        <f>(E623/E612)*SUM(C670:D670)</f>
        <v>5283925.6468977239</v>
      </c>
      <c r="F670" s="180">
        <f>(F624/F612)*E64</f>
        <v>5876.6350347483503</v>
      </c>
      <c r="G670" s="180">
        <f>(G625/G612)*E77</f>
        <v>1352664.0272106093</v>
      </c>
      <c r="H670" s="180">
        <f>(H628/H612)*E60</f>
        <v>162361.62878451357</v>
      </c>
      <c r="I670" s="180">
        <f>(I629/I612)*E78</f>
        <v>657904.64866491512</v>
      </c>
      <c r="J670" s="180">
        <f>(J630/J612)*E79</f>
        <v>21788.321810600824</v>
      </c>
      <c r="K670" s="180">
        <f>(K644/K612)*E75</f>
        <v>744267.41102905769</v>
      </c>
      <c r="L670" s="180">
        <f>(L647/L612)*E80</f>
        <v>1168028.0814036862</v>
      </c>
      <c r="M670" s="180">
        <f t="shared" si="20"/>
        <v>11040499</v>
      </c>
      <c r="N670" s="198" t="s">
        <v>664</v>
      </c>
    </row>
    <row r="671" spans="1:14" ht="12.6" customHeight="1" x14ac:dyDescent="0.25">
      <c r="A671" s="196">
        <v>6100</v>
      </c>
      <c r="B671" s="198" t="s">
        <v>665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666</v>
      </c>
    </row>
    <row r="672" spans="1:14" ht="12.6" customHeight="1" x14ac:dyDescent="0.25">
      <c r="A672" s="196">
        <v>6120</v>
      </c>
      <c r="B672" s="198" t="s">
        <v>667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668</v>
      </c>
    </row>
    <row r="673" spans="1:14" ht="12.6" customHeight="1" x14ac:dyDescent="0.25">
      <c r="A673" s="196">
        <v>6140</v>
      </c>
      <c r="B673" s="198" t="s">
        <v>669</v>
      </c>
      <c r="C673" s="180">
        <f>H71</f>
        <v>3411576.4299999997</v>
      </c>
      <c r="D673" s="180">
        <f>(D615/D612)*H76</f>
        <v>380172.45926150342</v>
      </c>
      <c r="E673" s="180">
        <f>(E623/E612)*SUM(C673:D673)</f>
        <v>1136599.0959860245</v>
      </c>
      <c r="F673" s="180">
        <f>(F624/F612)*H64</f>
        <v>321.34058550227519</v>
      </c>
      <c r="G673" s="180">
        <f>(G625/G612)*H77</f>
        <v>548924.44725666416</v>
      </c>
      <c r="H673" s="180">
        <f>(H628/H612)*H60</f>
        <v>41421.027398937069</v>
      </c>
      <c r="I673" s="180">
        <f>(I629/I612)*H78</f>
        <v>152168.82284675972</v>
      </c>
      <c r="J673" s="180">
        <f>(J630/J612)*H79</f>
        <v>3816.9145918035506</v>
      </c>
      <c r="K673" s="180">
        <f>(K644/K612)*H75</f>
        <v>139843.57961304195</v>
      </c>
      <c r="L673" s="180">
        <f>(L647/L612)*H80</f>
        <v>204617.109399262</v>
      </c>
      <c r="M673" s="180">
        <f t="shared" si="20"/>
        <v>2607885</v>
      </c>
      <c r="N673" s="198" t="s">
        <v>670</v>
      </c>
    </row>
    <row r="674" spans="1:14" ht="12.6" customHeight="1" x14ac:dyDescent="0.25">
      <c r="A674" s="196">
        <v>6150</v>
      </c>
      <c r="B674" s="198" t="s">
        <v>671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672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626833.91449999972</v>
      </c>
      <c r="D675" s="180">
        <f>(D615/D612)*J76</f>
        <v>0</v>
      </c>
      <c r="E675" s="180">
        <f>(E623/E612)*SUM(C675:D675)</f>
        <v>187897.16338331733</v>
      </c>
      <c r="F675" s="180">
        <f>(F624/F612)*J64</f>
        <v>281.13012010622634</v>
      </c>
      <c r="G675" s="180">
        <f>(G625/G612)*J77</f>
        <v>0</v>
      </c>
      <c r="H675" s="180">
        <f>(H628/H612)*J60</f>
        <v>5287.9916302440342</v>
      </c>
      <c r="I675" s="180">
        <f>(I629/I612)*J78</f>
        <v>0</v>
      </c>
      <c r="J675" s="180">
        <f>(J630/J612)*J79</f>
        <v>925.26065509844932</v>
      </c>
      <c r="K675" s="180">
        <f>(K644/K612)*J75</f>
        <v>34693.246608238194</v>
      </c>
      <c r="L675" s="180">
        <f>(L647/L612)*J80</f>
        <v>49601.361553561423</v>
      </c>
      <c r="M675" s="180">
        <f t="shared" si="20"/>
        <v>278686</v>
      </c>
      <c r="N675" s="198" t="s">
        <v>673</v>
      </c>
    </row>
    <row r="676" spans="1:14" ht="12.6" customHeight="1" x14ac:dyDescent="0.25">
      <c r="A676" s="196">
        <v>6200</v>
      </c>
      <c r="B676" s="198" t="s">
        <v>286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674</v>
      </c>
    </row>
    <row r="677" spans="1:14" ht="12.6" customHeight="1" x14ac:dyDescent="0.25">
      <c r="A677" s="196">
        <v>6210</v>
      </c>
      <c r="B677" s="198" t="s">
        <v>287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675</v>
      </c>
    </row>
    <row r="678" spans="1:14" ht="12.6" customHeight="1" x14ac:dyDescent="0.25">
      <c r="A678" s="196">
        <v>6330</v>
      </c>
      <c r="B678" s="198" t="s">
        <v>676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677</v>
      </c>
    </row>
    <row r="679" spans="1:14" ht="12.6" customHeight="1" x14ac:dyDescent="0.25">
      <c r="A679" s="196">
        <v>6400</v>
      </c>
      <c r="B679" s="198" t="s">
        <v>678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679</v>
      </c>
    </row>
    <row r="680" spans="1:14" ht="12.6" customHeight="1" x14ac:dyDescent="0.25">
      <c r="A680" s="196">
        <v>7010</v>
      </c>
      <c r="B680" s="198" t="s">
        <v>680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681</v>
      </c>
    </row>
    <row r="681" spans="1:14" ht="12.6" customHeight="1" x14ac:dyDescent="0.25">
      <c r="A681" s="196">
        <v>7020</v>
      </c>
      <c r="B681" s="198" t="s">
        <v>682</v>
      </c>
      <c r="C681" s="180">
        <f>P71</f>
        <v>12162090.599999998</v>
      </c>
      <c r="D681" s="180">
        <f>(D615/D612)*P76</f>
        <v>922226.89946524368</v>
      </c>
      <c r="E681" s="180">
        <f>(E623/E612)*SUM(C681:D681)</f>
        <v>3922101.3510688394</v>
      </c>
      <c r="F681" s="180">
        <f>(F624/F612)*P64</f>
        <v>40388.049381964614</v>
      </c>
      <c r="G681" s="180">
        <f>(G625/G612)*P77</f>
        <v>0</v>
      </c>
      <c r="H681" s="180">
        <f>(H628/H612)*P60</f>
        <v>48256.608875198515</v>
      </c>
      <c r="I681" s="180">
        <f>(I629/I612)*P78</f>
        <v>369132.95077146456</v>
      </c>
      <c r="J681" s="180">
        <f>(J630/J612)*P79</f>
        <v>5032.4385088112558</v>
      </c>
      <c r="K681" s="180">
        <f>(K644/K612)*P75</f>
        <v>706333.85792985489</v>
      </c>
      <c r="L681" s="180">
        <f>(L647/L612)*P80</f>
        <v>269778.90024411882</v>
      </c>
      <c r="M681" s="180">
        <f t="shared" si="20"/>
        <v>6283251</v>
      </c>
      <c r="N681" s="198" t="s">
        <v>683</v>
      </c>
    </row>
    <row r="682" spans="1:14" ht="12.6" customHeight="1" x14ac:dyDescent="0.25">
      <c r="A682" s="196">
        <v>7030</v>
      </c>
      <c r="B682" s="198" t="s">
        <v>684</v>
      </c>
      <c r="C682" s="180">
        <f>Q71</f>
        <v>965937.33999999973</v>
      </c>
      <c r="D682" s="180">
        <f>(D615/D612)*Q76</f>
        <v>93786.78537447346</v>
      </c>
      <c r="E682" s="180">
        <f>(E623/E612)*SUM(C682:D682)</f>
        <v>317658.55758707598</v>
      </c>
      <c r="F682" s="180">
        <f>(F624/F612)*Q64</f>
        <v>184.62398600604303</v>
      </c>
      <c r="G682" s="180">
        <f>(G625/G612)*Q77</f>
        <v>0</v>
      </c>
      <c r="H682" s="180">
        <f>(H628/H612)*Q60</f>
        <v>6811.4053384099834</v>
      </c>
      <c r="I682" s="180">
        <f>(I629/I612)*Q78</f>
        <v>37539.344003871309</v>
      </c>
      <c r="J682" s="180">
        <f>(J630/J612)*Q79</f>
        <v>1531.2464272463837</v>
      </c>
      <c r="K682" s="180">
        <f>(K644/K612)*Q75</f>
        <v>33418.311302358728</v>
      </c>
      <c r="L682" s="180">
        <f>(L647/L612)*Q80</f>
        <v>82087.039200176136</v>
      </c>
      <c r="M682" s="180">
        <f t="shared" si="20"/>
        <v>573017</v>
      </c>
      <c r="N682" s="198" t="s">
        <v>685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4455443.3000000007</v>
      </c>
      <c r="D683" s="180">
        <f>(D615/D612)*R76</f>
        <v>0</v>
      </c>
      <c r="E683" s="180">
        <f>(E623/E612)*SUM(C683:D683)</f>
        <v>1335545.4105462364</v>
      </c>
      <c r="F683" s="180">
        <f>(F624/F612)*R64</f>
        <v>23.27361457068444</v>
      </c>
      <c r="G683" s="180">
        <f>(G625/G612)*R77</f>
        <v>0</v>
      </c>
      <c r="H683" s="180">
        <f>(H628/H612)*R60</f>
        <v>14014.620446880812</v>
      </c>
      <c r="I683" s="180">
        <f>(I629/I612)*R78</f>
        <v>0</v>
      </c>
      <c r="J683" s="180">
        <f>(J630/J612)*R79</f>
        <v>0</v>
      </c>
      <c r="K683" s="180">
        <f>(K644/K612)*R75</f>
        <v>65290.904837391747</v>
      </c>
      <c r="L683" s="180">
        <f>(L647/L612)*R80</f>
        <v>0</v>
      </c>
      <c r="M683" s="180">
        <f t="shared" si="20"/>
        <v>1414874</v>
      </c>
      <c r="N683" s="198" t="s">
        <v>686</v>
      </c>
    </row>
    <row r="684" spans="1:14" ht="12.6" customHeight="1" x14ac:dyDescent="0.25">
      <c r="A684" s="196">
        <v>7050</v>
      </c>
      <c r="B684" s="198" t="s">
        <v>687</v>
      </c>
      <c r="C684" s="180">
        <f>S71</f>
        <v>1558758.6899999997</v>
      </c>
      <c r="D684" s="180">
        <f>(D615/D612)*S76</f>
        <v>208779.69091277575</v>
      </c>
      <c r="E684" s="180">
        <f>(E623/E612)*SUM(C684:D684)</f>
        <v>529830.05587623175</v>
      </c>
      <c r="F684" s="180">
        <f>(F624/F612)*S64</f>
        <v>1095.7439344675938</v>
      </c>
      <c r="G684" s="180">
        <f>(G625/G612)*S77</f>
        <v>0</v>
      </c>
      <c r="H684" s="180">
        <f>(H628/H612)*S60</f>
        <v>25724.0001272359</v>
      </c>
      <c r="I684" s="180">
        <f>(I629/I612)*S78</f>
        <v>83566.705126986708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848996</v>
      </c>
      <c r="N684" s="198" t="s">
        <v>688</v>
      </c>
    </row>
    <row r="685" spans="1:14" ht="12.6" customHeight="1" x14ac:dyDescent="0.25">
      <c r="A685" s="196">
        <v>7060</v>
      </c>
      <c r="B685" s="198" t="s">
        <v>689</v>
      </c>
      <c r="C685" s="180">
        <f>T71</f>
        <v>332905.19999999995</v>
      </c>
      <c r="D685" s="180">
        <f>(D615/D612)*T76</f>
        <v>0</v>
      </c>
      <c r="E685" s="180">
        <f>(E623/E612)*SUM(C685:D685)</f>
        <v>99790.297411477964</v>
      </c>
      <c r="F685" s="180">
        <f>(F624/F612)*T64</f>
        <v>653.43077544127379</v>
      </c>
      <c r="G685" s="180">
        <f>(G625/G612)*T77</f>
        <v>0</v>
      </c>
      <c r="H685" s="180">
        <f>(H628/H612)*T60</f>
        <v>1957.5428509256253</v>
      </c>
      <c r="I685" s="180">
        <f>(I629/I612)*T78</f>
        <v>0</v>
      </c>
      <c r="J685" s="180">
        <f>(J630/J612)*T79</f>
        <v>463.21677723178811</v>
      </c>
      <c r="K685" s="180">
        <f>(K644/K612)*T75</f>
        <v>7413.4585492811893</v>
      </c>
      <c r="L685" s="180">
        <f>(L647/L612)*T80</f>
        <v>24832.119163982756</v>
      </c>
      <c r="M685" s="180">
        <f t="shared" si="20"/>
        <v>135110</v>
      </c>
      <c r="N685" s="198" t="s">
        <v>690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6404474.7500000009</v>
      </c>
      <c r="D686" s="180">
        <f>(D615/D612)*U76</f>
        <v>256269.05640366784</v>
      </c>
      <c r="E686" s="180">
        <f>(E623/E612)*SUM(C686:D686)</f>
        <v>1996597.2457705135</v>
      </c>
      <c r="F686" s="180">
        <f>(F624/F612)*U64</f>
        <v>6221.7559252371193</v>
      </c>
      <c r="G686" s="180">
        <f>(G625/G612)*U77</f>
        <v>0</v>
      </c>
      <c r="H686" s="180">
        <f>(H628/H612)*U60</f>
        <v>37329.047205379706</v>
      </c>
      <c r="I686" s="180">
        <f>(I629/I612)*U78</f>
        <v>102574.92276202026</v>
      </c>
      <c r="J686" s="180">
        <f>(J630/J612)*U79</f>
        <v>0</v>
      </c>
      <c r="K686" s="180">
        <f>(K644/K612)*U75</f>
        <v>386329.45886600367</v>
      </c>
      <c r="L686" s="180">
        <f>(L647/L612)*U80</f>
        <v>0</v>
      </c>
      <c r="M686" s="180">
        <f t="shared" si="20"/>
        <v>2785321</v>
      </c>
      <c r="N686" s="198" t="s">
        <v>691</v>
      </c>
    </row>
    <row r="687" spans="1:14" ht="12.6" customHeight="1" x14ac:dyDescent="0.25">
      <c r="A687" s="196">
        <v>7110</v>
      </c>
      <c r="B687" s="198" t="s">
        <v>692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693</v>
      </c>
    </row>
    <row r="688" spans="1:14" ht="12.6" customHeight="1" x14ac:dyDescent="0.25">
      <c r="A688" s="196">
        <v>7120</v>
      </c>
      <c r="B688" s="198" t="s">
        <v>694</v>
      </c>
      <c r="C688" s="180">
        <f>W71</f>
        <v>614412.07000000007</v>
      </c>
      <c r="D688" s="180">
        <f>(D615/D612)*W76</f>
        <v>0</v>
      </c>
      <c r="E688" s="180">
        <f>(E623/E612)*SUM(C688:D688)</f>
        <v>184173.64222157488</v>
      </c>
      <c r="F688" s="180">
        <f>(F624/F612)*W64</f>
        <v>56.716313506861937</v>
      </c>
      <c r="G688" s="180">
        <f>(G625/G612)*W77</f>
        <v>0</v>
      </c>
      <c r="H688" s="180">
        <f>(H628/H612)*W60</f>
        <v>5160.4870132196347</v>
      </c>
      <c r="I688" s="180">
        <f>(I629/I612)*W78</f>
        <v>0</v>
      </c>
      <c r="J688" s="180">
        <f>(J630/J612)*W79</f>
        <v>6.6760435280943735</v>
      </c>
      <c r="K688" s="180">
        <f>(K644/K612)*W75</f>
        <v>114355.64034351657</v>
      </c>
      <c r="L688" s="180">
        <f>(L647/L612)*W80</f>
        <v>357.88925743210041</v>
      </c>
      <c r="M688" s="180">
        <f t="shared" si="20"/>
        <v>304111</v>
      </c>
      <c r="N688" s="198" t="s">
        <v>695</v>
      </c>
    </row>
    <row r="689" spans="1:14" ht="12.6" customHeight="1" x14ac:dyDescent="0.25">
      <c r="A689" s="196">
        <v>7130</v>
      </c>
      <c r="B689" s="198" t="s">
        <v>696</v>
      </c>
      <c r="C689" s="180">
        <f>X71</f>
        <v>1223956.2</v>
      </c>
      <c r="D689" s="180">
        <f>(D615/D612)*X76</f>
        <v>0</v>
      </c>
      <c r="E689" s="180">
        <f>(E623/E612)*SUM(C689:D689)</f>
        <v>366888.09071357973</v>
      </c>
      <c r="F689" s="180">
        <f>(F624/F612)*X64</f>
        <v>1131.6941339391706</v>
      </c>
      <c r="G689" s="180">
        <f>(G625/G612)*X77</f>
        <v>0</v>
      </c>
      <c r="H689" s="180">
        <f>(H628/H612)*X60</f>
        <v>9959.9873317767942</v>
      </c>
      <c r="I689" s="180">
        <f>(I629/I612)*X78</f>
        <v>0</v>
      </c>
      <c r="J689" s="180">
        <f>(J630/J612)*X79</f>
        <v>11.952880434475855</v>
      </c>
      <c r="K689" s="180">
        <f>(K644/K612)*X75</f>
        <v>560201.24584043655</v>
      </c>
      <c r="L689" s="180">
        <f>(L647/L612)*X80</f>
        <v>640.7698638972646</v>
      </c>
      <c r="M689" s="180">
        <f t="shared" si="20"/>
        <v>938834</v>
      </c>
      <c r="N689" s="198" t="s">
        <v>697</v>
      </c>
    </row>
    <row r="690" spans="1:14" ht="12.6" customHeight="1" x14ac:dyDescent="0.25">
      <c r="A690" s="196">
        <v>7140</v>
      </c>
      <c r="B690" s="198" t="s">
        <v>1248</v>
      </c>
      <c r="C690" s="180">
        <f>Y71</f>
        <v>9269699.9299999978</v>
      </c>
      <c r="D690" s="180">
        <f>(D615/D612)*Y76</f>
        <v>938047.67797966429</v>
      </c>
      <c r="E690" s="180">
        <f>(E623/E612)*SUM(C690:D690)</f>
        <v>3059832.5580423297</v>
      </c>
      <c r="F690" s="180">
        <f>(F624/F612)*Y64</f>
        <v>16743.034846798393</v>
      </c>
      <c r="G690" s="180">
        <f>(G625/G612)*Y77</f>
        <v>0</v>
      </c>
      <c r="H690" s="180">
        <f>(H628/H612)*Y60</f>
        <v>64709.603017997142</v>
      </c>
      <c r="I690" s="180">
        <f>(I629/I612)*Y78</f>
        <v>375465.41695729824</v>
      </c>
      <c r="J690" s="180">
        <f>(J630/J612)*Y79</f>
        <v>1329.1829814736566</v>
      </c>
      <c r="K690" s="180">
        <f>(K644/K612)*Y75</f>
        <v>754043.28286792466</v>
      </c>
      <c r="L690" s="180">
        <f>(L647/L612)*Y80</f>
        <v>71254.824542280563</v>
      </c>
      <c r="M690" s="180">
        <f t="shared" si="20"/>
        <v>5281426</v>
      </c>
      <c r="N690" s="198" t="s">
        <v>698</v>
      </c>
    </row>
    <row r="691" spans="1:14" ht="12.6" customHeight="1" x14ac:dyDescent="0.25">
      <c r="A691" s="196">
        <v>7150</v>
      </c>
      <c r="B691" s="198" t="s">
        <v>699</v>
      </c>
      <c r="C691" s="180">
        <f>Z71</f>
        <v>1574004.2</v>
      </c>
      <c r="D691" s="180">
        <f>(D615/D612)*Z76</f>
        <v>269961.60195813747</v>
      </c>
      <c r="E691" s="180">
        <f>(E623/E612)*SUM(C691:D691)</f>
        <v>552739.62615782814</v>
      </c>
      <c r="F691" s="180">
        <f>(F624/F612)*Z64</f>
        <v>136.69731469987596</v>
      </c>
      <c r="G691" s="180">
        <f>(G625/G612)*Z77</f>
        <v>0</v>
      </c>
      <c r="H691" s="180">
        <f>(H628/H612)*Z60</f>
        <v>7772.2993369868145</v>
      </c>
      <c r="I691" s="180">
        <f>(I629/I612)*Z78</f>
        <v>108055.53685712515</v>
      </c>
      <c r="J691" s="180">
        <f>(J630/J612)*Z79</f>
        <v>0</v>
      </c>
      <c r="K691" s="180">
        <f>(K644/K612)*Z75</f>
        <v>145124.92311826482</v>
      </c>
      <c r="L691" s="180">
        <f>(L647/L612)*Z80</f>
        <v>0</v>
      </c>
      <c r="M691" s="180">
        <f t="shared" si="20"/>
        <v>1083791</v>
      </c>
      <c r="N691" s="198" t="s">
        <v>700</v>
      </c>
    </row>
    <row r="692" spans="1:14" ht="12.6" customHeight="1" x14ac:dyDescent="0.25">
      <c r="A692" s="196">
        <v>7160</v>
      </c>
      <c r="B692" s="198" t="s">
        <v>701</v>
      </c>
      <c r="C692" s="180">
        <f>AA71</f>
        <v>1124477.3600000001</v>
      </c>
      <c r="D692" s="180">
        <f>(D615/D612)*AA76</f>
        <v>71024.19072626355</v>
      </c>
      <c r="E692" s="180">
        <f>(E623/E612)*SUM(C692:D692)</f>
        <v>358358.64174803207</v>
      </c>
      <c r="F692" s="180">
        <f>(F624/F612)*AA64</f>
        <v>1152.6552084068762</v>
      </c>
      <c r="G692" s="180">
        <f>(G625/G612)*AA77</f>
        <v>694.24349579686373</v>
      </c>
      <c r="H692" s="180">
        <f>(H628/H612)*AA60</f>
        <v>5284.1178705650655</v>
      </c>
      <c r="I692" s="180">
        <f>(I629/I612)*AA78</f>
        <v>28428.328336706705</v>
      </c>
      <c r="J692" s="180">
        <f>(J630/J612)*AA79</f>
        <v>0.22588112482663164</v>
      </c>
      <c r="K692" s="180">
        <f>(K644/K612)*AA75</f>
        <v>45338.207619508197</v>
      </c>
      <c r="L692" s="180">
        <f>(L647/L612)*AA80</f>
        <v>12.109032496857623</v>
      </c>
      <c r="M692" s="180">
        <f t="shared" si="20"/>
        <v>510293</v>
      </c>
      <c r="N692" s="198" t="s">
        <v>702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16104988.439999998</v>
      </c>
      <c r="D693" s="180">
        <f>(D615/D612)*AB76</f>
        <v>122293.99472601173</v>
      </c>
      <c r="E693" s="180">
        <f>(E623/E612)*SUM(C693:D693)</f>
        <v>4864223.6298542675</v>
      </c>
      <c r="F693" s="180">
        <f>(F624/F612)*AB64</f>
        <v>87546.858701203964</v>
      </c>
      <c r="G693" s="180">
        <f>(G625/G612)*AB77</f>
        <v>0</v>
      </c>
      <c r="H693" s="180">
        <f>(H628/H612)*AB60</f>
        <v>53169.507382026917</v>
      </c>
      <c r="I693" s="180">
        <f>(I629/I612)*AB78</f>
        <v>48949.714176650894</v>
      </c>
      <c r="J693" s="180">
        <f>(J630/J612)*AB79</f>
        <v>0</v>
      </c>
      <c r="K693" s="180">
        <f>(K644/K612)*AB75</f>
        <v>609343.01600054803</v>
      </c>
      <c r="L693" s="180">
        <f>(L647/L612)*AB80</f>
        <v>0</v>
      </c>
      <c r="M693" s="180">
        <f t="shared" si="20"/>
        <v>5785527</v>
      </c>
      <c r="N693" s="198" t="s">
        <v>703</v>
      </c>
    </row>
    <row r="694" spans="1:14" ht="12.6" customHeight="1" x14ac:dyDescent="0.25">
      <c r="A694" s="196">
        <v>7180</v>
      </c>
      <c r="B694" s="198" t="s">
        <v>704</v>
      </c>
      <c r="C694" s="180">
        <f>AC71</f>
        <v>1740401.5900000003</v>
      </c>
      <c r="D694" s="180">
        <f>(D615/D612)*AC76</f>
        <v>56462.557272290192</v>
      </c>
      <c r="E694" s="180">
        <f>(E623/E612)*SUM(C694:D694)</f>
        <v>538620.62732670933</v>
      </c>
      <c r="F694" s="180">
        <f>(F624/F612)*AC64</f>
        <v>836.66836857853173</v>
      </c>
      <c r="G694" s="180">
        <f>(G625/G612)*AC77</f>
        <v>0</v>
      </c>
      <c r="H694" s="180">
        <f>(H628/H612)*AC60</f>
        <v>19138.970159965691</v>
      </c>
      <c r="I694" s="180">
        <f>(I629/I612)*AC78</f>
        <v>22599.85084593467</v>
      </c>
      <c r="J694" s="180">
        <f>(J630/J612)*AC79</f>
        <v>0</v>
      </c>
      <c r="K694" s="180">
        <f>(K644/K612)*AC75</f>
        <v>139293.80022316199</v>
      </c>
      <c r="L694" s="180">
        <f>(L647/L612)*AC80</f>
        <v>0</v>
      </c>
      <c r="M694" s="180">
        <f t="shared" si="20"/>
        <v>776952</v>
      </c>
      <c r="N694" s="198" t="s">
        <v>705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4981546.8699999982</v>
      </c>
      <c r="D695" s="180">
        <f>(D615/D612)*AD76</f>
        <v>315631.32639119186</v>
      </c>
      <c r="E695" s="180">
        <f>(E623/E612)*SUM(C695:D695)</f>
        <v>1587860.4108901673</v>
      </c>
      <c r="F695" s="180">
        <f>(F624/F612)*AD64</f>
        <v>8150.0435987643505</v>
      </c>
      <c r="G695" s="180">
        <f>(G625/G612)*AD77</f>
        <v>0</v>
      </c>
      <c r="H695" s="180">
        <f>(H628/H612)*AD60</f>
        <v>50111.16517137659</v>
      </c>
      <c r="I695" s="180">
        <f>(I629/I612)*AD78</f>
        <v>126335.42020326077</v>
      </c>
      <c r="J695" s="180">
        <f>(J630/J612)*AD79</f>
        <v>3228.5344403426384</v>
      </c>
      <c r="K695" s="180">
        <f>(K644/K612)*AD75</f>
        <v>281438.83506965346</v>
      </c>
      <c r="L695" s="180">
        <f>(L647/L612)*AD80</f>
        <v>173075.23364485998</v>
      </c>
      <c r="M695" s="180">
        <f t="shared" si="20"/>
        <v>2545831</v>
      </c>
      <c r="N695" s="198" t="s">
        <v>706</v>
      </c>
    </row>
    <row r="696" spans="1:14" ht="12.6" customHeight="1" x14ac:dyDescent="0.25">
      <c r="A696" s="196">
        <v>7200</v>
      </c>
      <c r="B696" s="198" t="s">
        <v>707</v>
      </c>
      <c r="C696" s="180">
        <f>AE71</f>
        <v>1185843.7099999997</v>
      </c>
      <c r="D696" s="180">
        <f>(D615/D612)*AE76</f>
        <v>328928.55896156759</v>
      </c>
      <c r="E696" s="180">
        <f>(E623/E612)*SUM(C696:D696)</f>
        <v>454061.92282467836</v>
      </c>
      <c r="F696" s="180">
        <f>(F624/F612)*AE64</f>
        <v>73.98745003149331</v>
      </c>
      <c r="G696" s="180">
        <f>(G625/G612)*AE77</f>
        <v>138.84869915937276</v>
      </c>
      <c r="H696" s="180">
        <f>(H628/H612)*AE60</f>
        <v>13021.592177650507</v>
      </c>
      <c r="I696" s="180">
        <f>(I629/I612)*AE78</f>
        <v>131657.80528945097</v>
      </c>
      <c r="J696" s="180">
        <f>(J630/J612)*AE79</f>
        <v>0</v>
      </c>
      <c r="K696" s="180">
        <f>(K644/K612)*AE75</f>
        <v>48229.084462496343</v>
      </c>
      <c r="L696" s="180">
        <f>(L647/L612)*AE80</f>
        <v>0</v>
      </c>
      <c r="M696" s="180">
        <f t="shared" si="20"/>
        <v>976112</v>
      </c>
      <c r="N696" s="198" t="s">
        <v>708</v>
      </c>
    </row>
    <row r="697" spans="1:14" ht="12.6" customHeight="1" x14ac:dyDescent="0.25">
      <c r="A697" s="196">
        <v>7220</v>
      </c>
      <c r="B697" s="198" t="s">
        <v>709</v>
      </c>
      <c r="C697" s="180">
        <f>AF71</f>
        <v>3885030.06</v>
      </c>
      <c r="D697" s="180">
        <f>(D615/D612)*AF76</f>
        <v>727283.9138276329</v>
      </c>
      <c r="E697" s="180">
        <f>(E623/E612)*SUM(C697:D697)</f>
        <v>1382568.3203607975</v>
      </c>
      <c r="F697" s="180">
        <f>(F624/F612)*AF64</f>
        <v>1485.1003612583108</v>
      </c>
      <c r="G697" s="180">
        <f>(G625/G612)*AF77</f>
        <v>0</v>
      </c>
      <c r="H697" s="180">
        <f>(H628/H612)*AF60</f>
        <v>28083.499991410616</v>
      </c>
      <c r="I697" s="180">
        <f>(I629/I612)*AF78</f>
        <v>291104.56148642348</v>
      </c>
      <c r="J697" s="180">
        <f>(J630/J612)*AF79</f>
        <v>749.44601533710909</v>
      </c>
      <c r="K697" s="180">
        <f>(K644/K612)*AF75</f>
        <v>44354.994208276628</v>
      </c>
      <c r="L697" s="180">
        <f>(L647/L612)*AF80</f>
        <v>40176.292557967412</v>
      </c>
      <c r="M697" s="180">
        <f t="shared" si="20"/>
        <v>2515806</v>
      </c>
      <c r="N697" s="198" t="s">
        <v>710</v>
      </c>
    </row>
    <row r="698" spans="1:14" ht="12.6" customHeight="1" x14ac:dyDescent="0.25">
      <c r="A698" s="196">
        <v>7230</v>
      </c>
      <c r="B698" s="198" t="s">
        <v>711</v>
      </c>
      <c r="C698" s="180">
        <f>AG71</f>
        <v>11050939.400000002</v>
      </c>
      <c r="D698" s="180">
        <f>(D615/D612)*AG76</f>
        <v>785656.58739913465</v>
      </c>
      <c r="E698" s="180">
        <f>(E623/E612)*SUM(C698:D698)</f>
        <v>3548089.4678787435</v>
      </c>
      <c r="F698" s="180">
        <f>(F624/F612)*AG64</f>
        <v>5778.1844843566778</v>
      </c>
      <c r="G698" s="180">
        <f>(G625/G612)*AG77</f>
        <v>97444.01707004779</v>
      </c>
      <c r="H698" s="180">
        <f>(H628/H612)*AG60</f>
        <v>104412.47213959516</v>
      </c>
      <c r="I698" s="180">
        <f>(I629/I612)*AG78</f>
        <v>314468.9604779972</v>
      </c>
      <c r="J698" s="180">
        <f>(J630/J612)*AG79</f>
        <v>14067.688731783312</v>
      </c>
      <c r="K698" s="180">
        <f>(K644/K612)*AG75</f>
        <v>1462986.8894765</v>
      </c>
      <c r="L698" s="180">
        <f>(L647/L612)*AG80</f>
        <v>754140.4804832011</v>
      </c>
      <c r="M698" s="180">
        <f t="shared" si="20"/>
        <v>7087045</v>
      </c>
      <c r="N698" s="198" t="s">
        <v>712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713</v>
      </c>
    </row>
    <row r="700" spans="1:14" ht="12.6" customHeight="1" x14ac:dyDescent="0.25">
      <c r="A700" s="196">
        <v>7250</v>
      </c>
      <c r="B700" s="198" t="s">
        <v>714</v>
      </c>
      <c r="C700" s="180">
        <f>AI71</f>
        <v>5423125.6500000004</v>
      </c>
      <c r="D700" s="180">
        <f>(D615/D612)*AI76</f>
        <v>869957.73823505116</v>
      </c>
      <c r="E700" s="180">
        <f>(E623/E612)*SUM(C700:D700)</f>
        <v>1886388.8667020139</v>
      </c>
      <c r="F700" s="180">
        <f>(F624/F612)*AI64</f>
        <v>9399.4571723291665</v>
      </c>
      <c r="G700" s="180">
        <f>(G625/G612)*AI77</f>
        <v>66091.980799861427</v>
      </c>
      <c r="H700" s="180">
        <f>(H628/H612)*AI60</f>
        <v>38727.376590823929</v>
      </c>
      <c r="I700" s="180">
        <f>(I629/I612)*AI78</f>
        <v>348211.55959274457</v>
      </c>
      <c r="J700" s="180">
        <f>(J630/J612)*AI79</f>
        <v>5600.4126814312722</v>
      </c>
      <c r="K700" s="180">
        <f>(K644/K612)*AI75</f>
        <v>261709.54875045651</v>
      </c>
      <c r="L700" s="180">
        <f>(L647/L612)*AI80</f>
        <v>300226.85254163953</v>
      </c>
      <c r="M700" s="180">
        <f t="shared" si="20"/>
        <v>3786314</v>
      </c>
      <c r="N700" s="198" t="s">
        <v>715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57209706</v>
      </c>
      <c r="D701" s="180">
        <f>(D615/D612)*AJ76</f>
        <v>3504178.178268244</v>
      </c>
      <c r="E701" s="180">
        <f>(E623/E612)*SUM(C701:D701)</f>
        <v>18199344.916076455</v>
      </c>
      <c r="F701" s="180">
        <f>(F624/F612)*AJ64</f>
        <v>17445.329343845107</v>
      </c>
      <c r="G701" s="180">
        <f>(G625/G612)*AJ77</f>
        <v>0</v>
      </c>
      <c r="H701" s="180">
        <f>(H628/H612)*AJ60</f>
        <v>471902.24294624454</v>
      </c>
      <c r="I701" s="180">
        <f>(I629/I612)*AJ78</f>
        <v>1402591.5224584935</v>
      </c>
      <c r="J701" s="180">
        <f>(J630/J612)*AJ79</f>
        <v>10656.726697855056</v>
      </c>
      <c r="K701" s="180">
        <f>(K644/K612)*AJ75</f>
        <v>821687.87543815817</v>
      </c>
      <c r="L701" s="180">
        <f>(L647/L612)*AJ80</f>
        <v>571285.67069736333</v>
      </c>
      <c r="M701" s="180">
        <f t="shared" si="20"/>
        <v>24999092</v>
      </c>
      <c r="N701" s="198" t="s">
        <v>716</v>
      </c>
    </row>
    <row r="702" spans="1:14" ht="12.6" customHeight="1" x14ac:dyDescent="0.25">
      <c r="A702" s="196">
        <v>7310</v>
      </c>
      <c r="B702" s="198" t="s">
        <v>717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718</v>
      </c>
    </row>
    <row r="703" spans="1:14" ht="12.6" customHeight="1" x14ac:dyDescent="0.25">
      <c r="A703" s="196">
        <v>7320</v>
      </c>
      <c r="B703" s="198" t="s">
        <v>719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720</v>
      </c>
    </row>
    <row r="704" spans="1:14" ht="12.6" customHeight="1" x14ac:dyDescent="0.25">
      <c r="A704" s="196">
        <v>7330</v>
      </c>
      <c r="B704" s="198" t="s">
        <v>721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722</v>
      </c>
    </row>
    <row r="705" spans="1:15" ht="12.6" customHeight="1" x14ac:dyDescent="0.25">
      <c r="A705" s="196">
        <v>7340</v>
      </c>
      <c r="B705" s="198" t="s">
        <v>723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724</v>
      </c>
    </row>
    <row r="706" spans="1:15" ht="12.6" customHeight="1" x14ac:dyDescent="0.25">
      <c r="A706" s="196">
        <v>7350</v>
      </c>
      <c r="B706" s="198" t="s">
        <v>725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726</v>
      </c>
    </row>
    <row r="707" spans="1:15" ht="12.6" customHeight="1" x14ac:dyDescent="0.25">
      <c r="A707" s="196">
        <v>7380</v>
      </c>
      <c r="B707" s="198" t="s">
        <v>727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728</v>
      </c>
    </row>
    <row r="708" spans="1:15" ht="12.6" customHeight="1" x14ac:dyDescent="0.25">
      <c r="A708" s="196">
        <v>7390</v>
      </c>
      <c r="B708" s="198" t="s">
        <v>729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730</v>
      </c>
    </row>
    <row r="709" spans="1:15" ht="12.6" customHeight="1" x14ac:dyDescent="0.25">
      <c r="A709" s="196">
        <v>7400</v>
      </c>
      <c r="B709" s="198" t="s">
        <v>731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732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733</v>
      </c>
    </row>
    <row r="711" spans="1:15" ht="12.6" customHeight="1" x14ac:dyDescent="0.25">
      <c r="A711" s="196">
        <v>7420</v>
      </c>
      <c r="B711" s="198" t="s">
        <v>734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735</v>
      </c>
    </row>
    <row r="712" spans="1:15" ht="12.6" customHeight="1" x14ac:dyDescent="0.25">
      <c r="A712" s="196">
        <v>7430</v>
      </c>
      <c r="B712" s="198" t="s">
        <v>736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737</v>
      </c>
    </row>
    <row r="713" spans="1:15" ht="12.6" customHeight="1" x14ac:dyDescent="0.25">
      <c r="A713" s="196">
        <v>7490</v>
      </c>
      <c r="B713" s="198" t="s">
        <v>738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739</v>
      </c>
    </row>
    <row r="715" spans="1:15" ht="12.6" customHeight="1" x14ac:dyDescent="0.25">
      <c r="C715" s="180">
        <f>SUM(C614:C647)+SUM(C668:C713)</f>
        <v>260071858.78000003</v>
      </c>
      <c r="D715" s="180">
        <f>SUM(D616:D647)+SUM(D668:D713)</f>
        <v>19449658.379999995</v>
      </c>
      <c r="E715" s="180">
        <f>SUM(E624:E647)+SUM(E668:E713)</f>
        <v>59979011.31689395</v>
      </c>
      <c r="F715" s="180">
        <f>SUM(F625:F648)+SUM(F668:F713)</f>
        <v>217366.47061370235</v>
      </c>
      <c r="G715" s="180">
        <f>SUM(G626:G647)+SUM(G668:G713)</f>
        <v>2756702.0731101865</v>
      </c>
      <c r="H715" s="180">
        <f>SUM(H629:H647)+SUM(H668:H713)</f>
        <v>1447026.196615679</v>
      </c>
      <c r="I715" s="180">
        <f>SUM(I630:I647)+SUM(I668:I713)</f>
        <v>5531432.2038654387</v>
      </c>
      <c r="J715" s="180">
        <f>SUM(J631:J647)+SUM(J668:J713)</f>
        <v>82592.902188143606</v>
      </c>
      <c r="K715" s="180">
        <f>SUM(K668:K713)</f>
        <v>7821371.5439858688</v>
      </c>
      <c r="L715" s="180">
        <f>SUM(L668:L713)</f>
        <v>4427639.2610211512</v>
      </c>
      <c r="M715" s="180">
        <f>SUM(M668:M713)</f>
        <v>88921389</v>
      </c>
      <c r="N715" s="198" t="s">
        <v>740</v>
      </c>
    </row>
    <row r="716" spans="1:15" ht="12.6" customHeight="1" x14ac:dyDescent="0.25">
      <c r="C716" s="180">
        <f>CE71</f>
        <v>260071858.78000003</v>
      </c>
      <c r="D716" s="180">
        <f>D615</f>
        <v>19449658.379999999</v>
      </c>
      <c r="E716" s="180">
        <f>E623</f>
        <v>59979011.316893972</v>
      </c>
      <c r="F716" s="180">
        <f>F624</f>
        <v>217366.47061370232</v>
      </c>
      <c r="G716" s="180">
        <f>G625</f>
        <v>2756702.0731101865</v>
      </c>
      <c r="H716" s="180">
        <f>H628</f>
        <v>1447026.1966156794</v>
      </c>
      <c r="I716" s="180">
        <f>I629</f>
        <v>5531432.2038654378</v>
      </c>
      <c r="J716" s="180">
        <f>J630</f>
        <v>82592.902188143606</v>
      </c>
      <c r="K716" s="180">
        <f>K644</f>
        <v>7821371.5439858707</v>
      </c>
      <c r="L716" s="180">
        <f>L647</f>
        <v>4427639.2610211512</v>
      </c>
      <c r="M716" s="180">
        <f>C648</f>
        <v>88921388.859999999</v>
      </c>
      <c r="N716" s="198" t="s">
        <v>741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1006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1007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1008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1262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1009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1010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1259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1260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1261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1011</v>
      </c>
      <c r="G16" s="8"/>
      <c r="H16" s="8"/>
      <c r="I16" s="8"/>
      <c r="J16" s="145"/>
    </row>
    <row r="17" spans="2:10" ht="15.6" thickTop="1" x14ac:dyDescent="0.25">
      <c r="B17" s="141"/>
      <c r="C17" s="150" t="s">
        <v>1012</v>
      </c>
      <c r="D17" s="150"/>
      <c r="E17" s="142" t="str">
        <f>+data!C84</f>
        <v>PeaceHealth St John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1013</v>
      </c>
      <c r="D18" s="151"/>
      <c r="E18" s="8" t="str">
        <f>+"H-"&amp;data!C83</f>
        <v>H-026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1014</v>
      </c>
      <c r="D19" s="151"/>
      <c r="E19" s="8" t="str">
        <f>+data!C85</f>
        <v>1615 Delaware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1015</v>
      </c>
      <c r="D20" s="151"/>
      <c r="E20" s="8" t="str">
        <f>+data!C86</f>
        <v>Box 3002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1016</v>
      </c>
      <c r="D21" s="151"/>
      <c r="E21" s="8" t="str">
        <f>+data!C87</f>
        <v>Longview, WA 98632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1017</v>
      </c>
      <c r="G26" s="70"/>
      <c r="H26" s="70"/>
      <c r="I26" s="70"/>
      <c r="J26" s="154"/>
    </row>
    <row r="27" spans="2:10" x14ac:dyDescent="0.25">
      <c r="B27" s="155" t="s">
        <v>1018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1019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1020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1021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1022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1023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1024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1022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1023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1025</v>
      </c>
      <c r="H1" s="7"/>
    </row>
    <row r="2" spans="1:13" ht="20.100000000000001" customHeight="1" x14ac:dyDescent="0.25">
      <c r="A2" s="6" t="s">
        <v>1026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H-26</v>
      </c>
      <c r="G4" s="24"/>
      <c r="H4" s="7"/>
    </row>
    <row r="5" spans="1:13" ht="20.100000000000001" customHeight="1" x14ac:dyDescent="0.25">
      <c r="A5" s="13">
        <v>2</v>
      </c>
      <c r="B5" s="49" t="s">
        <v>255</v>
      </c>
      <c r="C5" s="24"/>
      <c r="D5" s="127" t="str">
        <f>"  "&amp;data!C84</f>
        <v xml:space="preserve">  PeaceHealth St John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257</v>
      </c>
      <c r="C6" s="24"/>
      <c r="D6" s="127" t="str">
        <f>"  "&amp;data!C88</f>
        <v xml:space="preserve">  Cowlitz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1027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1028</v>
      </c>
      <c r="C8" s="24"/>
      <c r="D8" s="127" t="str">
        <f>"  "&amp;data!C90</f>
        <v xml:space="preserve">  Daniel Fontoura, CFO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1029</v>
      </c>
      <c r="C9" s="24"/>
      <c r="D9" s="127" t="str">
        <f>"  "&amp;data!C91</f>
        <v xml:space="preserve">  Brian Magnuson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1030</v>
      </c>
      <c r="C10" s="24"/>
      <c r="D10" s="127" t="str">
        <f>"  "&amp;data!C92</f>
        <v xml:space="preserve">  (360) 514-2002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1031</v>
      </c>
      <c r="C11" s="24"/>
      <c r="D11" s="127" t="str">
        <f>"  "&amp;data!C93</f>
        <v xml:space="preserve">  (360) 514-6670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1032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264</v>
      </c>
      <c r="B15" s="35"/>
      <c r="C15" s="71" t="s">
        <v>267</v>
      </c>
      <c r="D15" s="35"/>
      <c r="E15" s="71" t="s">
        <v>269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265</v>
      </c>
      <c r="C16" s="15" t="str">
        <f>IF(data!C101&gt;0," X","")</f>
        <v/>
      </c>
      <c r="D16" s="22" t="s">
        <v>1033</v>
      </c>
      <c r="E16" s="15" t="str">
        <f>IF(data!C104&gt;0," X","")</f>
        <v/>
      </c>
      <c r="F16" s="129" t="s">
        <v>270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257</v>
      </c>
      <c r="C17" s="15" t="str">
        <f>IF(data!C102&gt;0," X","")</f>
        <v xml:space="preserve"> X</v>
      </c>
      <c r="D17" s="22" t="s">
        <v>347</v>
      </c>
      <c r="E17" s="15" t="str">
        <f>IF(data!C105&gt;0," X","")</f>
        <v/>
      </c>
      <c r="F17" s="129" t="s">
        <v>271</v>
      </c>
      <c r="G17" s="24"/>
      <c r="H17" s="7"/>
    </row>
    <row r="18" spans="1:9" ht="20.100000000000001" customHeight="1" x14ac:dyDescent="0.25">
      <c r="A18" s="130"/>
      <c r="B18" s="14" t="s">
        <v>1034</v>
      </c>
      <c r="C18" s="24"/>
      <c r="D18" s="24"/>
      <c r="E18" s="15" t="str">
        <f>IF(data!C106&gt;0," X","")</f>
        <v/>
      </c>
      <c r="F18" s="129" t="s">
        <v>272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1035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1036</v>
      </c>
      <c r="C22" s="38"/>
      <c r="D22" s="38"/>
      <c r="E22" s="38"/>
      <c r="F22" s="111" t="s">
        <v>275</v>
      </c>
      <c r="G22" s="15" t="s">
        <v>215</v>
      </c>
      <c r="H22" s="7"/>
    </row>
    <row r="23" spans="1:9" ht="20.100000000000001" customHeight="1" x14ac:dyDescent="0.25">
      <c r="A23" s="130"/>
      <c r="B23" s="49" t="s">
        <v>1037</v>
      </c>
      <c r="C23" s="38"/>
      <c r="D23" s="38"/>
      <c r="E23" s="38"/>
      <c r="F23" s="13">
        <f>data!C111</f>
        <v>7319</v>
      </c>
      <c r="G23" s="21">
        <f>data!D111</f>
        <v>28350</v>
      </c>
      <c r="H23" s="7"/>
    </row>
    <row r="24" spans="1:9" ht="20.100000000000001" customHeight="1" x14ac:dyDescent="0.25">
      <c r="A24" s="130"/>
      <c r="B24" s="49" t="s">
        <v>1038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1039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279</v>
      </c>
      <c r="C26" s="38"/>
      <c r="D26" s="38"/>
      <c r="E26" s="38"/>
      <c r="F26" s="13">
        <f>data!C114</f>
        <v>786</v>
      </c>
      <c r="G26" s="13">
        <f>data!D114</f>
        <v>1700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1040</v>
      </c>
      <c r="C29" s="24"/>
      <c r="D29" s="15" t="s">
        <v>167</v>
      </c>
      <c r="E29" s="97" t="s">
        <v>1040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281</v>
      </c>
      <c r="C30" s="24"/>
      <c r="D30" s="21">
        <f>data!C116</f>
        <v>12</v>
      </c>
      <c r="E30" s="49" t="s">
        <v>286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1041</v>
      </c>
      <c r="C31" s="24"/>
      <c r="D31" s="21">
        <f>data!C117</f>
        <v>6</v>
      </c>
      <c r="E31" s="49" t="s">
        <v>287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1042</v>
      </c>
      <c r="C32" s="24"/>
      <c r="D32" s="21">
        <f>data!C118</f>
        <v>126</v>
      </c>
      <c r="E32" s="49" t="s">
        <v>1043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1044</v>
      </c>
      <c r="C33" s="24"/>
      <c r="D33" s="21">
        <f>data!C119</f>
        <v>0</v>
      </c>
      <c r="E33" s="49" t="s">
        <v>1045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1046</v>
      </c>
      <c r="C34" s="24"/>
      <c r="D34" s="21">
        <f>data!C120</f>
        <v>14</v>
      </c>
      <c r="E34" s="49" t="s">
        <v>289</v>
      </c>
      <c r="F34" s="24"/>
      <c r="G34" s="21">
        <f>data!E127</f>
        <v>180</v>
      </c>
      <c r="H34" s="7"/>
    </row>
    <row r="35" spans="1:8" ht="20.100000000000001" customHeight="1" x14ac:dyDescent="0.25">
      <c r="A35" s="130"/>
      <c r="B35" s="97" t="s">
        <v>1047</v>
      </c>
      <c r="C35" s="24"/>
      <c r="D35" s="21">
        <f>data!C121</f>
        <v>0</v>
      </c>
      <c r="E35" s="49" t="s">
        <v>1048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22</v>
      </c>
      <c r="E36" s="49" t="s">
        <v>290</v>
      </c>
      <c r="F36" s="24"/>
      <c r="G36" s="21">
        <f>data!C128</f>
        <v>346</v>
      </c>
      <c r="H36" s="7"/>
    </row>
    <row r="37" spans="1:8" ht="20.100000000000001" customHeight="1" x14ac:dyDescent="0.25">
      <c r="A37" s="130"/>
      <c r="E37" s="49" t="s">
        <v>291</v>
      </c>
      <c r="F37" s="24"/>
      <c r="G37" s="21">
        <f>data!C129</f>
        <v>14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286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1049</v>
      </c>
      <c r="C40" s="136" t="s">
        <v>254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1050</v>
      </c>
      <c r="B1" s="8"/>
      <c r="C1" s="8"/>
      <c r="D1" s="8"/>
      <c r="E1" s="8"/>
      <c r="F1" s="8"/>
      <c r="G1" s="165" t="s">
        <v>1051</v>
      </c>
    </row>
    <row r="2" spans="1:13" ht="20.100000000000001" customHeight="1" x14ac:dyDescent="0.25">
      <c r="A2" s="105" t="str">
        <f>"Hospital Name: "&amp;data!C84</f>
        <v>Hospital Name: PeaceHealth St John Medical Center</v>
      </c>
      <c r="B2" s="8"/>
      <c r="C2" s="8"/>
      <c r="D2" s="8"/>
      <c r="E2" s="8"/>
      <c r="F2" s="11"/>
      <c r="G2" s="76" t="s">
        <v>1052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1053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1054</v>
      </c>
      <c r="C5" s="36"/>
      <c r="D5" s="36"/>
      <c r="E5" s="109" t="s">
        <v>300</v>
      </c>
      <c r="F5" s="36"/>
      <c r="G5" s="36"/>
    </row>
    <row r="6" spans="1:13" ht="20.100000000000001" customHeight="1" x14ac:dyDescent="0.25">
      <c r="A6" s="110" t="s">
        <v>487</v>
      </c>
      <c r="B6" s="15" t="s">
        <v>275</v>
      </c>
      <c r="C6" s="15" t="s">
        <v>1055</v>
      </c>
      <c r="D6" s="15" t="s">
        <v>296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294</v>
      </c>
      <c r="B7" s="48">
        <f>data!B138</f>
        <v>4211</v>
      </c>
      <c r="C7" s="48">
        <f>data!B139</f>
        <v>17615</v>
      </c>
      <c r="D7" s="48">
        <f>data!B140</f>
        <v>14996</v>
      </c>
      <c r="E7" s="48">
        <f>data!B141</f>
        <v>168576399</v>
      </c>
      <c r="F7" s="48">
        <f>data!B142</f>
        <v>205101863</v>
      </c>
      <c r="G7" s="48">
        <f>data!B141+data!B142</f>
        <v>373678262</v>
      </c>
    </row>
    <row r="8" spans="1:13" ht="20.100000000000001" customHeight="1" x14ac:dyDescent="0.25">
      <c r="A8" s="23" t="s">
        <v>295</v>
      </c>
      <c r="B8" s="48">
        <f>data!C138</f>
        <v>1909</v>
      </c>
      <c r="C8" s="48">
        <f>data!C139</f>
        <v>7010</v>
      </c>
      <c r="D8" s="48">
        <f>data!C140</f>
        <v>62064</v>
      </c>
      <c r="E8" s="48">
        <f>data!C141</f>
        <v>72754676</v>
      </c>
      <c r="F8" s="48">
        <f>data!C142</f>
        <v>147406553</v>
      </c>
      <c r="G8" s="48">
        <f>data!C141+data!C142</f>
        <v>220161229</v>
      </c>
    </row>
    <row r="9" spans="1:13" ht="20.100000000000001" customHeight="1" x14ac:dyDescent="0.25">
      <c r="A9" s="23" t="s">
        <v>1056</v>
      </c>
      <c r="B9" s="48">
        <f>data!D138</f>
        <v>1199</v>
      </c>
      <c r="C9" s="48">
        <f>data!D139</f>
        <v>3725</v>
      </c>
      <c r="D9" s="48">
        <f>data!D140</f>
        <v>35738</v>
      </c>
      <c r="E9" s="48">
        <f>data!D141</f>
        <v>47866145.320000112</v>
      </c>
      <c r="F9" s="48">
        <f>data!D142</f>
        <v>138767899.37999994</v>
      </c>
      <c r="G9" s="48">
        <f>data!D141+data!D142</f>
        <v>186634044.70000005</v>
      </c>
    </row>
    <row r="10" spans="1:13" ht="20.100000000000001" customHeight="1" x14ac:dyDescent="0.25">
      <c r="A10" s="111" t="s">
        <v>203</v>
      </c>
      <c r="B10" s="48">
        <f>data!E138</f>
        <v>7319</v>
      </c>
      <c r="C10" s="48">
        <f>data!E139</f>
        <v>28350</v>
      </c>
      <c r="D10" s="48">
        <f>data!E140</f>
        <v>112798</v>
      </c>
      <c r="E10" s="48">
        <f>data!E141</f>
        <v>289197220.32000011</v>
      </c>
      <c r="F10" s="48">
        <f>data!E142</f>
        <v>491276315.37999994</v>
      </c>
      <c r="G10" s="48">
        <f>data!E141+data!E142</f>
        <v>780473535.70000005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1057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1054</v>
      </c>
      <c r="C14" s="34"/>
      <c r="D14" s="34"/>
      <c r="E14" s="117" t="s">
        <v>300</v>
      </c>
      <c r="F14" s="34"/>
      <c r="G14" s="34"/>
    </row>
    <row r="15" spans="1:13" ht="20.100000000000001" customHeight="1" x14ac:dyDescent="0.25">
      <c r="A15" s="110" t="s">
        <v>487</v>
      </c>
      <c r="B15" s="15" t="s">
        <v>275</v>
      </c>
      <c r="C15" s="15" t="s">
        <v>1055</v>
      </c>
      <c r="D15" s="15" t="s">
        <v>296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294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295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1056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1058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1054</v>
      </c>
      <c r="C23" s="36"/>
      <c r="D23" s="36"/>
      <c r="E23" s="35" t="s">
        <v>300</v>
      </c>
      <c r="F23" s="36"/>
      <c r="G23" s="36"/>
    </row>
    <row r="24" spans="1:7" ht="20.100000000000001" customHeight="1" x14ac:dyDescent="0.25">
      <c r="A24" s="110" t="s">
        <v>487</v>
      </c>
      <c r="B24" s="15" t="s">
        <v>275</v>
      </c>
      <c r="C24" s="15" t="s">
        <v>1055</v>
      </c>
      <c r="D24" s="15" t="s">
        <v>296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294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295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1056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1059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1060</v>
      </c>
      <c r="C32" s="123">
        <f>data!B157</f>
        <v>36013471.690000013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1061</v>
      </c>
      <c r="C33" s="125">
        <f>data!C157</f>
        <v>63230868.390000135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303</v>
      </c>
      <c r="B1" s="5"/>
      <c r="C1" s="167" t="s">
        <v>1062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PeaceHealth St John Medical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304</v>
      </c>
      <c r="C5" s="95"/>
    </row>
    <row r="6" spans="1:13" ht="20.100000000000001" customHeight="1" x14ac:dyDescent="0.25">
      <c r="A6" s="96">
        <v>2</v>
      </c>
      <c r="B6" s="49" t="s">
        <v>1063</v>
      </c>
      <c r="C6" s="13">
        <f>data!C165</f>
        <v>7692805.6499999994</v>
      </c>
    </row>
    <row r="7" spans="1:13" ht="20.100000000000001" customHeight="1" x14ac:dyDescent="0.25">
      <c r="A7" s="40">
        <v>3</v>
      </c>
      <c r="B7" s="97" t="s">
        <v>306</v>
      </c>
      <c r="C7" s="13">
        <f>data!C166</f>
        <v>228954.36000000004</v>
      </c>
    </row>
    <row r="8" spans="1:13" ht="20.100000000000001" customHeight="1" x14ac:dyDescent="0.25">
      <c r="A8" s="40">
        <v>4</v>
      </c>
      <c r="B8" s="49" t="s">
        <v>307</v>
      </c>
      <c r="C8" s="13">
        <f>data!C167</f>
        <v>654846.06000000017</v>
      </c>
    </row>
    <row r="9" spans="1:13" ht="20.100000000000001" customHeight="1" x14ac:dyDescent="0.25">
      <c r="A9" s="40">
        <v>5</v>
      </c>
      <c r="B9" s="49" t="s">
        <v>308</v>
      </c>
      <c r="C9" s="13">
        <f>data!C168</f>
        <v>13339999.840000013</v>
      </c>
    </row>
    <row r="10" spans="1:13" ht="20.100000000000001" customHeight="1" x14ac:dyDescent="0.25">
      <c r="A10" s="40">
        <v>6</v>
      </c>
      <c r="B10" s="49" t="s">
        <v>309</v>
      </c>
      <c r="C10" s="13">
        <f>data!C169</f>
        <v>70819.620000000024</v>
      </c>
    </row>
    <row r="11" spans="1:13" ht="20.100000000000001" customHeight="1" x14ac:dyDescent="0.25">
      <c r="A11" s="40">
        <v>7</v>
      </c>
      <c r="B11" s="49" t="s">
        <v>310</v>
      </c>
      <c r="C11" s="13">
        <f>data!C170</f>
        <v>7271198.6800000034</v>
      </c>
    </row>
    <row r="12" spans="1:13" ht="20.100000000000001" customHeight="1" x14ac:dyDescent="0.25">
      <c r="A12" s="40">
        <v>8</v>
      </c>
      <c r="B12" s="49" t="s">
        <v>311</v>
      </c>
      <c r="C12" s="13">
        <f>data!C171</f>
        <v>906290</v>
      </c>
    </row>
    <row r="13" spans="1:13" ht="20.100000000000001" customHeight="1" x14ac:dyDescent="0.25">
      <c r="A13" s="40">
        <v>9</v>
      </c>
      <c r="B13" s="49" t="s">
        <v>311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1064</v>
      </c>
      <c r="C14" s="13">
        <f>data!D173</f>
        <v>30164914.210000016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312</v>
      </c>
      <c r="C17" s="101"/>
    </row>
    <row r="18" spans="1:3" ht="20.100000000000001" customHeight="1" x14ac:dyDescent="0.25">
      <c r="A18" s="13">
        <v>12</v>
      </c>
      <c r="B18" s="49" t="s">
        <v>1065</v>
      </c>
      <c r="C18" s="13">
        <f>data!C175</f>
        <v>253999.32</v>
      </c>
    </row>
    <row r="19" spans="1:3" ht="20.100000000000001" customHeight="1" x14ac:dyDescent="0.25">
      <c r="A19" s="13">
        <v>13</v>
      </c>
      <c r="B19" s="49" t="s">
        <v>1066</v>
      </c>
      <c r="C19" s="13">
        <f>data!C176</f>
        <v>415989.2900000001</v>
      </c>
    </row>
    <row r="20" spans="1:3" ht="20.100000000000001" customHeight="1" x14ac:dyDescent="0.25">
      <c r="A20" s="13">
        <v>14</v>
      </c>
      <c r="B20" s="49" t="s">
        <v>1067</v>
      </c>
      <c r="C20" s="13">
        <f>data!D177</f>
        <v>669988.6100000001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315</v>
      </c>
      <c r="C23" s="95"/>
    </row>
    <row r="24" spans="1:3" ht="20.100000000000001" customHeight="1" x14ac:dyDescent="0.25">
      <c r="A24" s="13">
        <v>16</v>
      </c>
      <c r="B24" s="37" t="s">
        <v>1068</v>
      </c>
      <c r="C24" s="104"/>
    </row>
    <row r="25" spans="1:3" ht="20.100000000000001" customHeight="1" x14ac:dyDescent="0.25">
      <c r="A25" s="13">
        <v>17</v>
      </c>
      <c r="B25" s="49" t="s">
        <v>1069</v>
      </c>
      <c r="C25" s="13">
        <f>data!C179</f>
        <v>1640417.6400000004</v>
      </c>
    </row>
    <row r="26" spans="1:3" ht="20.100000000000001" customHeight="1" x14ac:dyDescent="0.25">
      <c r="A26" s="13">
        <v>18</v>
      </c>
      <c r="B26" s="49" t="s">
        <v>317</v>
      </c>
      <c r="C26" s="13">
        <f>data!C180</f>
        <v>554536.0299999998</v>
      </c>
    </row>
    <row r="27" spans="1:3" ht="20.100000000000001" customHeight="1" x14ac:dyDescent="0.25">
      <c r="A27" s="13">
        <v>19</v>
      </c>
      <c r="B27" s="49" t="s">
        <v>1070</v>
      </c>
      <c r="C27" s="13">
        <f>data!D181</f>
        <v>2194953.67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1071</v>
      </c>
      <c r="C30" s="34"/>
    </row>
    <row r="31" spans="1:3" ht="20.100000000000001" customHeight="1" x14ac:dyDescent="0.25">
      <c r="A31" s="13">
        <v>21</v>
      </c>
      <c r="B31" s="49" t="s">
        <v>319</v>
      </c>
      <c r="C31" s="13">
        <f>data!C183</f>
        <v>296106.35999999993</v>
      </c>
    </row>
    <row r="32" spans="1:3" ht="20.100000000000001" customHeight="1" x14ac:dyDescent="0.25">
      <c r="A32" s="13">
        <v>22</v>
      </c>
      <c r="B32" s="49" t="s">
        <v>1072</v>
      </c>
      <c r="C32" s="13">
        <f>data!C184</f>
        <v>6069637.5200000005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1073</v>
      </c>
      <c r="C34" s="13">
        <f>data!D186</f>
        <v>6365743.8800000008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321</v>
      </c>
      <c r="C37" s="95"/>
    </row>
    <row r="38" spans="1:3" ht="20.100000000000001" customHeight="1" x14ac:dyDescent="0.25">
      <c r="A38" s="13">
        <v>26</v>
      </c>
      <c r="B38" s="49" t="s">
        <v>1074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323</v>
      </c>
      <c r="C39" s="13">
        <f>data!C189</f>
        <v>61699.830000000009</v>
      </c>
    </row>
    <row r="40" spans="1:3" ht="20.100000000000001" customHeight="1" x14ac:dyDescent="0.25">
      <c r="A40" s="13">
        <v>28</v>
      </c>
      <c r="B40" s="49" t="s">
        <v>1075</v>
      </c>
      <c r="C40" s="13">
        <f>data!D190</f>
        <v>61699.830000000009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324</v>
      </c>
      <c r="B1" s="5"/>
      <c r="C1" s="5"/>
      <c r="D1" s="5"/>
      <c r="E1" s="5"/>
      <c r="F1" s="167" t="s">
        <v>1076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PeaceHealth St John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325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1077</v>
      </c>
      <c r="D5" s="47"/>
      <c r="E5" s="47"/>
      <c r="F5" s="72" t="s">
        <v>1078</v>
      </c>
    </row>
    <row r="6" spans="1:13" ht="20.100000000000001" customHeight="1" x14ac:dyDescent="0.25">
      <c r="A6" s="19"/>
      <c r="B6" s="20"/>
      <c r="C6" s="18" t="s">
        <v>1079</v>
      </c>
      <c r="D6" s="18" t="s">
        <v>327</v>
      </c>
      <c r="E6" s="18" t="s">
        <v>1080</v>
      </c>
      <c r="F6" s="18" t="s">
        <v>1079</v>
      </c>
    </row>
    <row r="7" spans="1:13" ht="20.100000000000001" customHeight="1" x14ac:dyDescent="0.25">
      <c r="A7" s="13">
        <v>1</v>
      </c>
      <c r="B7" s="14" t="s">
        <v>330</v>
      </c>
      <c r="C7" s="21">
        <f>data!B195</f>
        <v>3531052</v>
      </c>
      <c r="D7" s="21">
        <f>data!C195</f>
        <v>0</v>
      </c>
      <c r="E7" s="21">
        <f>data!D195</f>
        <v>0</v>
      </c>
      <c r="F7" s="21">
        <f>data!E195</f>
        <v>3531052</v>
      </c>
    </row>
    <row r="8" spans="1:13" ht="20.100000000000001" customHeight="1" x14ac:dyDescent="0.25">
      <c r="A8" s="13">
        <v>2</v>
      </c>
      <c r="B8" s="14" t="s">
        <v>331</v>
      </c>
      <c r="C8" s="21">
        <f>data!B196</f>
        <v>2705104.98</v>
      </c>
      <c r="D8" s="21">
        <f>data!C196</f>
        <v>0</v>
      </c>
      <c r="E8" s="21">
        <f>data!D196</f>
        <v>0</v>
      </c>
      <c r="F8" s="21">
        <f>data!E196</f>
        <v>2705104.98</v>
      </c>
    </row>
    <row r="9" spans="1:13" ht="20.100000000000001" customHeight="1" x14ac:dyDescent="0.25">
      <c r="A9" s="13">
        <v>3</v>
      </c>
      <c r="B9" s="14" t="s">
        <v>332</v>
      </c>
      <c r="C9" s="21">
        <f>data!B197</f>
        <v>165401086.83000001</v>
      </c>
      <c r="D9" s="21">
        <f>data!C197</f>
        <v>434968.58999999997</v>
      </c>
      <c r="E9" s="21">
        <f>data!D197</f>
        <v>522.98</v>
      </c>
      <c r="F9" s="21">
        <f>data!E197</f>
        <v>165835532.44000003</v>
      </c>
    </row>
    <row r="10" spans="1:13" ht="20.100000000000001" customHeight="1" x14ac:dyDescent="0.25">
      <c r="A10" s="13">
        <v>4</v>
      </c>
      <c r="B10" s="14" t="s">
        <v>1081</v>
      </c>
      <c r="C10" s="21">
        <f>data!B198</f>
        <v>17462279.579999998</v>
      </c>
      <c r="D10" s="21">
        <f>data!C198</f>
        <v>1508585.6800000002</v>
      </c>
      <c r="E10" s="21">
        <f>data!D198</f>
        <v>3888.6</v>
      </c>
      <c r="F10" s="21">
        <f>data!E198</f>
        <v>18966976.659999996</v>
      </c>
    </row>
    <row r="11" spans="1:13" ht="20.100000000000001" customHeight="1" x14ac:dyDescent="0.25">
      <c r="A11" s="13">
        <v>5</v>
      </c>
      <c r="B11" s="14" t="s">
        <v>1082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1083</v>
      </c>
      <c r="C12" s="21">
        <f>data!B200</f>
        <v>64687768.919999994</v>
      </c>
      <c r="D12" s="21">
        <f>data!C200</f>
        <v>3703250.2199999993</v>
      </c>
      <c r="E12" s="21">
        <f>data!D200</f>
        <v>3791575.19</v>
      </c>
      <c r="F12" s="21">
        <f>data!E200</f>
        <v>64599443.950000003</v>
      </c>
    </row>
    <row r="13" spans="1:13" ht="20.100000000000001" customHeight="1" x14ac:dyDescent="0.25">
      <c r="A13" s="13">
        <v>7</v>
      </c>
      <c r="B13" s="14" t="s">
        <v>1084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337</v>
      </c>
      <c r="C14" s="21">
        <f>data!B202</f>
        <v>233639.38999999998</v>
      </c>
      <c r="D14" s="21">
        <f>data!C202</f>
        <v>26685.059999999998</v>
      </c>
      <c r="E14" s="21">
        <f>data!D202</f>
        <v>0</v>
      </c>
      <c r="F14" s="21">
        <f>data!E202</f>
        <v>260324.44999999998</v>
      </c>
    </row>
    <row r="15" spans="1:13" ht="20.100000000000001" customHeight="1" x14ac:dyDescent="0.25">
      <c r="A15" s="13">
        <v>9</v>
      </c>
      <c r="B15" s="14" t="s">
        <v>1085</v>
      </c>
      <c r="C15" s="21">
        <f>data!B203</f>
        <v>462099.73000000045</v>
      </c>
      <c r="D15" s="21">
        <f>data!C203</f>
        <v>783444.40000000037</v>
      </c>
      <c r="E15" s="21">
        <f>data!D203</f>
        <v>0</v>
      </c>
      <c r="F15" s="21">
        <f>data!E203</f>
        <v>1245544.1300000008</v>
      </c>
      <c r="M15" s="269"/>
    </row>
    <row r="16" spans="1:13" ht="20.100000000000001" customHeight="1" x14ac:dyDescent="0.25">
      <c r="A16" s="13">
        <v>10</v>
      </c>
      <c r="B16" s="14" t="s">
        <v>659</v>
      </c>
      <c r="C16" s="21">
        <f>data!B204</f>
        <v>254483031.42999995</v>
      </c>
      <c r="D16" s="21">
        <f>data!C204</f>
        <v>6456933.9499999993</v>
      </c>
      <c r="E16" s="21">
        <f>data!D204</f>
        <v>3795986.77</v>
      </c>
      <c r="F16" s="21">
        <f>data!E204</f>
        <v>257143978.61000001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339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1077</v>
      </c>
      <c r="D21" s="76" t="s">
        <v>203</v>
      </c>
      <c r="E21" s="25"/>
      <c r="F21" s="18" t="s">
        <v>1078</v>
      </c>
    </row>
    <row r="22" spans="1:6" ht="20.100000000000001" customHeight="1" x14ac:dyDescent="0.25">
      <c r="A22" s="75"/>
      <c r="B22" s="44"/>
      <c r="C22" s="18" t="s">
        <v>1079</v>
      </c>
      <c r="D22" s="18" t="s">
        <v>1086</v>
      </c>
      <c r="E22" s="18" t="s">
        <v>1080</v>
      </c>
      <c r="F22" s="18" t="s">
        <v>1079</v>
      </c>
    </row>
    <row r="23" spans="1:6" ht="20.100000000000001" customHeight="1" x14ac:dyDescent="0.25">
      <c r="A23" s="13">
        <v>11</v>
      </c>
      <c r="B23" s="93" t="s">
        <v>330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331</v>
      </c>
      <c r="C24" s="21">
        <f>data!B209</f>
        <v>2023949.79</v>
      </c>
      <c r="D24" s="21">
        <f>data!C209</f>
        <v>70401.600000000006</v>
      </c>
      <c r="E24" s="21">
        <f>data!D209</f>
        <v>0</v>
      </c>
      <c r="F24" s="21">
        <f>data!E209</f>
        <v>2094351.3900000001</v>
      </c>
    </row>
    <row r="25" spans="1:6" ht="20.100000000000001" customHeight="1" x14ac:dyDescent="0.25">
      <c r="A25" s="13">
        <v>13</v>
      </c>
      <c r="B25" s="14" t="s">
        <v>332</v>
      </c>
      <c r="C25" s="21">
        <f>data!B210</f>
        <v>99111297.250000015</v>
      </c>
      <c r="D25" s="21">
        <f>data!C210</f>
        <v>5303819.0599999996</v>
      </c>
      <c r="E25" s="21">
        <f>data!D210</f>
        <v>522.98</v>
      </c>
      <c r="F25" s="21">
        <f>data!E210</f>
        <v>104414593.33000001</v>
      </c>
    </row>
    <row r="26" spans="1:6" ht="20.100000000000001" customHeight="1" x14ac:dyDescent="0.25">
      <c r="A26" s="13">
        <v>14</v>
      </c>
      <c r="B26" s="14" t="s">
        <v>1081</v>
      </c>
      <c r="C26" s="21">
        <f>data!B211</f>
        <v>8792643.4700000007</v>
      </c>
      <c r="D26" s="21">
        <f>data!C211</f>
        <v>819187.24</v>
      </c>
      <c r="E26" s="21">
        <f>data!D211</f>
        <v>3888.6</v>
      </c>
      <c r="F26" s="21">
        <f>data!E211</f>
        <v>9607942.1100000013</v>
      </c>
    </row>
    <row r="27" spans="1:6" ht="20.100000000000001" customHeight="1" x14ac:dyDescent="0.25">
      <c r="A27" s="13">
        <v>15</v>
      </c>
      <c r="B27" s="14" t="s">
        <v>1082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1083</v>
      </c>
      <c r="C28" s="21">
        <f>data!B213</f>
        <v>51804666.620000005</v>
      </c>
      <c r="D28" s="21">
        <f>data!C213</f>
        <v>2138805.5699999994</v>
      </c>
      <c r="E28" s="21">
        <f>data!D213</f>
        <v>3692000.68</v>
      </c>
      <c r="F28" s="21">
        <f>data!E213</f>
        <v>50251471.510000005</v>
      </c>
    </row>
    <row r="29" spans="1:6" ht="20.100000000000001" customHeight="1" x14ac:dyDescent="0.25">
      <c r="A29" s="13">
        <v>17</v>
      </c>
      <c r="B29" s="14" t="s">
        <v>1084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337</v>
      </c>
      <c r="C30" s="21">
        <f>data!B215</f>
        <v>205649.59</v>
      </c>
      <c r="D30" s="21">
        <f>data!C215</f>
        <v>9065.8100000000013</v>
      </c>
      <c r="E30" s="21">
        <f>data!D215</f>
        <v>0</v>
      </c>
      <c r="F30" s="21">
        <f>data!E215</f>
        <v>214715.4</v>
      </c>
    </row>
    <row r="31" spans="1:6" ht="20.100000000000001" customHeight="1" x14ac:dyDescent="0.25">
      <c r="A31" s="13">
        <v>19</v>
      </c>
      <c r="B31" s="14" t="s">
        <v>1085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659</v>
      </c>
      <c r="C32" s="21">
        <f>data!B217</f>
        <v>161938206.72000003</v>
      </c>
      <c r="D32" s="21">
        <f>data!C217</f>
        <v>8341279.2799999984</v>
      </c>
      <c r="E32" s="21">
        <f>data!D217</f>
        <v>3696412.2600000002</v>
      </c>
      <c r="F32" s="21">
        <f>data!E217</f>
        <v>166583073.74000004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1087</v>
      </c>
      <c r="B1" s="6"/>
      <c r="C1" s="6"/>
      <c r="D1" s="169" t="s">
        <v>1088</v>
      </c>
    </row>
    <row r="2" spans="1:13" ht="20.100000000000001" customHeight="1" x14ac:dyDescent="0.25">
      <c r="A2" s="29" t="str">
        <f>"Hospital: "&amp;data!C84</f>
        <v>Hospital: PeaceHealth St John Medical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1089</v>
      </c>
      <c r="C4" s="41" t="s">
        <v>1090</v>
      </c>
      <c r="D4" s="54"/>
    </row>
    <row r="5" spans="1:13" ht="20.100000000000001" customHeight="1" x14ac:dyDescent="0.25">
      <c r="A5" s="102">
        <v>1</v>
      </c>
      <c r="B5" s="55"/>
      <c r="C5" s="22" t="s">
        <v>1253</v>
      </c>
      <c r="D5" s="14">
        <f>data!D221</f>
        <v>9808680.2700000033</v>
      </c>
    </row>
    <row r="6" spans="1:13" ht="20.100000000000001" customHeight="1" x14ac:dyDescent="0.25">
      <c r="A6" s="13">
        <v>2</v>
      </c>
      <c r="B6" s="30"/>
      <c r="C6" s="31" t="s">
        <v>430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294</v>
      </c>
      <c r="D7" s="14">
        <f>data!C223</f>
        <v>268095370.26000002</v>
      </c>
    </row>
    <row r="8" spans="1:13" ht="20.100000000000001" customHeight="1" x14ac:dyDescent="0.25">
      <c r="A8" s="13">
        <v>4</v>
      </c>
      <c r="B8" s="55">
        <v>5820</v>
      </c>
      <c r="C8" s="14" t="s">
        <v>295</v>
      </c>
      <c r="D8" s="14">
        <f>data!C224</f>
        <v>171809659.54999998</v>
      </c>
    </row>
    <row r="9" spans="1:13" ht="20.100000000000001" customHeight="1" x14ac:dyDescent="0.25">
      <c r="A9" s="13">
        <v>5</v>
      </c>
      <c r="B9" s="55">
        <v>5830</v>
      </c>
      <c r="C9" s="14" t="s">
        <v>307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345</v>
      </c>
      <c r="D10" s="14">
        <f>data!C226</f>
        <v>12647012.790000001</v>
      </c>
    </row>
    <row r="11" spans="1:13" ht="20.100000000000001" customHeight="1" x14ac:dyDescent="0.25">
      <c r="A11" s="13">
        <v>7</v>
      </c>
      <c r="B11" s="55">
        <v>5850</v>
      </c>
      <c r="C11" s="14" t="s">
        <v>1091</v>
      </c>
      <c r="D11" s="14">
        <f>data!C227</f>
        <v>34237329.179999992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1092</v>
      </c>
      <c r="D13" s="14">
        <f>data!D229</f>
        <v>486789371.78000003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349</v>
      </c>
      <c r="D15" s="25"/>
    </row>
    <row r="16" spans="1:13" ht="20.100000000000001" customHeight="1" x14ac:dyDescent="0.25">
      <c r="A16" s="81">
        <v>12</v>
      </c>
      <c r="B16" s="56"/>
      <c r="C16" s="49" t="s">
        <v>1093</v>
      </c>
      <c r="D16" s="140">
        <f>+data!C231</f>
        <v>6807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351</v>
      </c>
      <c r="D18" s="60">
        <f>data!C233</f>
        <v>2865953</v>
      </c>
    </row>
    <row r="19" spans="1:4" ht="20.100000000000001" customHeight="1" x14ac:dyDescent="0.25">
      <c r="A19" s="61">
        <v>15</v>
      </c>
      <c r="B19" s="55">
        <v>5910</v>
      </c>
      <c r="C19" s="22" t="s">
        <v>1094</v>
      </c>
      <c r="D19" s="14">
        <f>data!C234</f>
        <v>8363392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1095</v>
      </c>
      <c r="D22" s="14">
        <f>data!D236</f>
        <v>11229345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355</v>
      </c>
      <c r="D24" s="14">
        <f>data!C238</f>
        <v>4178677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1096</v>
      </c>
      <c r="D26" s="14">
        <f>data!C239</f>
        <v>14464160</v>
      </c>
    </row>
    <row r="27" spans="1:4" ht="20.100000000000001" customHeight="1" x14ac:dyDescent="0.25">
      <c r="A27" s="64">
        <v>23</v>
      </c>
      <c r="B27" s="63" t="s">
        <v>1097</v>
      </c>
      <c r="C27" s="56"/>
      <c r="D27" s="14">
        <f>data!D242</f>
        <v>526470234.05000001</v>
      </c>
    </row>
    <row r="28" spans="1:4" ht="20.100000000000001" customHeight="1" x14ac:dyDescent="0.25">
      <c r="A28" s="126">
        <v>24</v>
      </c>
      <c r="B28" s="65" t="s">
        <v>1098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1099</v>
      </c>
      <c r="B1" s="5"/>
      <c r="C1" s="6"/>
    </row>
    <row r="2" spans="1:13" ht="20.100000000000001" customHeight="1" x14ac:dyDescent="0.25">
      <c r="A2" s="4"/>
      <c r="B2" s="5"/>
      <c r="C2" s="167" t="s">
        <v>1100</v>
      </c>
    </row>
    <row r="3" spans="1:13" ht="20.100000000000001" customHeight="1" x14ac:dyDescent="0.25">
      <c r="A3" s="29" t="str">
        <f>"HOSPITAL: "&amp;data!C84</f>
        <v>HOSPITAL: PeaceHealth St John Medical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1101</v>
      </c>
      <c r="C4" s="34"/>
    </row>
    <row r="5" spans="1:13" ht="20.100000000000001" customHeight="1" x14ac:dyDescent="0.25">
      <c r="A5" s="23">
        <v>1</v>
      </c>
      <c r="B5" s="35" t="s">
        <v>359</v>
      </c>
      <c r="C5" s="36"/>
    </row>
    <row r="6" spans="1:13" ht="20.100000000000001" customHeight="1" x14ac:dyDescent="0.25">
      <c r="A6" s="13">
        <v>2</v>
      </c>
      <c r="B6" s="14" t="s">
        <v>360</v>
      </c>
      <c r="C6" s="21">
        <f>data!C250</f>
        <v>3554457</v>
      </c>
    </row>
    <row r="7" spans="1:13" ht="20.100000000000001" customHeight="1" x14ac:dyDescent="0.25">
      <c r="A7" s="13">
        <v>3</v>
      </c>
      <c r="B7" s="14" t="s">
        <v>361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362</v>
      </c>
      <c r="C8" s="21">
        <f>data!C252</f>
        <v>120880038</v>
      </c>
    </row>
    <row r="9" spans="1:13" ht="20.100000000000001" customHeight="1" x14ac:dyDescent="0.25">
      <c r="A9" s="13">
        <v>5</v>
      </c>
      <c r="B9" s="14" t="s">
        <v>1102</v>
      </c>
      <c r="C9" s="21">
        <f>data!C253</f>
        <v>86719858</v>
      </c>
    </row>
    <row r="10" spans="1:13" ht="20.100000000000001" customHeight="1" x14ac:dyDescent="0.25">
      <c r="A10" s="13">
        <v>6</v>
      </c>
      <c r="B10" s="14" t="s">
        <v>1103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1104</v>
      </c>
      <c r="C11" s="21">
        <f>data!C255</f>
        <v>-5097552</v>
      </c>
    </row>
    <row r="12" spans="1:13" ht="20.100000000000001" customHeight="1" x14ac:dyDescent="0.25">
      <c r="A12" s="13">
        <v>8</v>
      </c>
      <c r="B12" s="14" t="s">
        <v>365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366</v>
      </c>
      <c r="C13" s="21">
        <f>data!C257</f>
        <v>3911896</v>
      </c>
    </row>
    <row r="14" spans="1:13" ht="20.100000000000001" customHeight="1" x14ac:dyDescent="0.25">
      <c r="A14" s="13">
        <v>10</v>
      </c>
      <c r="B14" s="14" t="s">
        <v>367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1105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1106</v>
      </c>
      <c r="C16" s="21">
        <f>data!D260</f>
        <v>36528981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1107</v>
      </c>
      <c r="C18" s="36"/>
    </row>
    <row r="19" spans="1:3" ht="20.100000000000001" customHeight="1" x14ac:dyDescent="0.25">
      <c r="A19" s="13">
        <v>15</v>
      </c>
      <c r="B19" s="14" t="s">
        <v>360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361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371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1108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1109</v>
      </c>
      <c r="C24" s="36"/>
    </row>
    <row r="25" spans="1:3" ht="20.100000000000001" customHeight="1" x14ac:dyDescent="0.25">
      <c r="A25" s="13">
        <v>21</v>
      </c>
      <c r="B25" s="14" t="s">
        <v>330</v>
      </c>
      <c r="C25" s="21">
        <f>data!C267</f>
        <v>3531052</v>
      </c>
    </row>
    <row r="26" spans="1:3" ht="20.100000000000001" customHeight="1" x14ac:dyDescent="0.25">
      <c r="A26" s="13">
        <v>22</v>
      </c>
      <c r="B26" s="14" t="s">
        <v>331</v>
      </c>
      <c r="C26" s="21">
        <f>data!C268</f>
        <v>2705104.98</v>
      </c>
    </row>
    <row r="27" spans="1:3" ht="20.100000000000001" customHeight="1" x14ac:dyDescent="0.25">
      <c r="A27" s="13">
        <v>23</v>
      </c>
      <c r="B27" s="14" t="s">
        <v>332</v>
      </c>
      <c r="C27" s="21">
        <f>data!C269</f>
        <v>165835532.44000003</v>
      </c>
    </row>
    <row r="28" spans="1:3" ht="20.100000000000001" customHeight="1" x14ac:dyDescent="0.25">
      <c r="A28" s="13">
        <v>24</v>
      </c>
      <c r="B28" s="14" t="s">
        <v>1110</v>
      </c>
      <c r="C28" s="21">
        <f>data!C270</f>
        <v>18966976.659999996</v>
      </c>
    </row>
    <row r="29" spans="1:3" ht="20.100000000000001" customHeight="1" x14ac:dyDescent="0.25">
      <c r="A29" s="13">
        <v>25</v>
      </c>
      <c r="B29" s="14" t="s">
        <v>334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376</v>
      </c>
      <c r="C30" s="21">
        <f>data!C272</f>
        <v>64599443.950000003</v>
      </c>
    </row>
    <row r="31" spans="1:3" ht="20.100000000000001" customHeight="1" x14ac:dyDescent="0.25">
      <c r="A31" s="13">
        <v>27</v>
      </c>
      <c r="B31" s="14" t="s">
        <v>337</v>
      </c>
      <c r="C31" s="21">
        <f>data!C273</f>
        <v>260324.44999999998</v>
      </c>
    </row>
    <row r="32" spans="1:3" ht="20.100000000000001" customHeight="1" x14ac:dyDescent="0.25">
      <c r="A32" s="13">
        <v>28</v>
      </c>
      <c r="B32" s="14" t="s">
        <v>338</v>
      </c>
      <c r="C32" s="21">
        <f>data!C274</f>
        <v>1245544.1300000008</v>
      </c>
    </row>
    <row r="33" spans="1:3" ht="20.100000000000001" customHeight="1" x14ac:dyDescent="0.25">
      <c r="A33" s="13">
        <v>29</v>
      </c>
      <c r="B33" s="14" t="s">
        <v>659</v>
      </c>
      <c r="C33" s="21">
        <f>data!D275</f>
        <v>257143978.61000001</v>
      </c>
    </row>
    <row r="34" spans="1:3" ht="20.100000000000001" customHeight="1" x14ac:dyDescent="0.25">
      <c r="A34" s="13">
        <v>30</v>
      </c>
      <c r="B34" s="14" t="s">
        <v>1111</v>
      </c>
      <c r="C34" s="21">
        <f>data!C276</f>
        <v>166583073.74000004</v>
      </c>
    </row>
    <row r="35" spans="1:3" ht="20.100000000000001" customHeight="1" x14ac:dyDescent="0.25">
      <c r="A35" s="13">
        <v>31</v>
      </c>
      <c r="B35" s="14" t="s">
        <v>1112</v>
      </c>
      <c r="C35" s="21">
        <f>data!D277</f>
        <v>90560904.869999975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1113</v>
      </c>
      <c r="C37" s="36"/>
    </row>
    <row r="38" spans="1:3" ht="20.100000000000001" customHeight="1" x14ac:dyDescent="0.25">
      <c r="A38" s="13">
        <v>34</v>
      </c>
      <c r="B38" s="14" t="s">
        <v>1114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1115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383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371</v>
      </c>
      <c r="C41" s="21">
        <f>data!C282</f>
        <v>5804419</v>
      </c>
    </row>
    <row r="42" spans="1:3" ht="20.100000000000001" customHeight="1" x14ac:dyDescent="0.25">
      <c r="A42" s="13">
        <v>38</v>
      </c>
      <c r="B42" s="14" t="s">
        <v>1116</v>
      </c>
      <c r="C42" s="21">
        <f>data!D283</f>
        <v>5804419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1117</v>
      </c>
      <c r="C44" s="36"/>
    </row>
    <row r="45" spans="1:3" ht="20.100000000000001" customHeight="1" x14ac:dyDescent="0.25">
      <c r="A45" s="13">
        <v>41</v>
      </c>
      <c r="B45" s="14" t="s">
        <v>386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387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1118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389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1119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1120</v>
      </c>
      <c r="C50" s="21">
        <f>data!D292</f>
        <v>132894304.86999997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1121</v>
      </c>
      <c r="B53" s="5"/>
      <c r="C53" s="6"/>
    </row>
    <row r="54" spans="1:3" ht="20.100000000000001" customHeight="1" x14ac:dyDescent="0.25">
      <c r="A54" s="4"/>
      <c r="B54" s="5"/>
      <c r="C54" s="167" t="s">
        <v>1122</v>
      </c>
    </row>
    <row r="55" spans="1:3" ht="20.100000000000001" customHeight="1" x14ac:dyDescent="0.25">
      <c r="A55" s="29" t="str">
        <f>"HOSPITAL: "&amp;data!C84</f>
        <v>HOSPITAL: PeaceHealth St John Medical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1123</v>
      </c>
      <c r="C56" s="34"/>
    </row>
    <row r="57" spans="1:3" ht="20.100000000000001" customHeight="1" x14ac:dyDescent="0.25">
      <c r="A57" s="16">
        <v>1</v>
      </c>
      <c r="B57" s="4" t="s">
        <v>393</v>
      </c>
      <c r="C57" s="44"/>
    </row>
    <row r="58" spans="1:3" ht="20.100000000000001" customHeight="1" x14ac:dyDescent="0.25">
      <c r="A58" s="13">
        <v>2</v>
      </c>
      <c r="B58" s="14" t="s">
        <v>394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1124</v>
      </c>
      <c r="C59" s="21">
        <f>data!C305</f>
        <v>2590198</v>
      </c>
    </row>
    <row r="60" spans="1:3" ht="20.100000000000001" customHeight="1" x14ac:dyDescent="0.25">
      <c r="A60" s="13">
        <v>4</v>
      </c>
      <c r="B60" s="14" t="s">
        <v>1125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397</v>
      </c>
      <c r="C61" s="21">
        <f>data!C307</f>
        <v>3611612</v>
      </c>
    </row>
    <row r="62" spans="1:3" ht="20.100000000000001" customHeight="1" x14ac:dyDescent="0.25">
      <c r="A62" s="13">
        <v>6</v>
      </c>
      <c r="B62" s="14" t="s">
        <v>1126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1127</v>
      </c>
      <c r="C63" s="21">
        <f>data!C309</f>
        <v>-416359</v>
      </c>
    </row>
    <row r="64" spans="1:3" ht="20.100000000000001" customHeight="1" x14ac:dyDescent="0.25">
      <c r="A64" s="13">
        <v>8</v>
      </c>
      <c r="B64" s="14" t="s">
        <v>399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400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401</v>
      </c>
      <c r="C66" s="21">
        <f>data!C312</f>
        <v>79734</v>
      </c>
    </row>
    <row r="67" spans="1:3" ht="20.100000000000001" customHeight="1" x14ac:dyDescent="0.25">
      <c r="A67" s="13">
        <v>11</v>
      </c>
      <c r="B67" s="14" t="s">
        <v>1128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1129</v>
      </c>
      <c r="C68" s="21">
        <f>data!D314</f>
        <v>5865185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1130</v>
      </c>
      <c r="C70" s="36"/>
    </row>
    <row r="71" spans="1:3" ht="20.100000000000001" customHeight="1" x14ac:dyDescent="0.25">
      <c r="A71" s="13">
        <v>15</v>
      </c>
      <c r="B71" s="14" t="s">
        <v>405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1131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407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1132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409</v>
      </c>
      <c r="C76" s="36"/>
    </row>
    <row r="77" spans="1:3" ht="20.100000000000001" customHeight="1" x14ac:dyDescent="0.25">
      <c r="A77" s="13">
        <v>21</v>
      </c>
      <c r="B77" s="14" t="s">
        <v>410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1133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412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1134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414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1135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416</v>
      </c>
      <c r="C83" s="21">
        <f>data!C327</f>
        <v>11350295</v>
      </c>
    </row>
    <row r="84" spans="1:3" ht="20.100000000000001" customHeight="1" x14ac:dyDescent="0.25">
      <c r="A84" s="13">
        <v>28</v>
      </c>
      <c r="B84" s="14" t="s">
        <v>659</v>
      </c>
      <c r="C84" s="21">
        <f>data!D328</f>
        <v>11350295</v>
      </c>
    </row>
    <row r="85" spans="1:3" ht="20.100000000000001" customHeight="1" x14ac:dyDescent="0.25">
      <c r="A85" s="13">
        <v>29</v>
      </c>
      <c r="B85" s="14" t="s">
        <v>1136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1137</v>
      </c>
      <c r="C86" s="21">
        <f>data!D330</f>
        <v>11350295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1138</v>
      </c>
      <c r="C88" s="21">
        <f>data!C332</f>
        <v>115678825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1139</v>
      </c>
      <c r="C90" s="36"/>
    </row>
    <row r="91" spans="1:3" ht="20.100000000000001" customHeight="1" x14ac:dyDescent="0.25">
      <c r="A91" s="13">
        <v>35</v>
      </c>
      <c r="B91" s="14" t="s">
        <v>1140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1141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1142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1143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1144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1145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1146</v>
      </c>
      <c r="C101" s="21">
        <f>data!C332+data!C334+data!C335+data!C336+data!C337-data!C338</f>
        <v>115678825</v>
      </c>
    </row>
    <row r="102" spans="1:3" ht="20.100000000000001" customHeight="1" x14ac:dyDescent="0.25">
      <c r="A102" s="13">
        <v>46</v>
      </c>
      <c r="B102" s="14" t="s">
        <v>1147</v>
      </c>
      <c r="C102" s="21">
        <f>data!D339</f>
        <v>132894305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1148</v>
      </c>
      <c r="B105" s="5"/>
      <c r="C105" s="6"/>
    </row>
    <row r="106" spans="1:3" ht="20.100000000000001" customHeight="1" x14ac:dyDescent="0.25">
      <c r="A106" s="45"/>
      <c r="B106" s="8"/>
      <c r="C106" s="167" t="s">
        <v>1149</v>
      </c>
    </row>
    <row r="107" spans="1:3" ht="20.100000000000001" customHeight="1" x14ac:dyDescent="0.25">
      <c r="A107" s="29" t="str">
        <f>"HOSPITAL: "&amp;data!C84</f>
        <v>HOSPITAL: PeaceHealth St John Medical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1150</v>
      </c>
      <c r="C109" s="36"/>
    </row>
    <row r="110" spans="1:3" ht="20.100000000000001" customHeight="1" x14ac:dyDescent="0.25">
      <c r="A110" s="13">
        <v>2</v>
      </c>
      <c r="B110" s="14" t="s">
        <v>426</v>
      </c>
      <c r="C110" s="21">
        <f>data!C359</f>
        <v>289197220.32000011</v>
      </c>
    </row>
    <row r="111" spans="1:3" ht="20.100000000000001" customHeight="1" x14ac:dyDescent="0.25">
      <c r="A111" s="13">
        <v>3</v>
      </c>
      <c r="B111" s="14" t="s">
        <v>427</v>
      </c>
      <c r="C111" s="21">
        <f>data!C360</f>
        <v>491276315.37999994</v>
      </c>
    </row>
    <row r="112" spans="1:3" ht="20.100000000000001" customHeight="1" x14ac:dyDescent="0.25">
      <c r="A112" s="13">
        <v>4</v>
      </c>
      <c r="B112" s="14" t="s">
        <v>1151</v>
      </c>
      <c r="C112" s="21">
        <f>data!D361</f>
        <v>780473535.70000005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1152</v>
      </c>
      <c r="C114" s="36"/>
    </row>
    <row r="115" spans="1:3" ht="20.100000000000001" customHeight="1" x14ac:dyDescent="0.25">
      <c r="A115" s="13">
        <v>7</v>
      </c>
      <c r="B115" s="274" t="s">
        <v>448</v>
      </c>
      <c r="C115" s="48">
        <f>data!C363</f>
        <v>9808680.2700000033</v>
      </c>
    </row>
    <row r="116" spans="1:3" ht="20.100000000000001" customHeight="1" x14ac:dyDescent="0.25">
      <c r="A116" s="13">
        <v>8</v>
      </c>
      <c r="B116" s="14" t="s">
        <v>430</v>
      </c>
      <c r="C116" s="48">
        <f>data!C364</f>
        <v>486789371.78000015</v>
      </c>
    </row>
    <row r="117" spans="1:3" ht="20.100000000000001" customHeight="1" x14ac:dyDescent="0.25">
      <c r="A117" s="13">
        <v>9</v>
      </c>
      <c r="B117" s="14" t="s">
        <v>1153</v>
      </c>
      <c r="C117" s="48">
        <f>data!C365</f>
        <v>11229344.970000001</v>
      </c>
    </row>
    <row r="118" spans="1:3" ht="20.100000000000001" customHeight="1" x14ac:dyDescent="0.25">
      <c r="A118" s="13">
        <v>10</v>
      </c>
      <c r="B118" s="14" t="s">
        <v>1154</v>
      </c>
      <c r="C118" s="48">
        <f>data!C366</f>
        <v>18642837.129999999</v>
      </c>
    </row>
    <row r="119" spans="1:3" ht="20.100000000000001" customHeight="1" x14ac:dyDescent="0.25">
      <c r="A119" s="13">
        <v>11</v>
      </c>
      <c r="B119" s="14" t="s">
        <v>1097</v>
      </c>
      <c r="C119" s="48">
        <f>data!D367</f>
        <v>526470234.15000015</v>
      </c>
    </row>
    <row r="120" spans="1:3" ht="20.100000000000001" customHeight="1" x14ac:dyDescent="0.25">
      <c r="A120" s="13">
        <v>12</v>
      </c>
      <c r="B120" s="14" t="s">
        <v>1155</v>
      </c>
      <c r="C120" s="48">
        <f>data!D368</f>
        <v>254003301.54999989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434</v>
      </c>
      <c r="C122" s="36"/>
    </row>
    <row r="123" spans="1:3" ht="20.100000000000001" customHeight="1" x14ac:dyDescent="0.25">
      <c r="A123" s="13">
        <v>15</v>
      </c>
      <c r="B123" s="14" t="s">
        <v>435</v>
      </c>
      <c r="C123" s="48">
        <f>data!C370</f>
        <v>6114912.5599999987</v>
      </c>
    </row>
    <row r="124" spans="1:3" ht="20.100000000000001" customHeight="1" x14ac:dyDescent="0.25">
      <c r="A124" s="13">
        <v>16</v>
      </c>
      <c r="B124" s="14" t="s">
        <v>436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1156</v>
      </c>
      <c r="C125" s="48">
        <f>data!D372</f>
        <v>6114912.5599999987</v>
      </c>
    </row>
    <row r="126" spans="1:3" ht="20.100000000000001" customHeight="1" x14ac:dyDescent="0.25">
      <c r="A126" s="13">
        <v>18</v>
      </c>
      <c r="B126" s="14" t="s">
        <v>1157</v>
      </c>
      <c r="C126" s="48">
        <f>data!D373</f>
        <v>260118214.1099999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1158</v>
      </c>
      <c r="C128" s="36"/>
    </row>
    <row r="129" spans="1:3" ht="20.100000000000001" customHeight="1" x14ac:dyDescent="0.25">
      <c r="A129" s="13">
        <v>21</v>
      </c>
      <c r="B129" s="14" t="s">
        <v>440</v>
      </c>
      <c r="C129" s="48">
        <f>data!C378</f>
        <v>119440700.67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30164914</v>
      </c>
    </row>
    <row r="131" spans="1:3" ht="20.100000000000001" customHeight="1" x14ac:dyDescent="0.25">
      <c r="A131" s="13">
        <v>23</v>
      </c>
      <c r="B131" s="14" t="s">
        <v>234</v>
      </c>
      <c r="C131" s="48">
        <f>data!C380</f>
        <v>5071413.5</v>
      </c>
    </row>
    <row r="132" spans="1:3" ht="20.100000000000001" customHeight="1" x14ac:dyDescent="0.25">
      <c r="A132" s="13">
        <v>24</v>
      </c>
      <c r="B132" s="14" t="s">
        <v>235</v>
      </c>
      <c r="C132" s="48">
        <f>data!C381</f>
        <v>32743648.639999993</v>
      </c>
    </row>
    <row r="133" spans="1:3" ht="20.100000000000001" customHeight="1" x14ac:dyDescent="0.25">
      <c r="A133" s="13">
        <v>25</v>
      </c>
      <c r="B133" s="14" t="s">
        <v>1159</v>
      </c>
      <c r="C133" s="48">
        <f>data!C382</f>
        <v>2716964.4</v>
      </c>
    </row>
    <row r="134" spans="1:3" ht="20.100000000000001" customHeight="1" x14ac:dyDescent="0.25">
      <c r="A134" s="13">
        <v>26</v>
      </c>
      <c r="B134" s="14" t="s">
        <v>1160</v>
      </c>
      <c r="C134" s="48">
        <f>data!C383</f>
        <v>47150869.999999993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18337922.789999999</v>
      </c>
    </row>
    <row r="136" spans="1:3" ht="20.100000000000001" customHeight="1" x14ac:dyDescent="0.25">
      <c r="A136" s="13">
        <v>28</v>
      </c>
      <c r="B136" s="14" t="s">
        <v>1161</v>
      </c>
      <c r="C136" s="48">
        <f>data!C385</f>
        <v>669988.6100000001</v>
      </c>
    </row>
    <row r="137" spans="1:3" ht="20.100000000000001" customHeight="1" x14ac:dyDescent="0.25">
      <c r="A137" s="13">
        <v>29</v>
      </c>
      <c r="B137" s="14" t="s">
        <v>445</v>
      </c>
      <c r="C137" s="48">
        <f>data!C386</f>
        <v>2194953.6700000004</v>
      </c>
    </row>
    <row r="138" spans="1:3" ht="20.100000000000001" customHeight="1" x14ac:dyDescent="0.25">
      <c r="A138" s="13">
        <v>30</v>
      </c>
      <c r="B138" s="14" t="s">
        <v>1162</v>
      </c>
      <c r="C138" s="48">
        <f>data!C387</f>
        <v>6365743.8800000008</v>
      </c>
    </row>
    <row r="139" spans="1:3" ht="20.100000000000001" customHeight="1" x14ac:dyDescent="0.25">
      <c r="A139" s="13">
        <v>31</v>
      </c>
      <c r="B139" s="14" t="s">
        <v>447</v>
      </c>
      <c r="C139" s="48">
        <f>data!C388</f>
        <v>61699.830000000009</v>
      </c>
    </row>
    <row r="140" spans="1:3" ht="20.100000000000001" customHeight="1" x14ac:dyDescent="0.25">
      <c r="A140" s="13">
        <v>32</v>
      </c>
      <c r="B140" s="14" t="s">
        <v>239</v>
      </c>
      <c r="C140" s="48">
        <f>data!C389</f>
        <v>1267951.1399999987</v>
      </c>
    </row>
    <row r="141" spans="1:3" ht="20.100000000000001" customHeight="1" x14ac:dyDescent="0.25">
      <c r="A141" s="13">
        <v>34</v>
      </c>
      <c r="B141" s="14" t="s">
        <v>1163</v>
      </c>
      <c r="C141" s="48">
        <f>data!D390</f>
        <v>266186771.13</v>
      </c>
    </row>
    <row r="142" spans="1:3" ht="20.100000000000001" customHeight="1" x14ac:dyDescent="0.25">
      <c r="A142" s="13">
        <v>35</v>
      </c>
      <c r="B142" s="14" t="s">
        <v>1164</v>
      </c>
      <c r="C142" s="48">
        <f>data!D391</f>
        <v>-6068557.0200001001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1165</v>
      </c>
      <c r="C144" s="48">
        <f>data!C392</f>
        <v>32468.279999999995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1166</v>
      </c>
      <c r="C146" s="21">
        <f>data!D393</f>
        <v>-6036088.7400000999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1167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1168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1169</v>
      </c>
      <c r="C151" s="48">
        <f>data!D396</f>
        <v>-6036088.7400000999</v>
      </c>
    </row>
    <row r="152" spans="1:3" ht="20.100000000000001" customHeight="1" x14ac:dyDescent="0.25">
      <c r="A152" s="40">
        <v>45</v>
      </c>
      <c r="B152" s="49" t="s">
        <v>1170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1171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1172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PeaceHealth St John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1173</v>
      </c>
      <c r="C6" s="88" t="s">
        <v>92</v>
      </c>
      <c r="D6" s="18" t="s">
        <v>1174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1175</v>
      </c>
      <c r="E7" s="18" t="s">
        <v>163</v>
      </c>
      <c r="F7" s="18" t="s">
        <v>1176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1177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231</v>
      </c>
      <c r="C9" s="14">
        <f>data!C59</f>
        <v>8413</v>
      </c>
      <c r="D9" s="14">
        <f>data!D59</f>
        <v>0</v>
      </c>
      <c r="E9" s="14">
        <f>data!E59</f>
        <v>15313</v>
      </c>
      <c r="F9" s="14">
        <f>data!F59</f>
        <v>0</v>
      </c>
      <c r="G9" s="14">
        <f>data!G59</f>
        <v>0</v>
      </c>
      <c r="H9" s="14">
        <f>data!H59</f>
        <v>4624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232</v>
      </c>
      <c r="C10" s="26">
        <f>data!C60</f>
        <v>78.2630513438599</v>
      </c>
      <c r="D10" s="26">
        <f>data!D60</f>
        <v>0</v>
      </c>
      <c r="E10" s="26">
        <f>data!E60</f>
        <v>131.84628014601017</v>
      </c>
      <c r="F10" s="26">
        <f>data!F60</f>
        <v>0</v>
      </c>
      <c r="G10" s="26">
        <f>data!G60</f>
        <v>0</v>
      </c>
      <c r="H10" s="26">
        <f>data!H60</f>
        <v>33.636077829842037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233</v>
      </c>
      <c r="C11" s="14">
        <f>data!C61</f>
        <v>6778873.0599999996</v>
      </c>
      <c r="D11" s="14">
        <f>data!D61</f>
        <v>0</v>
      </c>
      <c r="E11" s="14">
        <f>data!E61</f>
        <v>10972626.598814003</v>
      </c>
      <c r="F11" s="14">
        <f>data!F61</f>
        <v>0</v>
      </c>
      <c r="G11" s="14">
        <f>data!G61</f>
        <v>0</v>
      </c>
      <c r="H11" s="14">
        <f>data!H61</f>
        <v>2521466.7299999995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1906636</v>
      </c>
      <c r="D12" s="14">
        <f>data!D62</f>
        <v>0</v>
      </c>
      <c r="E12" s="14">
        <f>data!E62</f>
        <v>3015040</v>
      </c>
      <c r="F12" s="14">
        <f>data!F62</f>
        <v>0</v>
      </c>
      <c r="G12" s="14">
        <f>data!G62</f>
        <v>0</v>
      </c>
      <c r="H12" s="14">
        <f>data!H62</f>
        <v>731933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234</v>
      </c>
      <c r="C13" s="14">
        <f>data!C63</f>
        <v>0</v>
      </c>
      <c r="D13" s="14">
        <f>data!D63</f>
        <v>0</v>
      </c>
      <c r="E13" s="14">
        <f>data!E63</f>
        <v>67684.616999999998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235</v>
      </c>
      <c r="C14" s="14">
        <f>data!C64</f>
        <v>551445.79000000015</v>
      </c>
      <c r="D14" s="14">
        <f>data!D64</f>
        <v>0</v>
      </c>
      <c r="E14" s="14">
        <f>data!E64</f>
        <v>862382.82433399977</v>
      </c>
      <c r="F14" s="14">
        <f>data!F64</f>
        <v>0</v>
      </c>
      <c r="G14" s="14">
        <f>data!G64</f>
        <v>0</v>
      </c>
      <c r="H14" s="14">
        <f>data!H64</f>
        <v>47156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442</v>
      </c>
      <c r="C15" s="14">
        <f>data!C65</f>
        <v>0</v>
      </c>
      <c r="D15" s="14">
        <f>data!D65</f>
        <v>0</v>
      </c>
      <c r="E15" s="14">
        <f>data!E65</f>
        <v>200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443</v>
      </c>
      <c r="C16" s="14">
        <f>data!C66</f>
        <v>1028.74</v>
      </c>
      <c r="D16" s="14">
        <f>data!D66</f>
        <v>0</v>
      </c>
      <c r="E16" s="14">
        <f>data!E66</f>
        <v>55447.042957000005</v>
      </c>
      <c r="F16" s="14">
        <f>data!F66</f>
        <v>0</v>
      </c>
      <c r="G16" s="14">
        <f>data!G66</f>
        <v>0</v>
      </c>
      <c r="H16" s="14">
        <f>data!H66</f>
        <v>415.37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507672</v>
      </c>
      <c r="D17" s="14">
        <f>data!D67</f>
        <v>0</v>
      </c>
      <c r="E17" s="14">
        <f>data!E67</f>
        <v>768805</v>
      </c>
      <c r="F17" s="14">
        <f>data!F67</f>
        <v>0</v>
      </c>
      <c r="G17" s="14">
        <f>data!G67</f>
        <v>0</v>
      </c>
      <c r="H17" s="14">
        <f>data!H67</f>
        <v>108910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472</v>
      </c>
      <c r="C18" s="14">
        <f>data!C68</f>
        <v>111485.90000000001</v>
      </c>
      <c r="D18" s="14">
        <f>data!D68</f>
        <v>0</v>
      </c>
      <c r="E18" s="14">
        <f>data!E68</f>
        <v>213893.61444999999</v>
      </c>
      <c r="F18" s="14">
        <f>data!F68</f>
        <v>0</v>
      </c>
      <c r="G18" s="14">
        <f>data!G68</f>
        <v>0</v>
      </c>
      <c r="H18" s="14">
        <f>data!H68</f>
        <v>3.539999999999992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239</v>
      </c>
      <c r="C19" s="14">
        <f>data!C69</f>
        <v>4430.79</v>
      </c>
      <c r="D19" s="14">
        <f>data!D69</f>
        <v>0</v>
      </c>
      <c r="E19" s="14">
        <f>data!E69</f>
        <v>35636.481174</v>
      </c>
      <c r="F19" s="14">
        <f>data!F69</f>
        <v>0</v>
      </c>
      <c r="G19" s="14">
        <f>data!G69</f>
        <v>0</v>
      </c>
      <c r="H19" s="14">
        <f>data!H69</f>
        <v>1691.7900000000002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240</v>
      </c>
      <c r="C20" s="14">
        <f>-data!C70</f>
        <v>-1000</v>
      </c>
      <c r="D20" s="14">
        <f>-data!D70</f>
        <v>0</v>
      </c>
      <c r="E20" s="14">
        <f>-data!E70</f>
        <v>-7970.2432290000006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1178</v>
      </c>
      <c r="C21" s="14">
        <f>data!C71</f>
        <v>9860572.2799999993</v>
      </c>
      <c r="D21" s="14">
        <f>data!D71</f>
        <v>0</v>
      </c>
      <c r="E21" s="14">
        <f>data!E71</f>
        <v>15983745.935500003</v>
      </c>
      <c r="F21" s="14">
        <f>data!F71</f>
        <v>0</v>
      </c>
      <c r="G21" s="14">
        <f>data!G71</f>
        <v>0</v>
      </c>
      <c r="H21" s="14">
        <f>data!H71</f>
        <v>3411576.4299999997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242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1179</v>
      </c>
      <c r="C23" s="48">
        <f>+data!M668</f>
        <v>6362616</v>
      </c>
      <c r="D23" s="48">
        <f>+data!M669</f>
        <v>0</v>
      </c>
      <c r="E23" s="48">
        <f>+data!M670</f>
        <v>11040499</v>
      </c>
      <c r="F23" s="48">
        <f>+data!M671</f>
        <v>0</v>
      </c>
      <c r="G23" s="48">
        <f>+data!M672</f>
        <v>0</v>
      </c>
      <c r="H23" s="48">
        <f>+data!M673</f>
        <v>2607885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1180</v>
      </c>
      <c r="C24" s="14">
        <f>data!C73</f>
        <v>37932708.640000001</v>
      </c>
      <c r="D24" s="14">
        <f>data!D73</f>
        <v>0</v>
      </c>
      <c r="E24" s="14">
        <f>data!E73</f>
        <v>69881231.349725008</v>
      </c>
      <c r="F24" s="14">
        <f>data!F73</f>
        <v>0</v>
      </c>
      <c r="G24" s="14">
        <f>data!G73</f>
        <v>0</v>
      </c>
      <c r="H24" s="14">
        <f>data!H73</f>
        <v>13739613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1181</v>
      </c>
      <c r="C25" s="14">
        <f>data!C74</f>
        <v>3546274</v>
      </c>
      <c r="D25" s="14">
        <f>data!D74</f>
        <v>0</v>
      </c>
      <c r="E25" s="14">
        <f>data!E74</f>
        <v>4387202.8405410089</v>
      </c>
      <c r="F25" s="14">
        <f>data!F74</f>
        <v>0</v>
      </c>
      <c r="G25" s="14">
        <f>data!G74</f>
        <v>0</v>
      </c>
      <c r="H25" s="14">
        <f>data!H74</f>
        <v>215000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1182</v>
      </c>
      <c r="C26" s="14">
        <f>data!C75</f>
        <v>41478982.640000001</v>
      </c>
      <c r="D26" s="14">
        <f>data!D75</f>
        <v>0</v>
      </c>
      <c r="E26" s="14">
        <f>data!E75</f>
        <v>74268434.190266013</v>
      </c>
      <c r="F26" s="14">
        <f>data!F75</f>
        <v>0</v>
      </c>
      <c r="G26" s="14">
        <f>data!G75</f>
        <v>0</v>
      </c>
      <c r="H26" s="14">
        <f>data!H75</f>
        <v>13954613</v>
      </c>
      <c r="I26" s="14">
        <f>data!I75</f>
        <v>0</v>
      </c>
    </row>
    <row r="27" spans="1:9" ht="20.100000000000001" customHeight="1" x14ac:dyDescent="0.25">
      <c r="A27" s="23" t="s">
        <v>1183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1184</v>
      </c>
      <c r="C28" s="14">
        <f>data!C76</f>
        <v>23023.45</v>
      </c>
      <c r="D28" s="14">
        <f>data!D76</f>
        <v>0</v>
      </c>
      <c r="E28" s="14">
        <f>data!E76</f>
        <v>43782.97</v>
      </c>
      <c r="F28" s="14">
        <f>data!F76</f>
        <v>0</v>
      </c>
      <c r="G28" s="14">
        <f>data!G76</f>
        <v>0</v>
      </c>
      <c r="H28" s="14">
        <f>data!H76</f>
        <v>10126.700000000001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1185</v>
      </c>
      <c r="C29" s="14">
        <f>data!C77</f>
        <v>24874</v>
      </c>
      <c r="D29" s="14">
        <f>data!D77</f>
        <v>0</v>
      </c>
      <c r="E29" s="14">
        <f>data!E77</f>
        <v>48710</v>
      </c>
      <c r="F29" s="14">
        <f>data!F77</f>
        <v>0</v>
      </c>
      <c r="G29" s="14">
        <f>data!G77</f>
        <v>0</v>
      </c>
      <c r="H29" s="14">
        <f>data!H77</f>
        <v>19767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1186</v>
      </c>
      <c r="C30" s="14">
        <f>data!C78</f>
        <v>6867.7212751068355</v>
      </c>
      <c r="D30" s="14">
        <f>data!D78</f>
        <v>0</v>
      </c>
      <c r="E30" s="14">
        <f>data!E78</f>
        <v>13060.129327114933</v>
      </c>
      <c r="F30" s="14">
        <f>data!F78</f>
        <v>0</v>
      </c>
      <c r="G30" s="14">
        <f>data!G78</f>
        <v>0</v>
      </c>
      <c r="H30" s="14">
        <f>data!H78</f>
        <v>3020.7181389680691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1187</v>
      </c>
      <c r="C31" s="14">
        <f>data!C79</f>
        <v>169153.65955979683</v>
      </c>
      <c r="D31" s="14">
        <f>data!D79</f>
        <v>0</v>
      </c>
      <c r="E31" s="14">
        <f>data!E79</f>
        <v>275358.14719013579</v>
      </c>
      <c r="F31" s="14">
        <f>data!F79</f>
        <v>0</v>
      </c>
      <c r="G31" s="14">
        <f>data!G79</f>
        <v>0</v>
      </c>
      <c r="H31" s="14">
        <f>data!H79</f>
        <v>48237.699953130847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250</v>
      </c>
      <c r="C32" s="84">
        <f>data!C80</f>
        <v>40.601296680525181</v>
      </c>
      <c r="D32" s="84">
        <f>data!D80</f>
        <v>0</v>
      </c>
      <c r="E32" s="84">
        <f>data!E80</f>
        <v>66.093147831154468</v>
      </c>
      <c r="F32" s="84">
        <f>data!F80</f>
        <v>0</v>
      </c>
      <c r="G32" s="84">
        <f>data!G80</f>
        <v>0</v>
      </c>
      <c r="H32" s="84">
        <f>data!H80</f>
        <v>11.578307983877082</v>
      </c>
      <c r="I32" s="84">
        <f>data!I80</f>
        <v>0</v>
      </c>
    </row>
    <row r="33" spans="1:9" ht="20.100000000000001" customHeight="1" x14ac:dyDescent="0.25">
      <c r="A33" s="4" t="s">
        <v>1171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1188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PeaceHealth St John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1173</v>
      </c>
      <c r="C38" s="25"/>
      <c r="D38" s="18" t="s">
        <v>100</v>
      </c>
      <c r="E38" s="18" t="s">
        <v>101</v>
      </c>
      <c r="F38" s="18" t="s">
        <v>1189</v>
      </c>
      <c r="G38" s="18" t="s">
        <v>103</v>
      </c>
      <c r="H38" s="18" t="s">
        <v>1190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1177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231</v>
      </c>
      <c r="C41" s="14">
        <f>data!J59</f>
        <v>1700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786</v>
      </c>
      <c r="I41" s="14">
        <f>data!P59</f>
        <v>313345</v>
      </c>
    </row>
    <row r="42" spans="1:9" ht="20.100000000000001" customHeight="1" x14ac:dyDescent="0.25">
      <c r="A42" s="23">
        <v>5</v>
      </c>
      <c r="B42" s="14" t="s">
        <v>232</v>
      </c>
      <c r="C42" s="26">
        <f>data!J60</f>
        <v>4.2941305227741884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39.186933638736257</v>
      </c>
    </row>
    <row r="43" spans="1:9" ht="20.100000000000001" customHeight="1" x14ac:dyDescent="0.25">
      <c r="A43" s="23">
        <v>6</v>
      </c>
      <c r="B43" s="14" t="s">
        <v>233</v>
      </c>
      <c r="C43" s="14">
        <f>data!J61</f>
        <v>444368.06118599977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3685821.5600000005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110333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1034769</v>
      </c>
    </row>
    <row r="45" spans="1:9" ht="20.100000000000001" customHeight="1" x14ac:dyDescent="0.25">
      <c r="A45" s="23">
        <v>8</v>
      </c>
      <c r="B45" s="14" t="s">
        <v>234</v>
      </c>
      <c r="C45" s="14">
        <f>data!J63</f>
        <v>8545.3830000000016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412426.33</v>
      </c>
    </row>
    <row r="46" spans="1:9" ht="20.100000000000001" customHeight="1" x14ac:dyDescent="0.25">
      <c r="A46" s="23">
        <v>9</v>
      </c>
      <c r="B46" s="14" t="s">
        <v>235</v>
      </c>
      <c r="C46" s="14">
        <f>data!J64</f>
        <v>41255.205665999965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5926854.3799999971</v>
      </c>
    </row>
    <row r="47" spans="1:9" ht="20.100000000000001" customHeight="1" x14ac:dyDescent="0.25">
      <c r="A47" s="23">
        <v>10</v>
      </c>
      <c r="B47" s="14" t="s">
        <v>442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300</v>
      </c>
    </row>
    <row r="48" spans="1:9" ht="20.100000000000001" customHeight="1" x14ac:dyDescent="0.25">
      <c r="A48" s="23">
        <v>11</v>
      </c>
      <c r="B48" s="14" t="s">
        <v>443</v>
      </c>
      <c r="C48" s="14">
        <f>data!J66</f>
        <v>6833.5870429999995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172537.09999999998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14566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872096</v>
      </c>
    </row>
    <row r="50" spans="1:9" ht="20.100000000000001" customHeight="1" x14ac:dyDescent="0.25">
      <c r="A50" s="23">
        <v>13</v>
      </c>
      <c r="B50" s="14" t="s">
        <v>472</v>
      </c>
      <c r="C50" s="14">
        <f>data!J68</f>
        <v>571.20554999999968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3102.38</v>
      </c>
    </row>
    <row r="51" spans="1:9" ht="20.100000000000001" customHeight="1" x14ac:dyDescent="0.25">
      <c r="A51" s="23">
        <v>14</v>
      </c>
      <c r="B51" s="14" t="s">
        <v>239</v>
      </c>
      <c r="C51" s="14">
        <f>data!J69</f>
        <v>1367.7388260000007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64339.35</v>
      </c>
    </row>
    <row r="52" spans="1:9" ht="20.100000000000001" customHeight="1" x14ac:dyDescent="0.25">
      <c r="A52" s="23">
        <v>15</v>
      </c>
      <c r="B52" s="14" t="s">
        <v>240</v>
      </c>
      <c r="C52" s="14">
        <f>-data!J70</f>
        <v>-1006.2667709999996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-10155.5</v>
      </c>
    </row>
    <row r="53" spans="1:9" ht="20.100000000000001" customHeight="1" x14ac:dyDescent="0.25">
      <c r="A53" s="23">
        <v>16</v>
      </c>
      <c r="B53" s="48" t="s">
        <v>1178</v>
      </c>
      <c r="C53" s="14">
        <f>data!J71</f>
        <v>626833.91449999972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12162090.599999998</v>
      </c>
    </row>
    <row r="54" spans="1:9" ht="20.100000000000001" customHeight="1" x14ac:dyDescent="0.25">
      <c r="A54" s="23">
        <v>17</v>
      </c>
      <c r="B54" s="14" t="s">
        <v>242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1179</v>
      </c>
      <c r="C55" s="48">
        <f>+data!M675</f>
        <v>278686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6283251</v>
      </c>
    </row>
    <row r="56" spans="1:9" ht="20.100000000000001" customHeight="1" x14ac:dyDescent="0.25">
      <c r="A56" s="23">
        <v>19</v>
      </c>
      <c r="B56" s="48" t="s">
        <v>1180</v>
      </c>
      <c r="C56" s="14">
        <f>data!J73</f>
        <v>3346019.4002749994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40679599.25</v>
      </c>
    </row>
    <row r="57" spans="1:9" ht="20.100000000000001" customHeight="1" x14ac:dyDescent="0.25">
      <c r="A57" s="23">
        <v>20</v>
      </c>
      <c r="B57" s="48" t="s">
        <v>1181</v>
      </c>
      <c r="C57" s="14">
        <f>data!J74</f>
        <v>115925.9494589977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29803548.159999996</v>
      </c>
    </row>
    <row r="58" spans="1:9" ht="20.100000000000001" customHeight="1" x14ac:dyDescent="0.25">
      <c r="A58" s="23">
        <v>21</v>
      </c>
      <c r="B58" s="48" t="s">
        <v>1182</v>
      </c>
      <c r="C58" s="14">
        <f>data!J75</f>
        <v>3461945.3497339971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70483147.409999996</v>
      </c>
    </row>
    <row r="59" spans="1:9" ht="20.100000000000001" customHeight="1" x14ac:dyDescent="0.25">
      <c r="A59" s="23" t="s">
        <v>1183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1184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24565.469999999998</v>
      </c>
    </row>
    <row r="61" spans="1:9" ht="20.100000000000001" customHeight="1" x14ac:dyDescent="0.25">
      <c r="A61" s="23">
        <v>23</v>
      </c>
      <c r="B61" s="14" t="s">
        <v>1185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1186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7327.6941966559607</v>
      </c>
    </row>
    <row r="63" spans="1:9" ht="20.100000000000001" customHeight="1" x14ac:dyDescent="0.25">
      <c r="A63" s="23">
        <v>25</v>
      </c>
      <c r="B63" s="14" t="s">
        <v>1187</v>
      </c>
      <c r="C63" s="14">
        <f>data!J79</f>
        <v>11693.331036256373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63599.342605649959</v>
      </c>
    </row>
    <row r="64" spans="1:9" ht="20.100000000000001" customHeight="1" x14ac:dyDescent="0.25">
      <c r="A64" s="23">
        <v>26</v>
      </c>
      <c r="B64" s="14" t="s">
        <v>250</v>
      </c>
      <c r="C64" s="26">
        <f>data!J80</f>
        <v>2.8067048849085405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15.265503474995947</v>
      </c>
    </row>
    <row r="65" spans="1:9" ht="20.100000000000001" customHeight="1" x14ac:dyDescent="0.25">
      <c r="A65" s="4" t="s">
        <v>1171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1191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PeaceHealth St John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1173</v>
      </c>
      <c r="C70" s="18" t="s">
        <v>106</v>
      </c>
      <c r="D70" s="25"/>
      <c r="E70" s="18" t="s">
        <v>108</v>
      </c>
      <c r="F70" s="18" t="s">
        <v>1192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1193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1177</v>
      </c>
      <c r="C72" s="15" t="s">
        <v>1194</v>
      </c>
      <c r="D72" s="89" t="s">
        <v>1195</v>
      </c>
      <c r="E72" s="212"/>
      <c r="F72" s="212"/>
      <c r="G72" s="89" t="s">
        <v>1196</v>
      </c>
      <c r="H72" s="89" t="s">
        <v>1196</v>
      </c>
      <c r="I72" s="15" t="s">
        <v>223</v>
      </c>
    </row>
    <row r="73" spans="1:9" ht="20.100000000000001" customHeight="1" x14ac:dyDescent="0.25">
      <c r="A73" s="23">
        <v>4</v>
      </c>
      <c r="B73" s="14" t="s">
        <v>231</v>
      </c>
      <c r="C73" s="14">
        <f>data!Q59</f>
        <v>266828</v>
      </c>
      <c r="D73" s="48">
        <f>data!R59</f>
        <v>313345</v>
      </c>
      <c r="E73" s="212"/>
      <c r="F73" s="212"/>
      <c r="G73" s="14">
        <f>data!U59</f>
        <v>377061</v>
      </c>
      <c r="H73" s="14">
        <f>data!V59</f>
        <v>0</v>
      </c>
      <c r="I73" s="14">
        <f>data!W59</f>
        <v>4273</v>
      </c>
    </row>
    <row r="74" spans="1:9" ht="20.100000000000001" customHeight="1" x14ac:dyDescent="0.25">
      <c r="A74" s="23">
        <v>5</v>
      </c>
      <c r="B74" s="14" t="s">
        <v>232</v>
      </c>
      <c r="C74" s="26">
        <f>data!Q60</f>
        <v>5.5312234987980782</v>
      </c>
      <c r="D74" s="26">
        <f>data!R60</f>
        <v>11.380617375006864</v>
      </c>
      <c r="E74" s="26">
        <f>data!S60</f>
        <v>20.889256609718402</v>
      </c>
      <c r="F74" s="26">
        <f>data!T60</f>
        <v>1.5896289354395605</v>
      </c>
      <c r="G74" s="26">
        <f>data!U60</f>
        <v>30.313172220982135</v>
      </c>
      <c r="H74" s="26">
        <f>data!V60</f>
        <v>0</v>
      </c>
      <c r="I74" s="26">
        <f>data!W60</f>
        <v>4.1905899905563189</v>
      </c>
    </row>
    <row r="75" spans="1:9" ht="20.100000000000001" customHeight="1" x14ac:dyDescent="0.25">
      <c r="A75" s="23">
        <v>6</v>
      </c>
      <c r="B75" s="14" t="s">
        <v>233</v>
      </c>
      <c r="C75" s="14">
        <f>data!Q61</f>
        <v>682880.08999999973</v>
      </c>
      <c r="D75" s="14">
        <f>data!R61</f>
        <v>3851035.3200000003</v>
      </c>
      <c r="E75" s="14">
        <f>data!S61</f>
        <v>936054.96</v>
      </c>
      <c r="F75" s="14">
        <f>data!T61</f>
        <v>195883.71999999997</v>
      </c>
      <c r="G75" s="14">
        <f>data!U61</f>
        <v>1890054.6500000004</v>
      </c>
      <c r="H75" s="14">
        <f>data!V61</f>
        <v>0</v>
      </c>
      <c r="I75" s="14">
        <f>data!W61</f>
        <v>460052.43000000005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189033</v>
      </c>
      <c r="D76" s="14">
        <f>data!R62</f>
        <v>562851</v>
      </c>
      <c r="E76" s="14">
        <f>data!S62</f>
        <v>385821</v>
      </c>
      <c r="F76" s="14">
        <f>data!T62</f>
        <v>41132</v>
      </c>
      <c r="G76" s="14">
        <f>data!U62</f>
        <v>585334</v>
      </c>
      <c r="H76" s="14">
        <f>data!V62</f>
        <v>0</v>
      </c>
      <c r="I76" s="14">
        <f>data!W62</f>
        <v>123172</v>
      </c>
    </row>
    <row r="77" spans="1:9" ht="20.100000000000001" customHeight="1" x14ac:dyDescent="0.25">
      <c r="A77" s="23">
        <v>8</v>
      </c>
      <c r="B77" s="14" t="s">
        <v>234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32907.35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235</v>
      </c>
      <c r="C78" s="14">
        <f>data!Q64</f>
        <v>27093.149999999994</v>
      </c>
      <c r="D78" s="14">
        <f>data!R64</f>
        <v>3415.3499999999995</v>
      </c>
      <c r="E78" s="14">
        <f>data!S64</f>
        <v>160797.92999999996</v>
      </c>
      <c r="F78" s="14">
        <f>data!T64</f>
        <v>95889.48</v>
      </c>
      <c r="G78" s="14">
        <f>data!U64</f>
        <v>913028.52999999991</v>
      </c>
      <c r="H78" s="14">
        <f>data!V64</f>
        <v>0</v>
      </c>
      <c r="I78" s="14">
        <f>data!W64</f>
        <v>8322.99</v>
      </c>
    </row>
    <row r="79" spans="1:9" ht="20.100000000000001" customHeight="1" x14ac:dyDescent="0.25">
      <c r="A79" s="23">
        <v>10</v>
      </c>
      <c r="B79" s="14" t="s">
        <v>442</v>
      </c>
      <c r="C79" s="14">
        <f>data!Q65</f>
        <v>0</v>
      </c>
      <c r="D79" s="14">
        <f>data!R65</f>
        <v>0</v>
      </c>
      <c r="E79" s="14">
        <f>data!S65</f>
        <v>5797.02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443</v>
      </c>
      <c r="C80" s="14">
        <f>data!Q66</f>
        <v>0</v>
      </c>
      <c r="D80" s="14">
        <f>data!R66</f>
        <v>2248701.14</v>
      </c>
      <c r="E80" s="14">
        <f>data!S66</f>
        <v>1764.17</v>
      </c>
      <c r="F80" s="14">
        <f>data!T66</f>
        <v>0</v>
      </c>
      <c r="G80" s="14">
        <f>data!U66</f>
        <v>2926706.1000000006</v>
      </c>
      <c r="H80" s="14">
        <f>data!V66</f>
        <v>0</v>
      </c>
      <c r="I80" s="14">
        <f>data!W66</f>
        <v>2372.67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66229</v>
      </c>
      <c r="D81" s="14">
        <f>data!R67</f>
        <v>0</v>
      </c>
      <c r="E81" s="14">
        <f>data!S67</f>
        <v>69686</v>
      </c>
      <c r="F81" s="14">
        <f>data!T67</f>
        <v>0</v>
      </c>
      <c r="G81" s="14">
        <f>data!U67</f>
        <v>64058</v>
      </c>
      <c r="H81" s="14">
        <f>data!V67</f>
        <v>0</v>
      </c>
      <c r="I81" s="14">
        <f>data!W67</f>
        <v>20472</v>
      </c>
    </row>
    <row r="82" spans="1:9" ht="20.100000000000001" customHeight="1" x14ac:dyDescent="0.25">
      <c r="A82" s="23">
        <v>13</v>
      </c>
      <c r="B82" s="14" t="s">
        <v>472</v>
      </c>
      <c r="C82" s="14">
        <f>data!Q68</f>
        <v>624.58999999999992</v>
      </c>
      <c r="D82" s="14">
        <f>data!R68</f>
        <v>0</v>
      </c>
      <c r="E82" s="14">
        <f>data!S68</f>
        <v>-9947.0299999999988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239</v>
      </c>
      <c r="C83" s="14">
        <f>data!Q69</f>
        <v>77.510000000000005</v>
      </c>
      <c r="D83" s="14">
        <f>data!R69</f>
        <v>30299.489999999998</v>
      </c>
      <c r="E83" s="14">
        <f>data!S69</f>
        <v>9712.76</v>
      </c>
      <c r="F83" s="14">
        <f>data!T69</f>
        <v>0</v>
      </c>
      <c r="G83" s="14">
        <f>data!U69</f>
        <v>19874.839999999997</v>
      </c>
      <c r="H83" s="14">
        <f>data!V69</f>
        <v>0</v>
      </c>
      <c r="I83" s="14">
        <f>data!W69</f>
        <v>19.98</v>
      </c>
    </row>
    <row r="84" spans="1:9" ht="20.100000000000001" customHeight="1" x14ac:dyDescent="0.25">
      <c r="A84" s="23">
        <v>15</v>
      </c>
      <c r="B84" s="14" t="s">
        <v>240</v>
      </c>
      <c r="C84" s="14">
        <f>-data!Q70</f>
        <v>0</v>
      </c>
      <c r="D84" s="14">
        <f>-data!R70</f>
        <v>-2240859</v>
      </c>
      <c r="E84" s="14">
        <f>-data!S70</f>
        <v>-928.12000000000012</v>
      </c>
      <c r="F84" s="14">
        <f>-data!T70</f>
        <v>0</v>
      </c>
      <c r="G84" s="14">
        <f>-data!U70</f>
        <v>-27488.720000000001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1178</v>
      </c>
      <c r="C85" s="14">
        <f>data!Q71</f>
        <v>965937.33999999973</v>
      </c>
      <c r="D85" s="14">
        <f>data!R71</f>
        <v>4455443.3000000007</v>
      </c>
      <c r="E85" s="14">
        <f>data!S71</f>
        <v>1558758.6899999997</v>
      </c>
      <c r="F85" s="14">
        <f>data!T71</f>
        <v>332905.19999999995</v>
      </c>
      <c r="G85" s="14">
        <f>data!U71</f>
        <v>6404474.7500000009</v>
      </c>
      <c r="H85" s="14">
        <f>data!V71</f>
        <v>0</v>
      </c>
      <c r="I85" s="14">
        <f>data!W71</f>
        <v>614412.07000000007</v>
      </c>
    </row>
    <row r="86" spans="1:9" ht="20.100000000000001" customHeight="1" x14ac:dyDescent="0.25">
      <c r="A86" s="23">
        <v>17</v>
      </c>
      <c r="B86" s="14" t="s">
        <v>242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1179</v>
      </c>
      <c r="C87" s="48">
        <f>+data!M682</f>
        <v>573017</v>
      </c>
      <c r="D87" s="48">
        <f>+data!M683</f>
        <v>1414874</v>
      </c>
      <c r="E87" s="48">
        <f>+data!M684</f>
        <v>848996</v>
      </c>
      <c r="F87" s="48">
        <f>+data!M685</f>
        <v>135110</v>
      </c>
      <c r="G87" s="48">
        <f>+data!M686</f>
        <v>2785321</v>
      </c>
      <c r="H87" s="48">
        <f>+data!M687</f>
        <v>0</v>
      </c>
      <c r="I87" s="48">
        <f>+data!M688</f>
        <v>304111</v>
      </c>
    </row>
    <row r="88" spans="1:9" ht="20.100000000000001" customHeight="1" x14ac:dyDescent="0.25">
      <c r="A88" s="23">
        <v>19</v>
      </c>
      <c r="B88" s="48" t="s">
        <v>1180</v>
      </c>
      <c r="C88" s="14">
        <f>data!Q73</f>
        <v>1288248</v>
      </c>
      <c r="D88" s="14">
        <f>data!R73</f>
        <v>0</v>
      </c>
      <c r="E88" s="14">
        <f>data!S73</f>
        <v>0</v>
      </c>
      <c r="F88" s="14">
        <f>data!T73</f>
        <v>637147</v>
      </c>
      <c r="G88" s="14">
        <f>data!U73</f>
        <v>17983332</v>
      </c>
      <c r="H88" s="14">
        <f>data!V73</f>
        <v>0</v>
      </c>
      <c r="I88" s="14">
        <f>data!W73</f>
        <v>2683955.6</v>
      </c>
    </row>
    <row r="89" spans="1:9" ht="20.100000000000001" customHeight="1" x14ac:dyDescent="0.25">
      <c r="A89" s="23">
        <v>20</v>
      </c>
      <c r="B89" s="48" t="s">
        <v>1181</v>
      </c>
      <c r="C89" s="14">
        <f>data!Q74</f>
        <v>2046475</v>
      </c>
      <c r="D89" s="14">
        <f>data!R74</f>
        <v>6515203</v>
      </c>
      <c r="E89" s="14">
        <f>data!S74</f>
        <v>0</v>
      </c>
      <c r="F89" s="14">
        <f>data!T74</f>
        <v>102622</v>
      </c>
      <c r="G89" s="14">
        <f>data!U74</f>
        <v>20567440.969999999</v>
      </c>
      <c r="H89" s="14">
        <f>data!V74</f>
        <v>0</v>
      </c>
      <c r="I89" s="14">
        <f>data!W74</f>
        <v>8727284.8000000007</v>
      </c>
    </row>
    <row r="90" spans="1:9" ht="20.100000000000001" customHeight="1" x14ac:dyDescent="0.25">
      <c r="A90" s="23">
        <v>21</v>
      </c>
      <c r="B90" s="48" t="s">
        <v>1182</v>
      </c>
      <c r="C90" s="14">
        <f>data!Q75</f>
        <v>3334723</v>
      </c>
      <c r="D90" s="14">
        <f>data!R75</f>
        <v>6515203</v>
      </c>
      <c r="E90" s="14">
        <f>data!S75</f>
        <v>0</v>
      </c>
      <c r="F90" s="14">
        <f>data!T75</f>
        <v>739769</v>
      </c>
      <c r="G90" s="14">
        <f>data!U75</f>
        <v>38550772.969999999</v>
      </c>
      <c r="H90" s="14">
        <f>data!V75</f>
        <v>0</v>
      </c>
      <c r="I90" s="14">
        <f>data!W75</f>
        <v>11411240.4</v>
      </c>
    </row>
    <row r="91" spans="1:9" ht="20.100000000000001" customHeight="1" x14ac:dyDescent="0.25">
      <c r="A91" s="23" t="s">
        <v>1183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1184</v>
      </c>
      <c r="C92" s="14">
        <f>data!Q76</f>
        <v>2498.21</v>
      </c>
      <c r="D92" s="14">
        <f>data!R76</f>
        <v>0</v>
      </c>
      <c r="E92" s="14">
        <f>data!S76</f>
        <v>5561.29</v>
      </c>
      <c r="F92" s="14">
        <f>data!T76</f>
        <v>0</v>
      </c>
      <c r="G92" s="14">
        <f>data!U76</f>
        <v>6826.27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1185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1186</v>
      </c>
      <c r="C94" s="14">
        <f>data!Q78</f>
        <v>745.19717795050894</v>
      </c>
      <c r="D94" s="14">
        <f>data!R78</f>
        <v>0</v>
      </c>
      <c r="E94" s="14">
        <f>data!S78</f>
        <v>1658.8908113266643</v>
      </c>
      <c r="F94" s="14">
        <f>data!T78</f>
        <v>0</v>
      </c>
      <c r="G94" s="14">
        <f>data!U78</f>
        <v>2036.2247929230216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1187</v>
      </c>
      <c r="C95" s="14">
        <f>data!Q79</f>
        <v>19351.70513650736</v>
      </c>
      <c r="D95" s="14">
        <f>data!R79</f>
        <v>0</v>
      </c>
      <c r="E95" s="14">
        <f>data!S79</f>
        <v>0</v>
      </c>
      <c r="F95" s="14">
        <f>data!T79</f>
        <v>5854.0769975167623</v>
      </c>
      <c r="G95" s="14">
        <f>data!U79</f>
        <v>0</v>
      </c>
      <c r="H95" s="14">
        <f>data!V79</f>
        <v>0</v>
      </c>
      <c r="I95" s="14">
        <f>data!W79</f>
        <v>84.371021891294149</v>
      </c>
    </row>
    <row r="96" spans="1:9" ht="20.100000000000001" customHeight="1" x14ac:dyDescent="0.25">
      <c r="A96" s="23">
        <v>26</v>
      </c>
      <c r="B96" s="14" t="s">
        <v>250</v>
      </c>
      <c r="C96" s="84">
        <f>data!Q80</f>
        <v>4.6449147098920864</v>
      </c>
      <c r="D96" s="84">
        <f>data!R80</f>
        <v>0</v>
      </c>
      <c r="E96" s="84">
        <f>data!S80</f>
        <v>0</v>
      </c>
      <c r="F96" s="84">
        <f>data!T80</f>
        <v>1.4051313910994268</v>
      </c>
      <c r="G96" s="84">
        <f>data!U80</f>
        <v>0</v>
      </c>
      <c r="H96" s="84">
        <f>data!V80</f>
        <v>0</v>
      </c>
      <c r="I96" s="84">
        <f>data!W80</f>
        <v>2.0251249071182871E-2</v>
      </c>
    </row>
    <row r="97" spans="1:9" ht="20.100000000000001" customHeight="1" x14ac:dyDescent="0.25">
      <c r="A97" s="4" t="s">
        <v>1171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1197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PeaceHealth St John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1173</v>
      </c>
      <c r="C102" s="18" t="s">
        <v>1198</v>
      </c>
      <c r="D102" s="18" t="s">
        <v>1199</v>
      </c>
      <c r="E102" s="18" t="s">
        <v>1199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1177</v>
      </c>
      <c r="C104" s="89" t="s">
        <v>224</v>
      </c>
      <c r="D104" s="15" t="s">
        <v>1200</v>
      </c>
      <c r="E104" s="15" t="s">
        <v>1200</v>
      </c>
      <c r="F104" s="15" t="s">
        <v>1200</v>
      </c>
      <c r="G104" s="212"/>
      <c r="H104" s="15" t="s">
        <v>225</v>
      </c>
      <c r="I104" s="15" t="s">
        <v>226</v>
      </c>
    </row>
    <row r="105" spans="1:9" ht="20.100000000000001" customHeight="1" x14ac:dyDescent="0.25">
      <c r="A105" s="23">
        <v>4</v>
      </c>
      <c r="B105" s="14" t="s">
        <v>231</v>
      </c>
      <c r="C105" s="14">
        <f>data!X59</f>
        <v>18505</v>
      </c>
      <c r="D105" s="14">
        <f>data!Y59</f>
        <v>77217</v>
      </c>
      <c r="E105" s="14">
        <f>data!Z59</f>
        <v>9354</v>
      </c>
      <c r="F105" s="14">
        <f>data!AA59</f>
        <v>1192</v>
      </c>
      <c r="G105" s="212"/>
      <c r="H105" s="14">
        <f>data!AC59</f>
        <v>39090</v>
      </c>
      <c r="I105" s="14">
        <f>data!AD59</f>
        <v>26418</v>
      </c>
    </row>
    <row r="106" spans="1:9" ht="20.100000000000001" customHeight="1" x14ac:dyDescent="0.25">
      <c r="A106" s="23">
        <v>5</v>
      </c>
      <c r="B106" s="14" t="s">
        <v>232</v>
      </c>
      <c r="C106" s="26">
        <f>data!X60</f>
        <v>8.088039580700551</v>
      </c>
      <c r="D106" s="26">
        <f>data!Y60</f>
        <v>52.547640175322826</v>
      </c>
      <c r="E106" s="26">
        <f>data!Z60</f>
        <v>6.3115205448145613</v>
      </c>
      <c r="F106" s="26">
        <f>data!AA60</f>
        <v>4.2909848238324173</v>
      </c>
      <c r="G106" s="26">
        <f>data!AB60</f>
        <v>43.176468590494494</v>
      </c>
      <c r="H106" s="26">
        <f>data!AC60</f>
        <v>15.541861955364009</v>
      </c>
      <c r="I106" s="26">
        <f>data!AD60</f>
        <v>40.692932012877748</v>
      </c>
    </row>
    <row r="107" spans="1:9" ht="20.100000000000001" customHeight="1" x14ac:dyDescent="0.25">
      <c r="A107" s="23">
        <v>6</v>
      </c>
      <c r="B107" s="14" t="s">
        <v>233</v>
      </c>
      <c r="C107" s="14">
        <f>data!X61</f>
        <v>817105.02000000014</v>
      </c>
      <c r="D107" s="14">
        <f>data!Y61</f>
        <v>4674040.74</v>
      </c>
      <c r="E107" s="14">
        <f>data!Z61</f>
        <v>748838.09</v>
      </c>
      <c r="F107" s="14">
        <f>data!AA61</f>
        <v>711356.37000000011</v>
      </c>
      <c r="G107" s="14">
        <f>data!AB61</f>
        <v>4184706.7399999984</v>
      </c>
      <c r="H107" s="14">
        <f>data!AC61</f>
        <v>1283504.5100000002</v>
      </c>
      <c r="I107" s="14">
        <f>data!AD61</f>
        <v>2883243.2799999993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207852</v>
      </c>
      <c r="D108" s="14">
        <f>data!Y62</f>
        <v>1260221</v>
      </c>
      <c r="E108" s="14">
        <f>data!Z62</f>
        <v>195298</v>
      </c>
      <c r="F108" s="14">
        <f>data!AA62</f>
        <v>149294</v>
      </c>
      <c r="G108" s="14">
        <f>data!AB62</f>
        <v>1097562</v>
      </c>
      <c r="H108" s="14">
        <f>data!AC62</f>
        <v>305787</v>
      </c>
      <c r="I108" s="14">
        <f>data!AD62</f>
        <v>747012</v>
      </c>
    </row>
    <row r="109" spans="1:9" ht="20.100000000000001" customHeight="1" x14ac:dyDescent="0.25">
      <c r="A109" s="23">
        <v>8</v>
      </c>
      <c r="B109" s="14" t="s">
        <v>234</v>
      </c>
      <c r="C109" s="14">
        <f>data!X63</f>
        <v>0</v>
      </c>
      <c r="D109" s="14">
        <f>data!Y63</f>
        <v>7826</v>
      </c>
      <c r="E109" s="14">
        <f>data!Z63</f>
        <v>37072</v>
      </c>
      <c r="F109" s="14">
        <f>data!AA63</f>
        <v>42585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235</v>
      </c>
      <c r="C110" s="14">
        <f>data!X64</f>
        <v>166073.54</v>
      </c>
      <c r="D110" s="14">
        <f>data!Y64</f>
        <v>2457002.2799999998</v>
      </c>
      <c r="E110" s="14">
        <f>data!Z64</f>
        <v>20060.02</v>
      </c>
      <c r="F110" s="14">
        <f>data!AA64</f>
        <v>169149.52999999997</v>
      </c>
      <c r="G110" s="14">
        <f>data!AB64</f>
        <v>12847302.380000001</v>
      </c>
      <c r="H110" s="14">
        <f>data!AC64</f>
        <v>122779.18000000002</v>
      </c>
      <c r="I110" s="14">
        <f>data!AD64</f>
        <v>1196000.3599999994</v>
      </c>
    </row>
    <row r="111" spans="1:9" ht="20.100000000000001" customHeight="1" x14ac:dyDescent="0.25">
      <c r="A111" s="23">
        <v>10</v>
      </c>
      <c r="B111" s="14" t="s">
        <v>442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443</v>
      </c>
      <c r="C112" s="14">
        <f>data!X66</f>
        <v>4029.13</v>
      </c>
      <c r="D112" s="14">
        <f>data!Y66</f>
        <v>41823.54</v>
      </c>
      <c r="E112" s="14">
        <f>data!Z66</f>
        <v>2210</v>
      </c>
      <c r="F112" s="14">
        <f>data!AA66</f>
        <v>8542.5499999999993</v>
      </c>
      <c r="G112" s="14">
        <f>data!AB66</f>
        <v>1431514.1400000001</v>
      </c>
      <c r="H112" s="14">
        <f>data!AC66</f>
        <v>193.37</v>
      </c>
      <c r="I112" s="14">
        <f>data!AD66</f>
        <v>33408.639999999999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2434</v>
      </c>
      <c r="D113" s="14">
        <f>data!Y67</f>
        <v>794461</v>
      </c>
      <c r="E113" s="14">
        <f>data!Z67</f>
        <v>561080</v>
      </c>
      <c r="F113" s="14">
        <f>data!AA67</f>
        <v>30459</v>
      </c>
      <c r="G113" s="14">
        <f>data!AB67</f>
        <v>506640</v>
      </c>
      <c r="H113" s="14">
        <f>data!AC67</f>
        <v>28523</v>
      </c>
      <c r="I113" s="14">
        <f>data!AD67</f>
        <v>127305</v>
      </c>
    </row>
    <row r="114" spans="1:9" ht="20.100000000000001" customHeight="1" x14ac:dyDescent="0.25">
      <c r="A114" s="23">
        <v>13</v>
      </c>
      <c r="B114" s="14" t="s">
        <v>472</v>
      </c>
      <c r="C114" s="14">
        <f>data!X68</f>
        <v>25700</v>
      </c>
      <c r="D114" s="14">
        <f>data!Y68</f>
        <v>212.69000000000005</v>
      </c>
      <c r="E114" s="14">
        <f>data!Z68</f>
        <v>0</v>
      </c>
      <c r="F114" s="14">
        <f>data!AA68</f>
        <v>3055</v>
      </c>
      <c r="G114" s="14">
        <f>data!AB68</f>
        <v>16574.830000000002</v>
      </c>
      <c r="H114" s="14">
        <f>data!AC68</f>
        <v>0</v>
      </c>
      <c r="I114" s="14">
        <f>data!AD68</f>
        <v>1396.03</v>
      </c>
    </row>
    <row r="115" spans="1:9" ht="20.100000000000001" customHeight="1" x14ac:dyDescent="0.25">
      <c r="A115" s="23">
        <v>14</v>
      </c>
      <c r="B115" s="14" t="s">
        <v>239</v>
      </c>
      <c r="C115" s="14">
        <f>data!X69</f>
        <v>762.51</v>
      </c>
      <c r="D115" s="14">
        <f>data!Y69</f>
        <v>34334.079999999994</v>
      </c>
      <c r="E115" s="14">
        <f>data!Z69</f>
        <v>9446.09</v>
      </c>
      <c r="F115" s="14">
        <f>data!AA69</f>
        <v>10035.91</v>
      </c>
      <c r="G115" s="14">
        <f>data!AB69</f>
        <v>31315.690000000002</v>
      </c>
      <c r="H115" s="14">
        <f>data!AC69</f>
        <v>2664.53</v>
      </c>
      <c r="I115" s="14">
        <f>data!AD69</f>
        <v>3417.5099999999998</v>
      </c>
    </row>
    <row r="116" spans="1:9" ht="20.100000000000001" customHeight="1" x14ac:dyDescent="0.25">
      <c r="A116" s="23">
        <v>15</v>
      </c>
      <c r="B116" s="14" t="s">
        <v>240</v>
      </c>
      <c r="C116" s="14">
        <f>-data!X70</f>
        <v>0</v>
      </c>
      <c r="D116" s="14">
        <f>-data!Y70</f>
        <v>-221.4</v>
      </c>
      <c r="E116" s="14">
        <f>-data!Z70</f>
        <v>0</v>
      </c>
      <c r="F116" s="14">
        <f>-data!AA70</f>
        <v>0</v>
      </c>
      <c r="G116" s="14">
        <f>-data!AB70</f>
        <v>-4010627.3400000008</v>
      </c>
      <c r="H116" s="14">
        <f>-data!AC70</f>
        <v>-3050</v>
      </c>
      <c r="I116" s="14">
        <f>-data!AD70</f>
        <v>-10235.950000000001</v>
      </c>
    </row>
    <row r="117" spans="1:9" ht="20.100000000000001" customHeight="1" x14ac:dyDescent="0.25">
      <c r="A117" s="23">
        <v>16</v>
      </c>
      <c r="B117" s="48" t="s">
        <v>1178</v>
      </c>
      <c r="C117" s="14">
        <f>data!X71</f>
        <v>1223956.2</v>
      </c>
      <c r="D117" s="14">
        <f>data!Y71</f>
        <v>9269699.9299999978</v>
      </c>
      <c r="E117" s="14">
        <f>data!Z71</f>
        <v>1574004.2</v>
      </c>
      <c r="F117" s="14">
        <f>data!AA71</f>
        <v>1124477.3600000001</v>
      </c>
      <c r="G117" s="14">
        <f>data!AB71</f>
        <v>16104988.439999998</v>
      </c>
      <c r="H117" s="14">
        <f>data!AC71</f>
        <v>1740401.5900000003</v>
      </c>
      <c r="I117" s="14">
        <f>data!AD71</f>
        <v>4981546.8699999982</v>
      </c>
    </row>
    <row r="118" spans="1:9" ht="20.100000000000001" customHeight="1" x14ac:dyDescent="0.25">
      <c r="A118" s="23">
        <v>17</v>
      </c>
      <c r="B118" s="14" t="s">
        <v>242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1179</v>
      </c>
      <c r="C119" s="48">
        <f>+data!M689</f>
        <v>938834</v>
      </c>
      <c r="D119" s="48">
        <f>+data!M690</f>
        <v>5281426</v>
      </c>
      <c r="E119" s="48">
        <f>+data!M691</f>
        <v>1083791</v>
      </c>
      <c r="F119" s="48">
        <f>+data!M692</f>
        <v>510293</v>
      </c>
      <c r="G119" s="48">
        <f>+data!M693</f>
        <v>5785527</v>
      </c>
      <c r="H119" s="48">
        <f>+data!M694</f>
        <v>776952</v>
      </c>
      <c r="I119" s="48">
        <f>+data!M695</f>
        <v>2545831</v>
      </c>
    </row>
    <row r="120" spans="1:9" ht="20.100000000000001" customHeight="1" x14ac:dyDescent="0.25">
      <c r="A120" s="23">
        <v>19</v>
      </c>
      <c r="B120" s="48" t="s">
        <v>1180</v>
      </c>
      <c r="C120" s="14">
        <f>data!X73</f>
        <v>14721765.300000001</v>
      </c>
      <c r="D120" s="14">
        <f>data!Y73</f>
        <v>23374865.170000002</v>
      </c>
      <c r="E120" s="14">
        <f>data!Z73</f>
        <v>298327</v>
      </c>
      <c r="F120" s="14">
        <f>data!AA73</f>
        <v>538999.55000000005</v>
      </c>
      <c r="G120" s="14">
        <f>data!AB73</f>
        <v>18573752.649999999</v>
      </c>
      <c r="H120" s="14">
        <f>data!AC73</f>
        <v>11509491</v>
      </c>
      <c r="I120" s="14">
        <f>data!AD73</f>
        <v>1215134</v>
      </c>
    </row>
    <row r="121" spans="1:9" ht="20.100000000000001" customHeight="1" x14ac:dyDescent="0.25">
      <c r="A121" s="23">
        <v>20</v>
      </c>
      <c r="B121" s="48" t="s">
        <v>1181</v>
      </c>
      <c r="C121" s="14">
        <f>data!X74</f>
        <v>41179203.549999997</v>
      </c>
      <c r="D121" s="14">
        <f>data!Y74</f>
        <v>51869076.859999999</v>
      </c>
      <c r="E121" s="14">
        <f>data!Z74</f>
        <v>14183297</v>
      </c>
      <c r="F121" s="14">
        <f>data!AA74</f>
        <v>3985177.7</v>
      </c>
      <c r="G121" s="14">
        <f>data!AB74</f>
        <v>42230940.68</v>
      </c>
      <c r="H121" s="14">
        <f>data!AC74</f>
        <v>2390261</v>
      </c>
      <c r="I121" s="14">
        <f>data!AD74</f>
        <v>26868887</v>
      </c>
    </row>
    <row r="122" spans="1:9" ht="20.100000000000001" customHeight="1" x14ac:dyDescent="0.25">
      <c r="A122" s="23">
        <v>21</v>
      </c>
      <c r="B122" s="48" t="s">
        <v>1182</v>
      </c>
      <c r="C122" s="14">
        <f>data!X75</f>
        <v>55900968.849999994</v>
      </c>
      <c r="D122" s="14">
        <f>data!Y75</f>
        <v>75243942.030000001</v>
      </c>
      <c r="E122" s="14">
        <f>data!Z75</f>
        <v>14481624</v>
      </c>
      <c r="F122" s="14">
        <f>data!AA75</f>
        <v>4524177.25</v>
      </c>
      <c r="G122" s="14">
        <f>data!AB75</f>
        <v>60804693.329999998</v>
      </c>
      <c r="H122" s="14">
        <f>data!AC75</f>
        <v>13899752</v>
      </c>
      <c r="I122" s="14">
        <f>data!AD75</f>
        <v>28084021</v>
      </c>
    </row>
    <row r="123" spans="1:9" ht="20.100000000000001" customHeight="1" x14ac:dyDescent="0.25">
      <c r="A123" s="23" t="s">
        <v>1183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1184</v>
      </c>
      <c r="C124" s="14">
        <f>data!X76</f>
        <v>0</v>
      </c>
      <c r="D124" s="14">
        <f>data!Y76</f>
        <v>24986.89</v>
      </c>
      <c r="E124" s="14">
        <f>data!Z76</f>
        <v>7191</v>
      </c>
      <c r="F124" s="14">
        <f>data!AA76</f>
        <v>1891.88</v>
      </c>
      <c r="G124" s="14">
        <f>data!AB76</f>
        <v>3257.56</v>
      </c>
      <c r="H124" s="14">
        <f>data!AC76</f>
        <v>1504</v>
      </c>
      <c r="I124" s="14">
        <f>data!AD76</f>
        <v>8407.51</v>
      </c>
    </row>
    <row r="125" spans="1:9" ht="20.100000000000001" customHeight="1" x14ac:dyDescent="0.25">
      <c r="A125" s="23">
        <v>23</v>
      </c>
      <c r="B125" s="14" t="s">
        <v>1185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25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1186</v>
      </c>
      <c r="C126" s="14">
        <f>data!X78</f>
        <v>0</v>
      </c>
      <c r="D126" s="14">
        <f>data!Y78</f>
        <v>7453.4006003337572</v>
      </c>
      <c r="E126" s="14">
        <f>data!Z78</f>
        <v>2145.020997691191</v>
      </c>
      <c r="F126" s="14">
        <f>data!AA78</f>
        <v>564.33351760701021</v>
      </c>
      <c r="G126" s="14">
        <f>data!AB78</f>
        <v>971.70554877470681</v>
      </c>
      <c r="H126" s="14">
        <f>data!AC78</f>
        <v>448.63184265436678</v>
      </c>
      <c r="I126" s="14">
        <f>data!AD78</f>
        <v>2507.8967443051961</v>
      </c>
    </row>
    <row r="127" spans="1:9" ht="20.100000000000001" customHeight="1" x14ac:dyDescent="0.25">
      <c r="A127" s="23">
        <v>25</v>
      </c>
      <c r="B127" s="14" t="s">
        <v>1187</v>
      </c>
      <c r="C127" s="14">
        <f>data!X79</f>
        <v>151.05904156515379</v>
      </c>
      <c r="D127" s="14">
        <f>data!Y79</f>
        <v>16798.05201321992</v>
      </c>
      <c r="E127" s="14">
        <f>data!Z79</f>
        <v>0</v>
      </c>
      <c r="F127" s="14">
        <f>data!AA79</f>
        <v>2.8546580392081111</v>
      </c>
      <c r="G127" s="14">
        <f>data!AB79</f>
        <v>0</v>
      </c>
      <c r="H127" s="14">
        <f>data!AC79</f>
        <v>0</v>
      </c>
      <c r="I127" s="14">
        <f>data!AD79</f>
        <v>40801.823534649557</v>
      </c>
    </row>
    <row r="128" spans="1:9" ht="20.100000000000001" customHeight="1" x14ac:dyDescent="0.25">
      <c r="A128" s="23">
        <v>26</v>
      </c>
      <c r="B128" s="14" t="s">
        <v>250</v>
      </c>
      <c r="C128" s="26">
        <f>data!X80</f>
        <v>3.6258115720484749E-2</v>
      </c>
      <c r="D128" s="26">
        <f>data!Y80</f>
        <v>4.0319712574857789</v>
      </c>
      <c r="E128" s="26">
        <f>data!Z80</f>
        <v>0</v>
      </c>
      <c r="F128" s="26">
        <f>data!AA80</f>
        <v>6.8519249464042773E-4</v>
      </c>
      <c r="G128" s="26">
        <f>data!AB80</f>
        <v>0</v>
      </c>
      <c r="H128" s="26">
        <f>data!AC80</f>
        <v>0</v>
      </c>
      <c r="I128" s="26">
        <f>data!AD80</f>
        <v>9.7935034142794954</v>
      </c>
    </row>
    <row r="129" spans="1:9" ht="20.100000000000001" customHeight="1" x14ac:dyDescent="0.25">
      <c r="A129" s="4" t="s">
        <v>1171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1201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PeaceHealth St John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1173</v>
      </c>
      <c r="C134" s="18" t="s">
        <v>96</v>
      </c>
      <c r="D134" s="18" t="s">
        <v>97</v>
      </c>
      <c r="E134" s="18" t="s">
        <v>118</v>
      </c>
      <c r="F134" s="25"/>
      <c r="G134" s="18" t="s">
        <v>1202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1177</v>
      </c>
      <c r="C136" s="15" t="s">
        <v>225</v>
      </c>
      <c r="D136" s="15" t="s">
        <v>227</v>
      </c>
      <c r="E136" s="15" t="s">
        <v>227</v>
      </c>
      <c r="F136" s="15" t="s">
        <v>228</v>
      </c>
      <c r="G136" s="89" t="s">
        <v>1203</v>
      </c>
      <c r="H136" s="15" t="s">
        <v>227</v>
      </c>
      <c r="I136" s="15" t="s">
        <v>225</v>
      </c>
    </row>
    <row r="137" spans="1:9" ht="20.100000000000001" customHeight="1" x14ac:dyDescent="0.25">
      <c r="A137" s="23">
        <v>4</v>
      </c>
      <c r="B137" s="14" t="s">
        <v>231</v>
      </c>
      <c r="C137" s="14">
        <f>data!AE59</f>
        <v>23632</v>
      </c>
      <c r="D137" s="14">
        <f>data!AF59</f>
        <v>10665</v>
      </c>
      <c r="E137" s="14">
        <f>data!AG59</f>
        <v>55088</v>
      </c>
      <c r="F137" s="14">
        <f>data!AH59</f>
        <v>0</v>
      </c>
      <c r="G137" s="14">
        <f>data!AI59</f>
        <v>14438</v>
      </c>
      <c r="H137" s="14">
        <f>data!AJ59</f>
        <v>188097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232</v>
      </c>
      <c r="C138" s="26">
        <f>data!AE60</f>
        <v>10.574225591689558</v>
      </c>
      <c r="D138" s="26">
        <f>data!AF60</f>
        <v>22.805296023866759</v>
      </c>
      <c r="E138" s="26">
        <f>data!AG60</f>
        <v>84.788482078640101</v>
      </c>
      <c r="F138" s="26">
        <f>data!AH60</f>
        <v>0</v>
      </c>
      <c r="G138" s="26">
        <f>data!AI60</f>
        <v>31.448690072520609</v>
      </c>
      <c r="H138" s="26">
        <f>data!AJ60</f>
        <v>383.20972628081728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233</v>
      </c>
      <c r="C139" s="14">
        <f>data!AE61</f>
        <v>899282.04999999993</v>
      </c>
      <c r="D139" s="14">
        <f>data!AF61</f>
        <v>2844122.77</v>
      </c>
      <c r="E139" s="14">
        <f>data!AG61</f>
        <v>7521982.2299999995</v>
      </c>
      <c r="F139" s="14">
        <f>data!AH61</f>
        <v>0</v>
      </c>
      <c r="G139" s="14">
        <f>data!AI61</f>
        <v>2909465.8700000006</v>
      </c>
      <c r="H139" s="14">
        <f>data!AJ61</f>
        <v>39955063.410000004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190861</v>
      </c>
      <c r="D140" s="14">
        <f>data!AF62</f>
        <v>644450</v>
      </c>
      <c r="E140" s="14">
        <f>data!AG62</f>
        <v>1988341</v>
      </c>
      <c r="F140" s="14">
        <f>data!AH62</f>
        <v>0</v>
      </c>
      <c r="G140" s="14">
        <f>data!AI62</f>
        <v>784845</v>
      </c>
      <c r="H140" s="14">
        <f>data!AJ62</f>
        <v>8926574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234</v>
      </c>
      <c r="C141" s="14">
        <f>data!AE63</f>
        <v>0</v>
      </c>
      <c r="D141" s="14">
        <f>data!AF63</f>
        <v>0</v>
      </c>
      <c r="E141" s="14">
        <f>data!AG63</f>
        <v>152700</v>
      </c>
      <c r="F141" s="14">
        <f>data!AH63</f>
        <v>0</v>
      </c>
      <c r="G141" s="14">
        <f>data!AI63</f>
        <v>0</v>
      </c>
      <c r="H141" s="14">
        <f>data!AJ63</f>
        <v>4289266.82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235</v>
      </c>
      <c r="C142" s="14">
        <f>data!AE64</f>
        <v>10857.490000000002</v>
      </c>
      <c r="D142" s="14">
        <f>data!AF64</f>
        <v>217935.10000000003</v>
      </c>
      <c r="E142" s="14">
        <f>data!AG64</f>
        <v>847935.43</v>
      </c>
      <c r="F142" s="14">
        <f>data!AH64</f>
        <v>0</v>
      </c>
      <c r="G142" s="14">
        <f>data!AI64</f>
        <v>1379348.9599999995</v>
      </c>
      <c r="H142" s="14">
        <f>data!AJ64</f>
        <v>2560062.4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442</v>
      </c>
      <c r="C143" s="14">
        <f>data!AE65</f>
        <v>0</v>
      </c>
      <c r="D143" s="14">
        <f>data!AF65</f>
        <v>0</v>
      </c>
      <c r="E143" s="14">
        <f>data!AG65</f>
        <v>1200</v>
      </c>
      <c r="F143" s="14">
        <f>data!AH65</f>
        <v>0</v>
      </c>
      <c r="G143" s="14">
        <f>data!AI65</f>
        <v>0</v>
      </c>
      <c r="H143" s="14">
        <f>data!AJ65</f>
        <v>14760.939999999999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443</v>
      </c>
      <c r="C144" s="14">
        <f>data!AE66</f>
        <v>0</v>
      </c>
      <c r="D144" s="14">
        <f>data!AF66</f>
        <v>2712.0499999999993</v>
      </c>
      <c r="E144" s="14">
        <f>data!AG66</f>
        <v>194310.38</v>
      </c>
      <c r="F144" s="14">
        <f>data!AH66</f>
        <v>0</v>
      </c>
      <c r="G144" s="14">
        <f>data!AI66</f>
        <v>28383.279999999999</v>
      </c>
      <c r="H144" s="14">
        <f>data!AJ66</f>
        <v>-2226721.2700000009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79600</v>
      </c>
      <c r="D145" s="14">
        <f>data!AF67</f>
        <v>160089</v>
      </c>
      <c r="E145" s="14">
        <f>data!AG67</f>
        <v>314068</v>
      </c>
      <c r="F145" s="14">
        <f>data!AH67</f>
        <v>0</v>
      </c>
      <c r="G145" s="14">
        <f>data!AI67</f>
        <v>298830</v>
      </c>
      <c r="H145" s="14">
        <f>data!AJ67</f>
        <v>941459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472</v>
      </c>
      <c r="C146" s="14">
        <f>data!AE68</f>
        <v>0</v>
      </c>
      <c r="D146" s="14">
        <f>data!AF68</f>
        <v>0</v>
      </c>
      <c r="E146" s="14">
        <f>data!AG68</f>
        <v>17360.900000000001</v>
      </c>
      <c r="F146" s="14">
        <f>data!AH68</f>
        <v>0</v>
      </c>
      <c r="G146" s="14">
        <f>data!AI68</f>
        <v>7090.9199999999992</v>
      </c>
      <c r="H146" s="14">
        <f>data!AJ68</f>
        <v>262840.59999999998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239</v>
      </c>
      <c r="C147" s="14">
        <f>data!AE69</f>
        <v>5243.17</v>
      </c>
      <c r="D147" s="14">
        <f>data!AF69</f>
        <v>46067.47</v>
      </c>
      <c r="E147" s="14">
        <f>data!AG69</f>
        <v>49717.46</v>
      </c>
      <c r="F147" s="14">
        <f>data!AH69</f>
        <v>0</v>
      </c>
      <c r="G147" s="14">
        <f>data!AI69</f>
        <v>18795.390000000003</v>
      </c>
      <c r="H147" s="14">
        <f>data!AJ69</f>
        <v>374001.69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240</v>
      </c>
      <c r="C148" s="14">
        <f>-data!AE70</f>
        <v>0</v>
      </c>
      <c r="D148" s="14">
        <f>-data!AF70</f>
        <v>-30346.33</v>
      </c>
      <c r="E148" s="14">
        <f>-data!AG70</f>
        <v>-36676</v>
      </c>
      <c r="F148" s="14">
        <f>-data!AH70</f>
        <v>0</v>
      </c>
      <c r="G148" s="14">
        <f>-data!AI70</f>
        <v>-3633.77</v>
      </c>
      <c r="H148" s="14">
        <f>-data!AJ70</f>
        <v>2112398.4100000011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1178</v>
      </c>
      <c r="C149" s="14">
        <f>data!AE71</f>
        <v>1185843.7099999997</v>
      </c>
      <c r="D149" s="14">
        <f>data!AF71</f>
        <v>3885030.06</v>
      </c>
      <c r="E149" s="14">
        <f>data!AG71</f>
        <v>11050939.400000002</v>
      </c>
      <c r="F149" s="14">
        <f>data!AH71</f>
        <v>0</v>
      </c>
      <c r="G149" s="14">
        <f>data!AI71</f>
        <v>5423125.6500000004</v>
      </c>
      <c r="H149" s="14">
        <f>data!AJ71</f>
        <v>57209706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242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1179</v>
      </c>
      <c r="C151" s="48">
        <f>+data!M696</f>
        <v>976112</v>
      </c>
      <c r="D151" s="48">
        <f>+data!M697</f>
        <v>2515806</v>
      </c>
      <c r="E151" s="48">
        <f>+data!M698</f>
        <v>7087045</v>
      </c>
      <c r="F151" s="48">
        <f>+data!M699</f>
        <v>0</v>
      </c>
      <c r="G151" s="48">
        <f>+data!M700</f>
        <v>3786314</v>
      </c>
      <c r="H151" s="48">
        <f>+data!M701</f>
        <v>24999092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1180</v>
      </c>
      <c r="C152" s="14">
        <f>data!AE73</f>
        <v>3959004.94</v>
      </c>
      <c r="D152" s="14">
        <f>data!AF73</f>
        <v>0</v>
      </c>
      <c r="E152" s="14">
        <f>data!AG73</f>
        <v>25897327.060000002</v>
      </c>
      <c r="F152" s="14">
        <f>data!AH73</f>
        <v>0</v>
      </c>
      <c r="G152" s="14">
        <f>data!AI73</f>
        <v>868887</v>
      </c>
      <c r="H152" s="14">
        <f>data!AJ73</f>
        <v>67812.41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1181</v>
      </c>
      <c r="C153" s="14">
        <f>data!AE74</f>
        <v>853645.10000000009</v>
      </c>
      <c r="D153" s="14">
        <f>data!AF74</f>
        <v>4426065.04</v>
      </c>
      <c r="E153" s="14">
        <f>data!AG74</f>
        <v>120090182.15000001</v>
      </c>
      <c r="F153" s="14">
        <f>data!AH74</f>
        <v>0</v>
      </c>
      <c r="G153" s="14">
        <f>data!AI74</f>
        <v>25246401.82</v>
      </c>
      <c r="H153" s="14">
        <f>data!AJ74</f>
        <v>81926200.75999999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1182</v>
      </c>
      <c r="C154" s="14">
        <f>data!AE75</f>
        <v>4812650.04</v>
      </c>
      <c r="D154" s="14">
        <f>data!AF75</f>
        <v>4426065.04</v>
      </c>
      <c r="E154" s="14">
        <f>data!AG75</f>
        <v>145987509.21000001</v>
      </c>
      <c r="F154" s="14">
        <f>data!AH75</f>
        <v>0</v>
      </c>
      <c r="G154" s="14">
        <f>data!AI75</f>
        <v>26115288.82</v>
      </c>
      <c r="H154" s="14">
        <f>data!AJ75</f>
        <v>81994013.169999987</v>
      </c>
      <c r="I154" s="14">
        <f>data!AK75</f>
        <v>0</v>
      </c>
    </row>
    <row r="155" spans="1:9" ht="20.100000000000001" customHeight="1" x14ac:dyDescent="0.25">
      <c r="A155" s="23" t="s">
        <v>1183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1184</v>
      </c>
      <c r="C156" s="14">
        <f>data!AE76</f>
        <v>8761.7099999999991</v>
      </c>
      <c r="D156" s="14">
        <f>data!AF76</f>
        <v>19372.75</v>
      </c>
      <c r="E156" s="14">
        <f>data!AG76</f>
        <v>20927.63</v>
      </c>
      <c r="F156" s="14">
        <f>data!AH76</f>
        <v>0</v>
      </c>
      <c r="G156" s="14">
        <f>data!AI76</f>
        <v>23173.17</v>
      </c>
      <c r="H156" s="14">
        <f>data!AJ76</f>
        <v>93341.22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1185</v>
      </c>
      <c r="C157" s="14">
        <f>data!AE77</f>
        <v>5</v>
      </c>
      <c r="D157" s="14">
        <f>data!AF77</f>
        <v>0</v>
      </c>
      <c r="E157" s="14">
        <f>data!AG77</f>
        <v>3509</v>
      </c>
      <c r="F157" s="14">
        <f>data!AH77</f>
        <v>0</v>
      </c>
      <c r="G157" s="14">
        <f>data!AI77</f>
        <v>2380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1186</v>
      </c>
      <c r="C158" s="14">
        <f>data!AE78</f>
        <v>2613.551929589888</v>
      </c>
      <c r="D158" s="14">
        <f>data!AF78</f>
        <v>5778.7450330999891</v>
      </c>
      <c r="E158" s="14">
        <f>data!AG78</f>
        <v>6242.5539955377699</v>
      </c>
      <c r="F158" s="14">
        <f>data!AH78</f>
        <v>0</v>
      </c>
      <c r="G158" s="14">
        <f>data!AI78</f>
        <v>6912.3816205072408</v>
      </c>
      <c r="H158" s="14">
        <f>data!AJ78</f>
        <v>27842.981066626751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1187</v>
      </c>
      <c r="C159" s="14">
        <f>data!AE79</f>
        <v>0</v>
      </c>
      <c r="D159" s="14">
        <f>data!AF79</f>
        <v>9471.4071141473469</v>
      </c>
      <c r="E159" s="14">
        <f>data!AG79</f>
        <v>177785.73026889702</v>
      </c>
      <c r="F159" s="14">
        <f>data!AH79</f>
        <v>0</v>
      </c>
      <c r="G159" s="14">
        <f>data!AI79</f>
        <v>70777.330758386233</v>
      </c>
      <c r="H159" s="14">
        <f>data!AJ79</f>
        <v>134678.4091102106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250</v>
      </c>
      <c r="C160" s="26">
        <f>data!AE80</f>
        <v>0</v>
      </c>
      <c r="D160" s="26">
        <f>data!AF80</f>
        <v>2.2733851057333587</v>
      </c>
      <c r="E160" s="26">
        <f>data!AG80</f>
        <v>42.673219125120916</v>
      </c>
      <c r="F160" s="26">
        <f>data!AH80</f>
        <v>0</v>
      </c>
      <c r="G160" s="26">
        <f>data!AI80</f>
        <v>16.988408124632073</v>
      </c>
      <c r="H160" s="26">
        <f>data!AJ80</f>
        <v>32.326336060212725</v>
      </c>
      <c r="I160" s="26">
        <f>data!AK80</f>
        <v>0</v>
      </c>
    </row>
    <row r="161" spans="1:9" ht="20.100000000000001" customHeight="1" x14ac:dyDescent="0.25">
      <c r="A161" s="4" t="s">
        <v>1171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1204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PeaceHealth St John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1173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1205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1206</v>
      </c>
      <c r="F167" s="18" t="s">
        <v>182</v>
      </c>
      <c r="G167" s="18" t="s">
        <v>121</v>
      </c>
      <c r="H167" s="88" t="s">
        <v>1207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1177</v>
      </c>
      <c r="C168" s="15" t="s">
        <v>225</v>
      </c>
      <c r="D168" s="15" t="s">
        <v>225</v>
      </c>
      <c r="E168" s="15" t="s">
        <v>217</v>
      </c>
      <c r="F168" s="15" t="s">
        <v>226</v>
      </c>
      <c r="G168" s="15" t="s">
        <v>227</v>
      </c>
      <c r="H168" s="15" t="s">
        <v>228</v>
      </c>
      <c r="I168" s="15" t="s">
        <v>227</v>
      </c>
    </row>
    <row r="169" spans="1:9" ht="20.100000000000001" customHeight="1" x14ac:dyDescent="0.25">
      <c r="A169" s="23">
        <v>4</v>
      </c>
      <c r="B169" s="14" t="s">
        <v>231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232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233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234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235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442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443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472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239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240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1178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242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1179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1180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1181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1182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1183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1184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1185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1186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1187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250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1171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1208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PeaceHealth St John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1173</v>
      </c>
      <c r="C198" s="25"/>
      <c r="D198" s="18" t="s">
        <v>130</v>
      </c>
      <c r="E198" s="18" t="s">
        <v>131</v>
      </c>
      <c r="F198" s="18" t="s">
        <v>132</v>
      </c>
      <c r="G198" s="18" t="s">
        <v>1209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1210</v>
      </c>
      <c r="E199" s="18" t="s">
        <v>1211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1177</v>
      </c>
      <c r="C200" s="15" t="s">
        <v>225</v>
      </c>
      <c r="D200" s="15" t="s">
        <v>1210</v>
      </c>
      <c r="E200" s="15" t="s">
        <v>227</v>
      </c>
      <c r="F200" s="212"/>
      <c r="G200" s="212"/>
      <c r="H200" s="212"/>
      <c r="I200" s="15" t="s">
        <v>229</v>
      </c>
    </row>
    <row r="201" spans="1:9" ht="20.100000000000001" customHeight="1" x14ac:dyDescent="0.25">
      <c r="A201" s="23">
        <v>4</v>
      </c>
      <c r="B201" s="14" t="s">
        <v>231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99270</v>
      </c>
    </row>
    <row r="202" spans="1:9" ht="20.100000000000001" customHeight="1" x14ac:dyDescent="0.25">
      <c r="A202" s="23">
        <v>5</v>
      </c>
      <c r="B202" s="14" t="s">
        <v>232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20.576001446929951</v>
      </c>
    </row>
    <row r="203" spans="1:9" ht="20.100000000000001" customHeight="1" x14ac:dyDescent="0.25">
      <c r="A203" s="23">
        <v>6</v>
      </c>
      <c r="B203" s="14" t="s">
        <v>233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991820.00999999978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317883</v>
      </c>
    </row>
    <row r="205" spans="1:9" ht="20.100000000000001" customHeight="1" x14ac:dyDescent="0.25">
      <c r="A205" s="23">
        <v>8</v>
      </c>
      <c r="B205" s="14" t="s">
        <v>234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235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237678.93</v>
      </c>
    </row>
    <row r="207" spans="1:9" ht="20.100000000000001" customHeight="1" x14ac:dyDescent="0.25">
      <c r="A207" s="23">
        <v>10</v>
      </c>
      <c r="B207" s="14" t="s">
        <v>442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1200</v>
      </c>
    </row>
    <row r="208" spans="1:9" ht="20.100000000000001" customHeight="1" x14ac:dyDescent="0.25">
      <c r="A208" s="23">
        <v>11</v>
      </c>
      <c r="B208" s="14" t="s">
        <v>443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2629.05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117803</v>
      </c>
    </row>
    <row r="210" spans="1:9" ht="20.100000000000001" customHeight="1" x14ac:dyDescent="0.25">
      <c r="A210" s="23">
        <v>13</v>
      </c>
      <c r="B210" s="14" t="s">
        <v>472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239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-1704.98</v>
      </c>
    </row>
    <row r="212" spans="1:9" ht="20.100000000000001" customHeight="1" x14ac:dyDescent="0.25">
      <c r="A212" s="23">
        <v>15</v>
      </c>
      <c r="B212" s="14" t="s">
        <v>240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-2904</v>
      </c>
    </row>
    <row r="213" spans="1:9" ht="20.100000000000001" customHeight="1" x14ac:dyDescent="0.25">
      <c r="A213" s="23">
        <v>16</v>
      </c>
      <c r="B213" s="48" t="s">
        <v>1178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1664405.0099999998</v>
      </c>
    </row>
    <row r="214" spans="1:9" ht="20.100000000000001" customHeight="1" x14ac:dyDescent="0.25">
      <c r="A214" s="23">
        <v>17</v>
      </c>
      <c r="B214" s="14" t="s">
        <v>242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1179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1180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1181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1182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1183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1184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12127.54</v>
      </c>
    </row>
    <row r="221" spans="1:9" ht="20.100000000000001" customHeight="1" x14ac:dyDescent="0.25">
      <c r="A221" s="23">
        <v>23</v>
      </c>
      <c r="B221" s="14" t="s">
        <v>1185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1186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1187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250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1171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1212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PeaceHealth St John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1173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1213</v>
      </c>
      <c r="F231" s="18" t="s">
        <v>1214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1177</v>
      </c>
      <c r="C232" s="15" t="s">
        <v>1215</v>
      </c>
      <c r="D232" s="15" t="s">
        <v>1216</v>
      </c>
      <c r="E232" s="212"/>
      <c r="F232" s="212"/>
      <c r="G232" s="212"/>
      <c r="H232" s="15" t="s">
        <v>230</v>
      </c>
      <c r="I232" s="212"/>
    </row>
    <row r="233" spans="1:9" ht="20.100000000000001" customHeight="1" x14ac:dyDescent="0.25">
      <c r="A233" s="23">
        <v>4</v>
      </c>
      <c r="B233" s="14" t="s">
        <v>231</v>
      </c>
      <c r="C233" s="14">
        <f>data!AZ59</f>
        <v>318309</v>
      </c>
      <c r="D233" s="14">
        <f>data!BA59</f>
        <v>0</v>
      </c>
      <c r="E233" s="212"/>
      <c r="F233" s="212"/>
      <c r="G233" s="212"/>
      <c r="H233" s="14">
        <f>data!BE59</f>
        <v>809833</v>
      </c>
      <c r="I233" s="212"/>
    </row>
    <row r="234" spans="1:9" ht="20.100000000000001" customHeight="1" x14ac:dyDescent="0.25">
      <c r="A234" s="23">
        <v>5</v>
      </c>
      <c r="B234" s="14" t="s">
        <v>232</v>
      </c>
      <c r="C234" s="26">
        <f>data!AZ60</f>
        <v>11.731834572589291</v>
      </c>
      <c r="D234" s="26">
        <f>data!BA60</f>
        <v>1.0989076923076921E-2</v>
      </c>
      <c r="E234" s="26">
        <f>data!BB60</f>
        <v>18.159045760473894</v>
      </c>
      <c r="F234" s="26">
        <f>data!BC60</f>
        <v>5.4616922594436801</v>
      </c>
      <c r="G234" s="26">
        <f>data!BD60</f>
        <v>0</v>
      </c>
      <c r="H234" s="26">
        <f>data!BE60</f>
        <v>34.807013892967021</v>
      </c>
      <c r="I234" s="26">
        <f>data!BF60</f>
        <v>52.79108913100962</v>
      </c>
    </row>
    <row r="235" spans="1:9" ht="20.100000000000001" customHeight="1" x14ac:dyDescent="0.25">
      <c r="A235" s="23">
        <v>6</v>
      </c>
      <c r="B235" s="14" t="s">
        <v>233</v>
      </c>
      <c r="C235" s="14">
        <f>data!AZ61</f>
        <v>445165.38999999996</v>
      </c>
      <c r="D235" s="14">
        <f>data!BA61</f>
        <v>0</v>
      </c>
      <c r="E235" s="14">
        <f>data!BB61</f>
        <v>1842602.7700000003</v>
      </c>
      <c r="F235" s="14">
        <f>data!BC61</f>
        <v>227723.42999999996</v>
      </c>
      <c r="G235" s="14">
        <f>data!BD61</f>
        <v>0</v>
      </c>
      <c r="H235" s="14">
        <f>data!BE61</f>
        <v>2456821.9200000009</v>
      </c>
      <c r="I235" s="14">
        <f>data!BF61</f>
        <v>2299535.0500000003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153076</v>
      </c>
      <c r="D236" s="14">
        <f>data!BA62</f>
        <v>0</v>
      </c>
      <c r="E236" s="14">
        <f>data!BB62</f>
        <v>470667</v>
      </c>
      <c r="F236" s="14">
        <f>data!BC62</f>
        <v>98385</v>
      </c>
      <c r="G236" s="14">
        <f>data!BD62</f>
        <v>0</v>
      </c>
      <c r="H236" s="14">
        <f>data!BE62</f>
        <v>806686</v>
      </c>
      <c r="I236" s="14">
        <f>data!BF62</f>
        <v>876062</v>
      </c>
    </row>
    <row r="237" spans="1:9" ht="20.100000000000001" customHeight="1" x14ac:dyDescent="0.25">
      <c r="A237" s="23">
        <v>8</v>
      </c>
      <c r="B237" s="14" t="s">
        <v>234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235</v>
      </c>
      <c r="C238" s="14">
        <f>data!AZ64</f>
        <v>449880.24</v>
      </c>
      <c r="D238" s="14">
        <f>data!BA64</f>
        <v>0</v>
      </c>
      <c r="E238" s="14">
        <f>data!BB64</f>
        <v>1776.53</v>
      </c>
      <c r="F238" s="14">
        <f>data!BC64</f>
        <v>4984.9799999999996</v>
      </c>
      <c r="G238" s="14">
        <f>data!BD64</f>
        <v>0</v>
      </c>
      <c r="H238" s="14">
        <f>data!BE64</f>
        <v>91020.23000000001</v>
      </c>
      <c r="I238" s="14">
        <f>data!BF64</f>
        <v>419206.36999999994</v>
      </c>
    </row>
    <row r="239" spans="1:9" ht="20.100000000000001" customHeight="1" x14ac:dyDescent="0.25">
      <c r="A239" s="23">
        <v>10</v>
      </c>
      <c r="B239" s="14" t="s">
        <v>442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2677790.17</v>
      </c>
      <c r="I239" s="14">
        <f>data!BF65</f>
        <v>5577.27</v>
      </c>
    </row>
    <row r="240" spans="1:9" ht="20.100000000000001" customHeight="1" x14ac:dyDescent="0.25">
      <c r="A240" s="23">
        <v>11</v>
      </c>
      <c r="B240" s="14" t="s">
        <v>443</v>
      </c>
      <c r="C240" s="14">
        <f>data!AZ66</f>
        <v>0</v>
      </c>
      <c r="D240" s="14">
        <f>data!BA66</f>
        <v>0</v>
      </c>
      <c r="E240" s="14">
        <f>data!BB66</f>
        <v>543.61</v>
      </c>
      <c r="F240" s="14">
        <f>data!BC66</f>
        <v>1633.2</v>
      </c>
      <c r="G240" s="14">
        <f>data!BD66</f>
        <v>0</v>
      </c>
      <c r="H240" s="14">
        <f>data!BE66</f>
        <v>4442249.79</v>
      </c>
      <c r="I240" s="14">
        <f>data!BF66</f>
        <v>460919.60000000003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9960</v>
      </c>
      <c r="D241" s="14">
        <f>data!BA67</f>
        <v>9147</v>
      </c>
      <c r="E241" s="14">
        <f>data!BB67</f>
        <v>31677</v>
      </c>
      <c r="F241" s="14">
        <f>data!BC67</f>
        <v>0</v>
      </c>
      <c r="G241" s="14">
        <f>data!BD67</f>
        <v>30154</v>
      </c>
      <c r="H241" s="14">
        <f>data!BE67</f>
        <v>2572474</v>
      </c>
      <c r="I241" s="14">
        <f>data!BF67</f>
        <v>29130</v>
      </c>
    </row>
    <row r="242" spans="1:9" ht="20.100000000000001" customHeight="1" x14ac:dyDescent="0.25">
      <c r="A242" s="23">
        <v>13</v>
      </c>
      <c r="B242" s="14" t="s">
        <v>472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14567.95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239</v>
      </c>
      <c r="C243" s="14">
        <f>data!AZ69</f>
        <v>1503.27</v>
      </c>
      <c r="D243" s="14">
        <f>data!BA69</f>
        <v>0</v>
      </c>
      <c r="E243" s="14">
        <f>data!BB69</f>
        <v>144281.64000000001</v>
      </c>
      <c r="F243" s="14">
        <f>data!BC69</f>
        <v>0</v>
      </c>
      <c r="G243" s="14">
        <f>data!BD69</f>
        <v>0</v>
      </c>
      <c r="H243" s="14">
        <f>data!BE69</f>
        <v>419034.93999999989</v>
      </c>
      <c r="I243" s="14">
        <f>data!BF69</f>
        <v>593.42999999999995</v>
      </c>
    </row>
    <row r="244" spans="1:9" ht="20.100000000000001" customHeight="1" x14ac:dyDescent="0.25">
      <c r="A244" s="23">
        <v>15</v>
      </c>
      <c r="B244" s="14" t="s">
        <v>240</v>
      </c>
      <c r="C244" s="14">
        <f>-data!AZ70</f>
        <v>-915843.05999999994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-9063.15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1178</v>
      </c>
      <c r="C245" s="14">
        <f>data!AZ71</f>
        <v>143741.83999999997</v>
      </c>
      <c r="D245" s="14">
        <f>data!BA71</f>
        <v>9147</v>
      </c>
      <c r="E245" s="14">
        <f>data!BB71</f>
        <v>2491548.5500000003</v>
      </c>
      <c r="F245" s="14">
        <f>data!BC71</f>
        <v>332726.60999999993</v>
      </c>
      <c r="G245" s="14">
        <f>data!BD71</f>
        <v>30154</v>
      </c>
      <c r="H245" s="14">
        <f>data!BE71</f>
        <v>13471581.849999998</v>
      </c>
      <c r="I245" s="14">
        <f>data!BF71</f>
        <v>4091023.7200000007</v>
      </c>
    </row>
    <row r="246" spans="1:9" ht="20.100000000000001" customHeight="1" x14ac:dyDescent="0.25">
      <c r="A246" s="23">
        <v>17</v>
      </c>
      <c r="B246" s="14" t="s">
        <v>242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1179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1180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1181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1182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1183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1184</v>
      </c>
      <c r="C252" s="85">
        <f>data!AZ76</f>
        <v>0</v>
      </c>
      <c r="D252" s="85">
        <f>data!BA76</f>
        <v>1107.6300000000001</v>
      </c>
      <c r="E252" s="85">
        <f>data!BB76</f>
        <v>3835.92</v>
      </c>
      <c r="F252" s="85">
        <f>data!BC76</f>
        <v>0</v>
      </c>
      <c r="G252" s="85">
        <f>data!BD76</f>
        <v>3651.48</v>
      </c>
      <c r="H252" s="85">
        <f>data!BE76</f>
        <v>291750.58000000013</v>
      </c>
      <c r="I252" s="85">
        <f>data!BF76</f>
        <v>2996.91</v>
      </c>
    </row>
    <row r="253" spans="1:9" ht="20.100000000000001" customHeight="1" x14ac:dyDescent="0.25">
      <c r="A253" s="23">
        <v>23</v>
      </c>
      <c r="B253" s="14" t="s">
        <v>1185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1186</v>
      </c>
      <c r="C254" s="213" t="str">
        <f>IF(data!AZ78&gt;0,data!AZ78,"")</f>
        <v>x</v>
      </c>
      <c r="D254" s="85">
        <f>data!BA78</f>
        <v>330.39766481333533</v>
      </c>
      <c r="E254" s="85">
        <f>data!BB78</f>
        <v>1144.225969331608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1187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250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1171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1217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PeaceHealth St John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1173</v>
      </c>
      <c r="C262" s="18" t="s">
        <v>1218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1219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1220</v>
      </c>
    </row>
    <row r="264" spans="1:9" ht="20.100000000000001" customHeight="1" x14ac:dyDescent="0.25">
      <c r="A264" s="23">
        <v>3</v>
      </c>
      <c r="B264" s="14" t="s">
        <v>1177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231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232</v>
      </c>
      <c r="C266" s="26">
        <f>data!BG60</f>
        <v>12.125573337568678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233</v>
      </c>
      <c r="C267" s="14">
        <f>data!BG61</f>
        <v>495702.03000000009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187086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234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235</v>
      </c>
      <c r="C270" s="14">
        <f>data!BG64</f>
        <v>3580.6299999999997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442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443</v>
      </c>
      <c r="C272" s="14">
        <f>data!BG66</f>
        <v>21675.020000000004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178872.16999999998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15770</v>
      </c>
      <c r="D273" s="14">
        <f>data!BH67</f>
        <v>28415</v>
      </c>
      <c r="E273" s="14">
        <f>data!BI67</f>
        <v>0</v>
      </c>
      <c r="F273" s="14">
        <f>data!BJ67</f>
        <v>0</v>
      </c>
      <c r="G273" s="14">
        <f>data!BK67</f>
        <v>23855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472</v>
      </c>
      <c r="C274" s="14">
        <f>data!BG68</f>
        <v>1455.4900000000002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239</v>
      </c>
      <c r="C275" s="14">
        <f>data!BG69</f>
        <v>41243.730000000003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240</v>
      </c>
      <c r="C276" s="14">
        <f>-data!BG70</f>
        <v>-1080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1178</v>
      </c>
      <c r="C277" s="14">
        <f>data!BG71</f>
        <v>765432.9</v>
      </c>
      <c r="D277" s="14">
        <f>data!BH71</f>
        <v>28415</v>
      </c>
      <c r="E277" s="14">
        <f>data!BI71</f>
        <v>0</v>
      </c>
      <c r="F277" s="14">
        <f>data!BJ71</f>
        <v>0</v>
      </c>
      <c r="G277" s="14">
        <f>data!BK71</f>
        <v>202727.16999999998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242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1179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1180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1181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1182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1183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1184</v>
      </c>
      <c r="C284" s="85">
        <f>data!BG76</f>
        <v>1625.72</v>
      </c>
      <c r="D284" s="85">
        <f>data!BH76</f>
        <v>3440.8900000000003</v>
      </c>
      <c r="E284" s="85">
        <f>data!BI76</f>
        <v>0</v>
      </c>
      <c r="F284" s="85">
        <f>data!BJ76</f>
        <v>0</v>
      </c>
      <c r="G284" s="85">
        <f>data!BK76</f>
        <v>2888.69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1185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1186</v>
      </c>
      <c r="C286" s="213" t="str">
        <f>IF(data!BG78&gt;0,data!BG78,"")</f>
        <v>x</v>
      </c>
      <c r="D286" s="85">
        <f>data!BH78</f>
        <v>1026.3915033716651</v>
      </c>
      <c r="E286" s="85">
        <f>data!BI78</f>
        <v>0</v>
      </c>
      <c r="F286" s="213" t="str">
        <f>IF(data!BJ78&gt;0,data!BJ78,"")</f>
        <v>x</v>
      </c>
      <c r="G286" s="85">
        <f>data!BK78</f>
        <v>861.67441326944333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1187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250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1171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1221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PeaceHealth St John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1173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1222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1177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231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232</v>
      </c>
      <c r="C298" s="26">
        <f>data!BN60</f>
        <v>10.788236833962911</v>
      </c>
      <c r="D298" s="26">
        <f>data!BO60</f>
        <v>3.4711630799244495</v>
      </c>
      <c r="E298" s="26">
        <f>data!BP60</f>
        <v>0</v>
      </c>
      <c r="F298" s="26">
        <f>data!BQ60</f>
        <v>0</v>
      </c>
      <c r="G298" s="26">
        <f>data!BR60</f>
        <v>1.0757295324519232</v>
      </c>
      <c r="H298" s="26">
        <f>data!BS60</f>
        <v>6.9414052036401088</v>
      </c>
      <c r="I298" s="26">
        <f>data!BT60</f>
        <v>5.1294505041208769</v>
      </c>
    </row>
    <row r="299" spans="1:9" ht="20.100000000000001" customHeight="1" x14ac:dyDescent="0.25">
      <c r="A299" s="23">
        <v>6</v>
      </c>
      <c r="B299" s="14" t="s">
        <v>233</v>
      </c>
      <c r="C299" s="14">
        <f>data!BN61</f>
        <v>2567302.6900000004</v>
      </c>
      <c r="D299" s="14">
        <f>data!BO61</f>
        <v>322336.50999999989</v>
      </c>
      <c r="E299" s="14">
        <f>data!BP61</f>
        <v>0</v>
      </c>
      <c r="F299" s="14">
        <f>data!BQ61</f>
        <v>0</v>
      </c>
      <c r="G299" s="14">
        <f>data!BR61</f>
        <v>76509.619999999981</v>
      </c>
      <c r="H299" s="14">
        <f>data!BS61</f>
        <v>336230.50000000006</v>
      </c>
      <c r="I299" s="14">
        <f>data!BT61</f>
        <v>458067.90999999986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457780</v>
      </c>
      <c r="D300" s="14">
        <f>data!BO62</f>
        <v>81343</v>
      </c>
      <c r="E300" s="14">
        <f>data!BP62</f>
        <v>0</v>
      </c>
      <c r="F300" s="14">
        <f>data!BQ62</f>
        <v>0</v>
      </c>
      <c r="G300" s="14">
        <f>data!BR62</f>
        <v>17985</v>
      </c>
      <c r="H300" s="14">
        <f>data!BS62</f>
        <v>146931</v>
      </c>
      <c r="I300" s="14">
        <f>data!BT62</f>
        <v>118487</v>
      </c>
    </row>
    <row r="301" spans="1:9" ht="20.100000000000001" customHeight="1" x14ac:dyDescent="0.25">
      <c r="A301" s="23">
        <v>8</v>
      </c>
      <c r="B301" s="14" t="s">
        <v>234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235</v>
      </c>
      <c r="C302" s="14">
        <f>data!BN64</f>
        <v>26833.309999999998</v>
      </c>
      <c r="D302" s="14">
        <f>data!BO64</f>
        <v>39740.639999999999</v>
      </c>
      <c r="E302" s="14">
        <f>data!BP64</f>
        <v>0</v>
      </c>
      <c r="F302" s="14">
        <f>data!BQ64</f>
        <v>0</v>
      </c>
      <c r="G302" s="14">
        <f>data!BR64</f>
        <v>14292.330000000004</v>
      </c>
      <c r="H302" s="14">
        <f>data!BS64</f>
        <v>38816.51</v>
      </c>
      <c r="I302" s="14">
        <f>data!BT64</f>
        <v>1231.1600000000001</v>
      </c>
    </row>
    <row r="303" spans="1:9" ht="20.100000000000001" customHeight="1" x14ac:dyDescent="0.25">
      <c r="A303" s="23">
        <v>10</v>
      </c>
      <c r="B303" s="14" t="s">
        <v>442</v>
      </c>
      <c r="C303" s="14">
        <f>data!BN65</f>
        <v>6300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400</v>
      </c>
      <c r="I303" s="14">
        <f>data!BT65</f>
        <v>600</v>
      </c>
    </row>
    <row r="304" spans="1:9" ht="20.100000000000001" customHeight="1" x14ac:dyDescent="0.25">
      <c r="A304" s="23">
        <v>11</v>
      </c>
      <c r="B304" s="14" t="s">
        <v>443</v>
      </c>
      <c r="C304" s="14">
        <f>data!BN66</f>
        <v>27050249.899999995</v>
      </c>
      <c r="D304" s="14">
        <f>data!BO66</f>
        <v>8549.81</v>
      </c>
      <c r="E304" s="14">
        <f>data!BP66</f>
        <v>0</v>
      </c>
      <c r="F304" s="14">
        <f>data!BQ66</f>
        <v>0</v>
      </c>
      <c r="G304" s="14">
        <f>data!BR66</f>
        <v>466.79</v>
      </c>
      <c r="H304" s="14">
        <f>data!BS66</f>
        <v>3871.08</v>
      </c>
      <c r="I304" s="14">
        <f>data!BT66</f>
        <v>4800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6418031</v>
      </c>
      <c r="D305" s="14">
        <f>data!BO67</f>
        <v>38813</v>
      </c>
      <c r="E305" s="14">
        <f>data!BP67</f>
        <v>0</v>
      </c>
      <c r="F305" s="14">
        <f>data!BQ67</f>
        <v>0</v>
      </c>
      <c r="G305" s="14">
        <f>data!BR67</f>
        <v>36206</v>
      </c>
      <c r="H305" s="14">
        <f>data!BS67</f>
        <v>15571</v>
      </c>
      <c r="I305" s="14">
        <f>data!BT67</f>
        <v>19002</v>
      </c>
    </row>
    <row r="306" spans="1:9" ht="20.100000000000001" customHeight="1" x14ac:dyDescent="0.25">
      <c r="A306" s="23">
        <v>13</v>
      </c>
      <c r="B306" s="14" t="s">
        <v>472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239</v>
      </c>
      <c r="C307" s="14">
        <f>data!BN69</f>
        <v>1869465.1500000004</v>
      </c>
      <c r="D307" s="14">
        <f>data!BO69</f>
        <v>11.66</v>
      </c>
      <c r="E307" s="14">
        <f>data!BP69</f>
        <v>0</v>
      </c>
      <c r="F307" s="14">
        <f>data!BQ69</f>
        <v>0</v>
      </c>
      <c r="G307" s="14">
        <f>data!BR69</f>
        <v>9.1199999999999992</v>
      </c>
      <c r="H307" s="14">
        <f>data!BS69</f>
        <v>6732.8099999999995</v>
      </c>
      <c r="I307" s="14">
        <f>data!BT69</f>
        <v>11637.289999999999</v>
      </c>
    </row>
    <row r="308" spans="1:9" ht="20.100000000000001" customHeight="1" x14ac:dyDescent="0.25">
      <c r="A308" s="23">
        <v>15</v>
      </c>
      <c r="B308" s="14" t="s">
        <v>240</v>
      </c>
      <c r="C308" s="14">
        <f>-data!BN70</f>
        <v>-17804.8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-7686.63</v>
      </c>
      <c r="H308" s="14">
        <f>-data!BS70</f>
        <v>-153751.27999999997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1178</v>
      </c>
      <c r="C309" s="14">
        <f>data!BN71</f>
        <v>38378157.249999993</v>
      </c>
      <c r="D309" s="14">
        <f>data!BO71</f>
        <v>490794.61999999988</v>
      </c>
      <c r="E309" s="14">
        <f>data!BP71</f>
        <v>0</v>
      </c>
      <c r="F309" s="14">
        <f>data!BQ71</f>
        <v>0</v>
      </c>
      <c r="G309" s="14">
        <f>data!BR71</f>
        <v>137782.22999999998</v>
      </c>
      <c r="H309" s="14">
        <f>data!BS71</f>
        <v>394801.62000000017</v>
      </c>
      <c r="I309" s="14">
        <f>data!BT71</f>
        <v>613825.36</v>
      </c>
    </row>
    <row r="310" spans="1:9" ht="20.100000000000001" customHeight="1" x14ac:dyDescent="0.25">
      <c r="A310" s="23">
        <v>17</v>
      </c>
      <c r="B310" s="14" t="s">
        <v>242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1179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1180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1181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1182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1183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1184</v>
      </c>
      <c r="C316" s="85">
        <f>data!BN76</f>
        <v>5739.51</v>
      </c>
      <c r="D316" s="85">
        <f>data!BO76</f>
        <v>4700</v>
      </c>
      <c r="E316" s="85">
        <f>data!BP76</f>
        <v>0</v>
      </c>
      <c r="F316" s="85">
        <f>data!BQ76</f>
        <v>0</v>
      </c>
      <c r="G316" s="85">
        <f>data!BR76</f>
        <v>4312.55</v>
      </c>
      <c r="H316" s="85">
        <f>data!BS76</f>
        <v>1881.27</v>
      </c>
      <c r="I316" s="85">
        <f>data!BT76</f>
        <v>2160.04</v>
      </c>
    </row>
    <row r="317" spans="1:9" ht="20.100000000000001" customHeight="1" x14ac:dyDescent="0.25">
      <c r="A317" s="23">
        <v>23</v>
      </c>
      <c r="B317" s="14" t="s">
        <v>1185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1186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561.16863472764658</v>
      </c>
      <c r="I318" s="85">
        <f>data!BT78</f>
        <v>644.32362061644847</v>
      </c>
    </row>
    <row r="319" spans="1:9" ht="20.100000000000001" customHeight="1" x14ac:dyDescent="0.25">
      <c r="A319" s="23">
        <v>25</v>
      </c>
      <c r="B319" s="14" t="s">
        <v>1187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250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1171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1223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PeaceHealth St John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1173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1222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1177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231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232</v>
      </c>
      <c r="C330" s="26">
        <f>data!BU60</f>
        <v>0.69625677369505501</v>
      </c>
      <c r="D330" s="26">
        <f>data!BV60</f>
        <v>0</v>
      </c>
      <c r="E330" s="26">
        <f>data!BW60</f>
        <v>2.4168951648351644</v>
      </c>
      <c r="F330" s="26">
        <f>data!BX60</f>
        <v>0</v>
      </c>
      <c r="G330" s="26">
        <f>data!BY60</f>
        <v>16.769235892170325</v>
      </c>
      <c r="H330" s="26">
        <f>data!BZ60</f>
        <v>2.0893632513736264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233</v>
      </c>
      <c r="C331" s="86">
        <f>data!BU61</f>
        <v>62873.46</v>
      </c>
      <c r="D331" s="86">
        <f>data!BV61</f>
        <v>0</v>
      </c>
      <c r="E331" s="86">
        <f>data!BW61</f>
        <v>260649.78000000003</v>
      </c>
      <c r="F331" s="86">
        <f>data!BX61</f>
        <v>0</v>
      </c>
      <c r="G331" s="86">
        <f>data!BY61</f>
        <v>1608259.8699999999</v>
      </c>
      <c r="H331" s="86">
        <f>data!BZ61</f>
        <v>324827.33999999997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23537</v>
      </c>
      <c r="D332" s="86">
        <f>data!BV62</f>
        <v>0</v>
      </c>
      <c r="E332" s="86">
        <f>data!BW62</f>
        <v>60766</v>
      </c>
      <c r="F332" s="86">
        <f>data!BX62</f>
        <v>0</v>
      </c>
      <c r="G332" s="86">
        <f>data!BY62</f>
        <v>423996</v>
      </c>
      <c r="H332" s="86">
        <f>data!BZ62</f>
        <v>75274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234</v>
      </c>
      <c r="C333" s="86">
        <f>data!BU63</f>
        <v>0</v>
      </c>
      <c r="D333" s="86">
        <f>data!BV63</f>
        <v>0</v>
      </c>
      <c r="E333" s="86">
        <f>data!BW63</f>
        <v>20400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235</v>
      </c>
      <c r="C334" s="86">
        <f>data!BU64</f>
        <v>81.63</v>
      </c>
      <c r="D334" s="86">
        <f>data!BV64</f>
        <v>0</v>
      </c>
      <c r="E334" s="86">
        <f>data!BW64</f>
        <v>53032.63</v>
      </c>
      <c r="F334" s="86">
        <f>data!BX64</f>
        <v>0</v>
      </c>
      <c r="G334" s="86">
        <f>data!BY64</f>
        <v>4532.8599999999997</v>
      </c>
      <c r="H334" s="86">
        <f>data!BZ64</f>
        <v>632.03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442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2239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443</v>
      </c>
      <c r="C336" s="86">
        <f>data!BU66</f>
        <v>0</v>
      </c>
      <c r="D336" s="86">
        <f>data!BV66</f>
        <v>121132.43999999999</v>
      </c>
      <c r="E336" s="86">
        <f>data!BW66</f>
        <v>3826.27</v>
      </c>
      <c r="F336" s="86">
        <f>data!BX66</f>
        <v>0</v>
      </c>
      <c r="G336" s="86">
        <f>data!BY66</f>
        <v>463.96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7027</v>
      </c>
      <c r="D337" s="86">
        <f>data!BV67</f>
        <v>50145</v>
      </c>
      <c r="E337" s="86">
        <f>data!BW67</f>
        <v>3468</v>
      </c>
      <c r="F337" s="86">
        <f>data!BX67</f>
        <v>18738</v>
      </c>
      <c r="G337" s="86">
        <f>data!BY67</f>
        <v>126160</v>
      </c>
      <c r="H337" s="86">
        <f>data!BZ67</f>
        <v>0</v>
      </c>
      <c r="I337" s="86">
        <f>data!CA67</f>
        <v>94005</v>
      </c>
    </row>
    <row r="338" spans="1:9" ht="20.100000000000001" customHeight="1" x14ac:dyDescent="0.25">
      <c r="A338" s="23">
        <v>13</v>
      </c>
      <c r="B338" s="14" t="s">
        <v>472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239</v>
      </c>
      <c r="C339" s="86">
        <f>data!BU69</f>
        <v>81546.490000000005</v>
      </c>
      <c r="D339" s="86">
        <f>data!BV69</f>
        <v>1443.83</v>
      </c>
      <c r="E339" s="86">
        <f>data!BW69</f>
        <v>64168.68</v>
      </c>
      <c r="F339" s="86">
        <f>data!BX69</f>
        <v>0</v>
      </c>
      <c r="G339" s="86">
        <f>data!BY69</f>
        <v>45231.310000000005</v>
      </c>
      <c r="H339" s="86">
        <f>data!BZ69</f>
        <v>228.9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240</v>
      </c>
      <c r="C340" s="14">
        <f>-data!BU70</f>
        <v>-72523.88</v>
      </c>
      <c r="D340" s="14">
        <f>-data!BV70</f>
        <v>0</v>
      </c>
      <c r="E340" s="14">
        <f>-data!BW70</f>
        <v>-13642.97</v>
      </c>
      <c r="F340" s="14">
        <f>-data!BX70</f>
        <v>0</v>
      </c>
      <c r="G340" s="14">
        <f>-data!BY70</f>
        <v>-3966.12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1178</v>
      </c>
      <c r="C341" s="14">
        <f>data!BU71</f>
        <v>102541.70000000001</v>
      </c>
      <c r="D341" s="14">
        <f>data!BV71</f>
        <v>172721.27</v>
      </c>
      <c r="E341" s="14">
        <f>data!BW71</f>
        <v>452668.39000000007</v>
      </c>
      <c r="F341" s="14">
        <f>data!BX71</f>
        <v>18738</v>
      </c>
      <c r="G341" s="14">
        <f>data!BY71</f>
        <v>2206916.88</v>
      </c>
      <c r="H341" s="14">
        <f>data!BZ71</f>
        <v>400962.27</v>
      </c>
      <c r="I341" s="14">
        <f>data!CA71</f>
        <v>94005</v>
      </c>
    </row>
    <row r="342" spans="1:9" ht="20.100000000000001" customHeight="1" x14ac:dyDescent="0.25">
      <c r="A342" s="23">
        <v>17</v>
      </c>
      <c r="B342" s="14" t="s">
        <v>242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1179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1180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1181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1182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1183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1184</v>
      </c>
      <c r="C348" s="85">
        <f>data!BU76</f>
        <v>850.86</v>
      </c>
      <c r="D348" s="85">
        <f>data!BV76</f>
        <v>6072.16</v>
      </c>
      <c r="E348" s="85">
        <f>data!BW76</f>
        <v>420</v>
      </c>
      <c r="F348" s="85">
        <f>data!BX76</f>
        <v>2269</v>
      </c>
      <c r="G348" s="85">
        <f>data!BY76</f>
        <v>2602.36</v>
      </c>
      <c r="H348" s="85">
        <f>data!BZ76</f>
        <v>0</v>
      </c>
      <c r="I348" s="85">
        <f>data!CA76</f>
        <v>11383.4</v>
      </c>
    </row>
    <row r="349" spans="1:9" ht="20.100000000000001" customHeight="1" x14ac:dyDescent="0.25">
      <c r="A349" s="23">
        <v>23</v>
      </c>
      <c r="B349" s="14" t="s">
        <v>1185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1186</v>
      </c>
      <c r="C350" s="85">
        <f>data!BU78</f>
        <v>253.80511279314794</v>
      </c>
      <c r="D350" s="85">
        <f>data!BV78</f>
        <v>1811.2794745293481</v>
      </c>
      <c r="E350" s="85">
        <f>data!BW78</f>
        <v>125.28282840082051</v>
      </c>
      <c r="F350" s="85">
        <f>data!BX78</f>
        <v>676.82556581300412</v>
      </c>
      <c r="G350" s="85">
        <f>data!BY78</f>
        <v>776.26433646942678</v>
      </c>
      <c r="H350" s="85">
        <f>data!BZ78</f>
        <v>0</v>
      </c>
      <c r="I350" s="85">
        <f>data!CA78</f>
        <v>3395.582259090238</v>
      </c>
    </row>
    <row r="351" spans="1:9" ht="20.100000000000001" customHeight="1" x14ac:dyDescent="0.25">
      <c r="A351" s="23">
        <v>25</v>
      </c>
      <c r="B351" s="14" t="s">
        <v>1187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250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1171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1224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PeaceHealth St John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1173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1225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1177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231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232</v>
      </c>
      <c r="C362" s="26">
        <f>data!CB60</f>
        <v>0</v>
      </c>
      <c r="D362" s="26">
        <f>data!CC60</f>
        <v>23.952201908385987</v>
      </c>
      <c r="E362" s="217"/>
      <c r="F362" s="211"/>
      <c r="G362" s="211"/>
      <c r="H362" s="211"/>
      <c r="I362" s="87">
        <f>data!CE60</f>
        <v>1293.5900074651308</v>
      </c>
    </row>
    <row r="363" spans="1:9" ht="20.100000000000001" customHeight="1" x14ac:dyDescent="0.25">
      <c r="A363" s="23">
        <v>6</v>
      </c>
      <c r="B363" s="14" t="s">
        <v>233</v>
      </c>
      <c r="C363" s="86">
        <f>data!CB61</f>
        <v>0</v>
      </c>
      <c r="D363" s="86">
        <f>data!CC61</f>
        <v>2812444.13</v>
      </c>
      <c r="E363" s="218"/>
      <c r="F363" s="219"/>
      <c r="G363" s="219"/>
      <c r="H363" s="219"/>
      <c r="I363" s="86">
        <f>data!CE61</f>
        <v>119440700.67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664819</v>
      </c>
      <c r="E364" s="218"/>
      <c r="F364" s="219"/>
      <c r="G364" s="219"/>
      <c r="H364" s="219"/>
      <c r="I364" s="86">
        <f>data!CE62</f>
        <v>30164914</v>
      </c>
    </row>
    <row r="365" spans="1:9" ht="20.100000000000001" customHeight="1" x14ac:dyDescent="0.25">
      <c r="A365" s="23">
        <v>8</v>
      </c>
      <c r="B365" s="14" t="s">
        <v>234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5071413.5</v>
      </c>
    </row>
    <row r="366" spans="1:9" ht="20.100000000000001" customHeight="1" x14ac:dyDescent="0.25">
      <c r="A366" s="23">
        <v>9</v>
      </c>
      <c r="B366" s="14" t="s">
        <v>235</v>
      </c>
      <c r="C366" s="86">
        <f>data!CB64</f>
        <v>0</v>
      </c>
      <c r="D366" s="86">
        <f>data!CC64</f>
        <v>724179.33000000007</v>
      </c>
      <c r="E366" s="218"/>
      <c r="F366" s="219"/>
      <c r="G366" s="219"/>
      <c r="H366" s="219"/>
      <c r="I366" s="86">
        <f>data!CE64</f>
        <v>32743648.639999993</v>
      </c>
    </row>
    <row r="367" spans="1:9" ht="20.100000000000001" customHeight="1" x14ac:dyDescent="0.25">
      <c r="A367" s="23">
        <v>10</v>
      </c>
      <c r="B367" s="14" t="s">
        <v>442</v>
      </c>
      <c r="C367" s="86">
        <f>data!CB65</f>
        <v>0</v>
      </c>
      <c r="D367" s="86">
        <f>data!CC65</f>
        <v>600</v>
      </c>
      <c r="E367" s="218"/>
      <c r="F367" s="219"/>
      <c r="G367" s="219"/>
      <c r="H367" s="219"/>
      <c r="I367" s="86">
        <f>data!CE65</f>
        <v>2716964.4</v>
      </c>
    </row>
    <row r="368" spans="1:9" ht="20.100000000000001" customHeight="1" x14ac:dyDescent="0.25">
      <c r="A368" s="23">
        <v>11</v>
      </c>
      <c r="B368" s="14" t="s">
        <v>443</v>
      </c>
      <c r="C368" s="86">
        <f>data!CB66</f>
        <v>0</v>
      </c>
      <c r="D368" s="86">
        <f>data!CC66</f>
        <v>9912775.5800000001</v>
      </c>
      <c r="E368" s="218"/>
      <c r="F368" s="219"/>
      <c r="G368" s="219"/>
      <c r="H368" s="219"/>
      <c r="I368" s="86">
        <f>data!CE66</f>
        <v>47150869.999999993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2304930</v>
      </c>
      <c r="E369" s="218"/>
      <c r="F369" s="219"/>
      <c r="G369" s="219"/>
      <c r="H369" s="219"/>
      <c r="I369" s="86">
        <f>data!CE67</f>
        <v>18337923</v>
      </c>
    </row>
    <row r="370" spans="1:9" ht="20.100000000000001" customHeight="1" x14ac:dyDescent="0.25">
      <c r="A370" s="23">
        <v>13</v>
      </c>
      <c r="B370" s="14" t="s">
        <v>472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669988.6100000001</v>
      </c>
    </row>
    <row r="371" spans="1:9" ht="20.100000000000001" customHeight="1" x14ac:dyDescent="0.25">
      <c r="A371" s="23">
        <v>14</v>
      </c>
      <c r="B371" s="14" t="s">
        <v>239</v>
      </c>
      <c r="C371" s="86">
        <f>data!CB69</f>
        <v>0</v>
      </c>
      <c r="D371" s="86">
        <f>data!CC69</f>
        <v>446731.88999999984</v>
      </c>
      <c r="E371" s="86">
        <f>data!CD69</f>
        <v>6004937.1299999999</v>
      </c>
      <c r="F371" s="219"/>
      <c r="G371" s="219"/>
      <c r="H371" s="219"/>
      <c r="I371" s="86">
        <f>data!CE69</f>
        <v>9890348.5199999996</v>
      </c>
    </row>
    <row r="372" spans="1:9" ht="20.100000000000001" customHeight="1" x14ac:dyDescent="0.25">
      <c r="A372" s="23">
        <v>15</v>
      </c>
      <c r="B372" s="14" t="s">
        <v>240</v>
      </c>
      <c r="C372" s="14">
        <f>-data!CB70</f>
        <v>0</v>
      </c>
      <c r="D372" s="14">
        <f>-data!CC70</f>
        <v>-617985.84</v>
      </c>
      <c r="E372" s="229">
        <f>data!CD70</f>
        <v>26860.600000000002</v>
      </c>
      <c r="F372" s="220"/>
      <c r="G372" s="220"/>
      <c r="H372" s="220"/>
      <c r="I372" s="14">
        <f>-data!CE70</f>
        <v>-6114912.5599999987</v>
      </c>
    </row>
    <row r="373" spans="1:9" ht="20.100000000000001" customHeight="1" x14ac:dyDescent="0.25">
      <c r="A373" s="23">
        <v>16</v>
      </c>
      <c r="B373" s="48" t="s">
        <v>1178</v>
      </c>
      <c r="C373" s="86">
        <f>data!CB71</f>
        <v>0</v>
      </c>
      <c r="D373" s="86">
        <f>data!CC71</f>
        <v>16248494.09</v>
      </c>
      <c r="E373" s="86">
        <f>data!CD71</f>
        <v>5978076.5300000003</v>
      </c>
      <c r="F373" s="219"/>
      <c r="G373" s="219"/>
      <c r="H373" s="219"/>
      <c r="I373" s="14">
        <f>data!CE71</f>
        <v>260071858.78000003</v>
      </c>
    </row>
    <row r="374" spans="1:9" ht="20.100000000000001" customHeight="1" x14ac:dyDescent="0.25">
      <c r="A374" s="23">
        <v>17</v>
      </c>
      <c r="B374" s="14" t="s">
        <v>242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1179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1180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289197220.32000011</v>
      </c>
    </row>
    <row r="377" spans="1:9" ht="20.100000000000001" customHeight="1" x14ac:dyDescent="0.25">
      <c r="A377" s="23">
        <v>20</v>
      </c>
      <c r="B377" s="48" t="s">
        <v>1181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491276315.37999994</v>
      </c>
    </row>
    <row r="378" spans="1:9" ht="20.100000000000001" customHeight="1" x14ac:dyDescent="0.25">
      <c r="A378" s="23">
        <v>21</v>
      </c>
      <c r="B378" s="48" t="s">
        <v>1182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780473535.70000005</v>
      </c>
    </row>
    <row r="379" spans="1:9" ht="20.100000000000001" customHeight="1" x14ac:dyDescent="0.25">
      <c r="A379" s="23" t="s">
        <v>1183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1184</v>
      </c>
      <c r="C380" s="85">
        <f>data!CB76</f>
        <v>0</v>
      </c>
      <c r="D380" s="85">
        <f>data!CC76</f>
        <v>114817.30399999999</v>
      </c>
      <c r="E380" s="214"/>
      <c r="F380" s="211"/>
      <c r="G380" s="211"/>
      <c r="H380" s="211"/>
      <c r="I380" s="14">
        <f>data!CE76</f>
        <v>809833.49400000018</v>
      </c>
    </row>
    <row r="381" spans="1:9" ht="20.100000000000001" customHeight="1" x14ac:dyDescent="0.25">
      <c r="A381" s="23">
        <v>23</v>
      </c>
      <c r="B381" s="14" t="s">
        <v>1185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99270</v>
      </c>
    </row>
    <row r="382" spans="1:9" ht="20.100000000000001" customHeight="1" x14ac:dyDescent="0.25">
      <c r="A382" s="23">
        <v>24</v>
      </c>
      <c r="B382" s="14" t="s">
        <v>1186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109804.99999999999</v>
      </c>
    </row>
    <row r="383" spans="1:9" ht="20.100000000000001" customHeight="1" x14ac:dyDescent="0.25">
      <c r="A383" s="23">
        <v>25</v>
      </c>
      <c r="B383" s="14" t="s">
        <v>1187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1043799.0000000002</v>
      </c>
    </row>
    <row r="384" spans="1:9" ht="20.100000000000001" customHeight="1" x14ac:dyDescent="0.25">
      <c r="A384" s="23">
        <v>26</v>
      </c>
      <c r="B384" s="14" t="s">
        <v>250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250.53902460120332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1230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1231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1256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1226</v>
      </c>
      <c r="C10" s="236"/>
    </row>
    <row r="11" spans="1:6" ht="12.75" customHeight="1" x14ac:dyDescent="0.25">
      <c r="A11" s="198" t="s">
        <v>1229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1258</v>
      </c>
      <c r="C16" s="236"/>
      <c r="F16" s="283" t="s">
        <v>1257</v>
      </c>
    </row>
    <row r="17" spans="1:6" ht="12.75" customHeight="1" x14ac:dyDescent="0.25">
      <c r="A17" s="180" t="s">
        <v>1228</v>
      </c>
      <c r="C17" s="283" t="s">
        <v>1257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1232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1252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1233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1234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1235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1236</v>
      </c>
      <c r="C36" s="236"/>
    </row>
    <row r="37" spans="1:83" ht="12.6" customHeight="1" x14ac:dyDescent="0.25">
      <c r="A37" s="199" t="s">
        <v>1227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1192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28350955.929999992</v>
      </c>
      <c r="C47" s="184">
        <v>1926358.4000000001</v>
      </c>
      <c r="D47" s="184">
        <v>0</v>
      </c>
      <c r="E47" s="184">
        <v>2966273.6799999997</v>
      </c>
      <c r="F47" s="184">
        <v>0</v>
      </c>
      <c r="G47" s="184">
        <v>0</v>
      </c>
      <c r="H47" s="184">
        <v>888532.36999999988</v>
      </c>
      <c r="I47" s="184">
        <v>0</v>
      </c>
      <c r="J47" s="184">
        <v>67116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1014709.8</v>
      </c>
      <c r="Q47" s="184">
        <v>172973.42</v>
      </c>
      <c r="R47" s="184">
        <v>598529.15999999992</v>
      </c>
      <c r="S47" s="184">
        <v>385066.23</v>
      </c>
      <c r="T47" s="184">
        <v>41965.47</v>
      </c>
      <c r="U47" s="184">
        <v>0</v>
      </c>
      <c r="V47" s="184">
        <v>0</v>
      </c>
      <c r="W47" s="184">
        <v>118812.81</v>
      </c>
      <c r="X47" s="184">
        <v>187222.1</v>
      </c>
      <c r="Y47" s="184">
        <v>1266396.7699999996</v>
      </c>
      <c r="Z47" s="184">
        <v>214747.7</v>
      </c>
      <c r="AA47" s="184">
        <v>120233.15</v>
      </c>
      <c r="AB47" s="184">
        <v>979935.72</v>
      </c>
      <c r="AC47" s="184">
        <v>300929.87</v>
      </c>
      <c r="AD47" s="184">
        <v>702289.94000000006</v>
      </c>
      <c r="AE47" s="184">
        <v>190520.33000000002</v>
      </c>
      <c r="AF47" s="184">
        <v>530322.00999999989</v>
      </c>
      <c r="AG47" s="184">
        <v>1850908.6100000008</v>
      </c>
      <c r="AH47" s="184">
        <v>0</v>
      </c>
      <c r="AI47" s="184">
        <v>765183.34000000008</v>
      </c>
      <c r="AJ47" s="184">
        <v>7289036.1400000025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308358.97000000009</v>
      </c>
      <c r="AZ47" s="184">
        <v>135230.97000000003</v>
      </c>
      <c r="BA47" s="184">
        <v>15995.05</v>
      </c>
      <c r="BB47" s="184">
        <v>484037.07999999996</v>
      </c>
      <c r="BC47" s="184">
        <v>101729.68999999999</v>
      </c>
      <c r="BD47" s="184">
        <v>0</v>
      </c>
      <c r="BE47" s="184">
        <v>748856.37</v>
      </c>
      <c r="BF47" s="184">
        <v>800834.72</v>
      </c>
      <c r="BG47" s="184">
        <v>179492.63999999998</v>
      </c>
      <c r="BH47" s="184">
        <v>0</v>
      </c>
      <c r="BI47" s="184">
        <v>0</v>
      </c>
      <c r="BJ47" s="184">
        <v>0</v>
      </c>
      <c r="BK47" s="184">
        <v>0</v>
      </c>
      <c r="BL47" s="184">
        <v>1054570.7</v>
      </c>
      <c r="BM47" s="184">
        <v>0</v>
      </c>
      <c r="BN47" s="184">
        <v>461174.5</v>
      </c>
      <c r="BO47" s="184">
        <v>67670.45</v>
      </c>
      <c r="BP47" s="184">
        <v>0</v>
      </c>
      <c r="BQ47" s="184">
        <v>0</v>
      </c>
      <c r="BR47" s="184">
        <v>16055.559999999998</v>
      </c>
      <c r="BS47" s="184">
        <v>155078.88</v>
      </c>
      <c r="BT47" s="184">
        <v>115971.13</v>
      </c>
      <c r="BU47" s="184">
        <v>29935.360000000004</v>
      </c>
      <c r="BV47" s="184">
        <v>0</v>
      </c>
      <c r="BW47" s="184">
        <v>56767.12999999999</v>
      </c>
      <c r="BX47" s="184">
        <v>0</v>
      </c>
      <c r="BY47" s="184">
        <v>82183.820000000007</v>
      </c>
      <c r="BZ47" s="184">
        <v>344875.56</v>
      </c>
      <c r="CA47" s="184">
        <v>0</v>
      </c>
      <c r="CB47" s="184">
        <v>0</v>
      </c>
      <c r="CC47" s="184">
        <v>614074.33000000007</v>
      </c>
      <c r="CD47" s="195"/>
      <c r="CE47" s="195">
        <f>SUM(C47:CC47)</f>
        <v>28350955.929999992</v>
      </c>
    </row>
    <row r="48" spans="1:83" ht="12.6" customHeight="1" x14ac:dyDescent="0.25">
      <c r="A48" s="175" t="s">
        <v>205</v>
      </c>
      <c r="B48" s="183">
        <v>-294492.9600000002</v>
      </c>
      <c r="C48" s="245">
        <f>ROUND(((B48/CE61)*C61),0)</f>
        <v>-17863</v>
      </c>
      <c r="D48" s="245">
        <f>ROUND(((B48/CE61)*D61),0)</f>
        <v>0</v>
      </c>
      <c r="E48" s="195">
        <f>ROUND(((B48/CE61)*E61),0)</f>
        <v>-28281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-9188</v>
      </c>
      <c r="I48" s="195">
        <f>ROUND(((B48/CE61)*I61),0)</f>
        <v>0</v>
      </c>
      <c r="J48" s="195">
        <f>ROUND(((B48/CE61)*J61),0)</f>
        <v>-753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-8745</v>
      </c>
      <c r="Q48" s="195">
        <f>ROUND(((B48/CE61)*Q61),0)</f>
        <v>-1868</v>
      </c>
      <c r="R48" s="195">
        <f>ROUND(((B48/CE61)*R61),0)</f>
        <v>-9701</v>
      </c>
      <c r="S48" s="195">
        <f>ROUND(((B48/CE61)*S61),0)</f>
        <v>-2374</v>
      </c>
      <c r="T48" s="195">
        <f>ROUND(((B48/CE61)*T61),0)</f>
        <v>-512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-1144</v>
      </c>
      <c r="X48" s="195">
        <f>ROUND(((B48/CE61)*X61),0)</f>
        <v>-1715</v>
      </c>
      <c r="Y48" s="195">
        <f>ROUND(((B48/CE61)*Y61),0)</f>
        <v>-11416</v>
      </c>
      <c r="Z48" s="195">
        <f>ROUND(((B48/CE61)*Z61),0)</f>
        <v>-2052</v>
      </c>
      <c r="AA48" s="195">
        <f>ROUND(((B48/CE61)*AA61),0)</f>
        <v>-1597</v>
      </c>
      <c r="AB48" s="195">
        <f>ROUND(((B48/CE61)*AB61),0)</f>
        <v>-10309</v>
      </c>
      <c r="AC48" s="195">
        <f>ROUND(((B48/CE61)*AC61),0)</f>
        <v>-3348</v>
      </c>
      <c r="AD48" s="195">
        <f>ROUND(((B48/CE61)*AD61),0)</f>
        <v>-6672</v>
      </c>
      <c r="AE48" s="195">
        <f>ROUND(((B48/CE61)*AE61),0)</f>
        <v>-2353</v>
      </c>
      <c r="AF48" s="195">
        <f>ROUND(((B48/CE61)*AF61),0)</f>
        <v>-5852</v>
      </c>
      <c r="AG48" s="195">
        <f>ROUND(((B48/CE61)*AG61),0)</f>
        <v>-19800</v>
      </c>
      <c r="AH48" s="195">
        <f>ROUND(((B48/CE61)*AH61),0)</f>
        <v>0</v>
      </c>
      <c r="AI48" s="195">
        <f>ROUND(((B48/CE61)*AI61),0)</f>
        <v>-7323</v>
      </c>
      <c r="AJ48" s="195">
        <f>ROUND(((B48/CE61)*AJ61),0)</f>
        <v>-89244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-2547</v>
      </c>
      <c r="AZ48" s="195">
        <f>ROUND(((B48/CE61)*AZ61),0)</f>
        <v>-1043</v>
      </c>
      <c r="BA48" s="195">
        <f>ROUND(((B48/CE61)*BA61),0)</f>
        <v>-125</v>
      </c>
      <c r="BB48" s="195">
        <f>ROUND(((B48/CE61)*BB61),0)</f>
        <v>-4605</v>
      </c>
      <c r="BC48" s="195">
        <f>ROUND(((B48/CE61)*BC61),0)</f>
        <v>-668</v>
      </c>
      <c r="BD48" s="195">
        <f>ROUND(((B48/CE61)*BD61),0)</f>
        <v>0</v>
      </c>
      <c r="BE48" s="195">
        <f>ROUND(((B48/CE61)*BE61),0)</f>
        <v>-6108</v>
      </c>
      <c r="BF48" s="195">
        <f>ROUND(((B48/CE61)*BF61),0)</f>
        <v>-5819</v>
      </c>
      <c r="BG48" s="195">
        <f>ROUND(((B48/CE61)*BG61),0)</f>
        <v>-1287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-8835</v>
      </c>
      <c r="BM48" s="195">
        <f>ROUND(((B48/CE61)*BM61),0)</f>
        <v>0</v>
      </c>
      <c r="BN48" s="195">
        <f>ROUND(((B48/CE61)*BN61),0)</f>
        <v>-7181</v>
      </c>
      <c r="BO48" s="195">
        <f>ROUND(((B48/CE61)*BO61),0)</f>
        <v>-676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-194</v>
      </c>
      <c r="BS48" s="195">
        <f>ROUND(((B48/CE61)*BS61),0)</f>
        <v>-449</v>
      </c>
      <c r="BT48" s="195">
        <f>ROUND(((B48/CE61)*BT61),0)</f>
        <v>-1196</v>
      </c>
      <c r="BU48" s="195">
        <f>ROUND(((B48/CE61)*BU61),0)</f>
        <v>-204</v>
      </c>
      <c r="BV48" s="195">
        <f>ROUND(((B48/CE61)*BV61),0)</f>
        <v>0</v>
      </c>
      <c r="BW48" s="195">
        <f>ROUND(((B48/CE61)*BW61),0)</f>
        <v>-570</v>
      </c>
      <c r="BX48" s="195">
        <f>ROUND(((B48/CE61)*BX61),0)</f>
        <v>0</v>
      </c>
      <c r="BY48" s="195">
        <f>ROUND(((B48/CE61)*BY61),0)</f>
        <v>-774</v>
      </c>
      <c r="BZ48" s="195">
        <f>ROUND(((B48/CE61)*BZ61),0)</f>
        <v>-3177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-6924</v>
      </c>
      <c r="CD48" s="195"/>
      <c r="CE48" s="195">
        <f>SUM(C48:CD48)</f>
        <v>-294492</v>
      </c>
    </row>
    <row r="49" spans="1:84" ht="12.6" customHeight="1" x14ac:dyDescent="0.25">
      <c r="A49" s="175" t="s">
        <v>206</v>
      </c>
      <c r="B49" s="195">
        <f>B47+B48</f>
        <v>28056462.969999991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11972665.830000002</v>
      </c>
      <c r="C51" s="184">
        <v>279605.31000000006</v>
      </c>
      <c r="D51" s="184">
        <v>0</v>
      </c>
      <c r="E51" s="184">
        <v>429086.83049800002</v>
      </c>
      <c r="F51" s="184">
        <v>0</v>
      </c>
      <c r="G51" s="184">
        <v>0</v>
      </c>
      <c r="H51" s="184">
        <v>25382.780000000002</v>
      </c>
      <c r="I51" s="184">
        <v>0</v>
      </c>
      <c r="J51" s="184">
        <v>14277.479502000002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722252.41999999993</v>
      </c>
      <c r="Q51" s="184">
        <v>45597.68</v>
      </c>
      <c r="R51" s="184">
        <v>0</v>
      </c>
      <c r="S51" s="184">
        <v>4565.6299999999992</v>
      </c>
      <c r="T51" s="184">
        <v>0</v>
      </c>
      <c r="U51" s="184">
        <v>0</v>
      </c>
      <c r="V51" s="184">
        <v>0</v>
      </c>
      <c r="W51" s="184">
        <v>20471.629999999997</v>
      </c>
      <c r="X51" s="184">
        <v>11226.390000000001</v>
      </c>
      <c r="Y51" s="184">
        <v>743647.38</v>
      </c>
      <c r="Z51" s="184">
        <v>661273.35000000009</v>
      </c>
      <c r="AA51" s="184">
        <v>25839.450000000008</v>
      </c>
      <c r="AB51" s="184">
        <v>475612.56999999995</v>
      </c>
      <c r="AC51" s="184">
        <v>16557.510000000002</v>
      </c>
      <c r="AD51" s="184">
        <v>107145.84999999999</v>
      </c>
      <c r="AE51" s="184">
        <v>14620.190000000002</v>
      </c>
      <c r="AF51" s="184">
        <v>143.01999999999998</v>
      </c>
      <c r="AG51" s="184">
        <v>150948.84</v>
      </c>
      <c r="AH51" s="184">
        <v>0</v>
      </c>
      <c r="AI51" s="184">
        <v>117465.52</v>
      </c>
      <c r="AJ51" s="184">
        <v>152664.87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18235.899999999998</v>
      </c>
      <c r="AZ51" s="184">
        <v>9960.1800000000021</v>
      </c>
      <c r="BA51" s="184">
        <v>0</v>
      </c>
      <c r="BB51" s="184">
        <v>0</v>
      </c>
      <c r="BC51" s="184">
        <v>0</v>
      </c>
      <c r="BD51" s="184">
        <v>0</v>
      </c>
      <c r="BE51" s="184">
        <v>159859.37</v>
      </c>
      <c r="BF51" s="184">
        <v>4380.7000000000007</v>
      </c>
      <c r="BG51" s="184">
        <v>205083.07</v>
      </c>
      <c r="BH51" s="184">
        <v>192556.58000000002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6329059.5400000019</v>
      </c>
      <c r="BO51" s="184">
        <v>0</v>
      </c>
      <c r="BP51" s="184">
        <v>0</v>
      </c>
      <c r="BQ51" s="184">
        <v>0</v>
      </c>
      <c r="BR51" s="184">
        <v>534.91999999999985</v>
      </c>
      <c r="BS51" s="184">
        <v>34.67</v>
      </c>
      <c r="BT51" s="184">
        <v>1164.24</v>
      </c>
      <c r="BU51" s="184">
        <v>0</v>
      </c>
      <c r="BV51" s="184">
        <v>0</v>
      </c>
      <c r="BW51" s="184">
        <v>0</v>
      </c>
      <c r="BX51" s="184">
        <v>0</v>
      </c>
      <c r="BY51" s="184">
        <v>104668.98999999999</v>
      </c>
      <c r="BZ51" s="184">
        <v>0</v>
      </c>
      <c r="CA51" s="184">
        <v>0</v>
      </c>
      <c r="CB51" s="184">
        <v>0</v>
      </c>
      <c r="CC51" s="184">
        <v>928742.96999999986</v>
      </c>
      <c r="CD51" s="195"/>
      <c r="CE51" s="195">
        <f>SUM(C51:CD51)</f>
        <v>11972665.830000004</v>
      </c>
    </row>
    <row r="52" spans="1:84" ht="12.6" customHeight="1" x14ac:dyDescent="0.25">
      <c r="A52" s="171" t="s">
        <v>208</v>
      </c>
      <c r="B52" s="184">
        <v>6675175.9300000006</v>
      </c>
      <c r="C52" s="195">
        <f>ROUND((B52/(CE76+CF76)*C76),0)</f>
        <v>189774</v>
      </c>
      <c r="D52" s="195">
        <f>ROUND((B52/(CE76+CF76)*D76),0)</f>
        <v>0</v>
      </c>
      <c r="E52" s="195">
        <f>ROUND((B52/(CE76+CF76)*E76),0)</f>
        <v>360888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83471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202485</v>
      </c>
      <c r="Q52" s="195">
        <f>ROUND((B52/(CE76+CF76)*Q76),0)</f>
        <v>20592</v>
      </c>
      <c r="R52" s="195">
        <f>ROUND((B52/(CE76+CF76)*R76),0)</f>
        <v>0</v>
      </c>
      <c r="S52" s="195">
        <f>ROUND((B52/(CE76+CF76)*S76),0)</f>
        <v>45840</v>
      </c>
      <c r="T52" s="195">
        <f>ROUND((B52/(CE76+CF76)*T76),0)</f>
        <v>0</v>
      </c>
      <c r="U52" s="195">
        <f>ROUND((B52/(CE76+CF76)*U76),0)</f>
        <v>56267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205958</v>
      </c>
      <c r="Z52" s="195">
        <f>ROUND((B52/(CE76+CF76)*Z76),0)</f>
        <v>59273</v>
      </c>
      <c r="AA52" s="195">
        <f>ROUND((B52/(CE76+CF76)*AA76),0)</f>
        <v>15594</v>
      </c>
      <c r="AB52" s="195">
        <f>ROUND((B52/(CE76+CF76)*AB76),0)</f>
        <v>26851</v>
      </c>
      <c r="AC52" s="195">
        <f>ROUND((B52/(CE76+CF76)*AC76),0)</f>
        <v>12397</v>
      </c>
      <c r="AD52" s="195">
        <f>ROUND((B52/(CE76+CF76)*AD76),0)</f>
        <v>69300</v>
      </c>
      <c r="AE52" s="195">
        <f>ROUND((B52/(CE76+CF76)*AE76),0)</f>
        <v>72220</v>
      </c>
      <c r="AF52" s="195">
        <f>ROUND((B52/(CE76+CF76)*AF76),0)</f>
        <v>159683</v>
      </c>
      <c r="AG52" s="195">
        <f>ROUND((B52/(CE76+CF76)*AG76),0)</f>
        <v>172499</v>
      </c>
      <c r="AH52" s="195">
        <f>ROUND((B52/(CE76+CF76)*AH76),0)</f>
        <v>0</v>
      </c>
      <c r="AI52" s="195">
        <f>ROUND((B52/(CE76+CF76)*AI76),0)</f>
        <v>191009</v>
      </c>
      <c r="AJ52" s="195">
        <f>ROUND((B52/(CE76+CF76)*AJ76),0)</f>
        <v>769380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99963</v>
      </c>
      <c r="AZ52" s="195">
        <f>ROUND((B52/(CE76+CF76)*AZ76),0)</f>
        <v>0</v>
      </c>
      <c r="BA52" s="195">
        <f>ROUND((B52/(CE76+CF76)*BA76),0)</f>
        <v>9130</v>
      </c>
      <c r="BB52" s="195">
        <f>ROUND((B52/(CE76+CF76)*BB76),0)</f>
        <v>31618</v>
      </c>
      <c r="BC52" s="195">
        <f>ROUND((B52/(CE76+CF76)*BC76),0)</f>
        <v>0</v>
      </c>
      <c r="BD52" s="195">
        <f>ROUND((B52/(CE76+CF76)*BD76),0)</f>
        <v>30098</v>
      </c>
      <c r="BE52" s="195">
        <f>ROUND((B52/(CE76+CF76)*BE76),0)</f>
        <v>2404800</v>
      </c>
      <c r="BF52" s="195">
        <f>ROUND((B52/(CE76+CF76)*BF76),0)</f>
        <v>24703</v>
      </c>
      <c r="BG52" s="195">
        <f>ROUND((B52/(CE76+CF76)*BG76),0)</f>
        <v>13400</v>
      </c>
      <c r="BH52" s="195">
        <f>ROUND((B52/(CE76+CF76)*BH76),0)</f>
        <v>28362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23810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47309</v>
      </c>
      <c r="BO52" s="195">
        <f>ROUND((B52/(CE76+CF76)*BO76),0)</f>
        <v>38740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35547</v>
      </c>
      <c r="BS52" s="195">
        <f>ROUND((B52/(CE76+CF76)*BS76),0)</f>
        <v>15507</v>
      </c>
      <c r="BT52" s="195">
        <f>ROUND((B52/(CE76+CF76)*BT76),0)</f>
        <v>17804</v>
      </c>
      <c r="BU52" s="195">
        <f>ROUND((B52/(CE76+CF76)*BU76),0)</f>
        <v>7013</v>
      </c>
      <c r="BV52" s="195">
        <f>ROUND((B52/(CE76+CF76)*BV76),0)</f>
        <v>50051</v>
      </c>
      <c r="BW52" s="195">
        <f>ROUND((B52/(CE76+CF76)*BW76),0)</f>
        <v>3462</v>
      </c>
      <c r="BX52" s="195">
        <f>ROUND((B52/(CE76+CF76)*BX76),0)</f>
        <v>18703</v>
      </c>
      <c r="BY52" s="195">
        <f>ROUND((B52/(CE76+CF76)*BY76),0)</f>
        <v>21450</v>
      </c>
      <c r="BZ52" s="195">
        <f>ROUND((B52/(CE76+CF76)*BZ76),0)</f>
        <v>0</v>
      </c>
      <c r="CA52" s="195">
        <f>ROUND((B52/(CE76+CF76)*CA76),0)</f>
        <v>93829</v>
      </c>
      <c r="CB52" s="195">
        <f>ROUND((B52/(CE76+CF76)*CB76),0)</f>
        <v>0</v>
      </c>
      <c r="CC52" s="195">
        <f>ROUND((B52/(CE76+CF76)*CC76),0)</f>
        <v>946400</v>
      </c>
      <c r="CD52" s="195"/>
      <c r="CE52" s="195">
        <f>SUM(C52:CD52)</f>
        <v>6675180</v>
      </c>
    </row>
    <row r="53" spans="1:84" ht="12.6" customHeight="1" x14ac:dyDescent="0.25">
      <c r="A53" s="175" t="s">
        <v>206</v>
      </c>
      <c r="B53" s="195">
        <f>B51+B52</f>
        <v>18647841.760000002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1192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1266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217</v>
      </c>
      <c r="AB58" s="247" t="s">
        <v>221</v>
      </c>
      <c r="AC58" s="170" t="s">
        <v>217</v>
      </c>
      <c r="AD58" s="170" t="s">
        <v>217</v>
      </c>
      <c r="AE58" s="170" t="s">
        <v>217</v>
      </c>
      <c r="AF58" s="170" t="s">
        <v>227</v>
      </c>
      <c r="AG58" s="170" t="s">
        <v>227</v>
      </c>
      <c r="AH58" s="170" t="s">
        <v>228</v>
      </c>
      <c r="AI58" s="170" t="s">
        <v>227</v>
      </c>
      <c r="AJ58" s="170" t="s">
        <v>227</v>
      </c>
      <c r="AK58" s="170" t="s">
        <v>225</v>
      </c>
      <c r="AL58" s="170" t="s">
        <v>225</v>
      </c>
      <c r="AM58" s="170" t="s">
        <v>225</v>
      </c>
      <c r="AN58" s="170" t="s">
        <v>217</v>
      </c>
      <c r="AO58" s="170" t="s">
        <v>226</v>
      </c>
      <c r="AP58" s="170" t="s">
        <v>227</v>
      </c>
      <c r="AQ58" s="170" t="s">
        <v>228</v>
      </c>
      <c r="AR58" s="170" t="s">
        <v>227</v>
      </c>
      <c r="AS58" s="170" t="s">
        <v>225</v>
      </c>
      <c r="AT58" s="170" t="s">
        <v>1210</v>
      </c>
      <c r="AU58" s="170" t="s">
        <v>227</v>
      </c>
      <c r="AV58" s="247" t="s">
        <v>221</v>
      </c>
      <c r="AW58" s="247" t="s">
        <v>221</v>
      </c>
      <c r="AX58" s="247" t="s">
        <v>221</v>
      </c>
      <c r="AY58" s="170" t="s">
        <v>229</v>
      </c>
      <c r="AZ58" s="170" t="s">
        <v>229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230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231</v>
      </c>
      <c r="B59" s="175"/>
      <c r="C59" s="184">
        <v>9439</v>
      </c>
      <c r="D59" s="184">
        <v>0</v>
      </c>
      <c r="E59" s="184">
        <v>15589</v>
      </c>
      <c r="F59" s="184">
        <v>0</v>
      </c>
      <c r="G59" s="184">
        <v>0</v>
      </c>
      <c r="H59" s="184">
        <v>5108</v>
      </c>
      <c r="I59" s="184">
        <v>0</v>
      </c>
      <c r="J59" s="184">
        <v>1741</v>
      </c>
      <c r="K59" s="184">
        <v>0</v>
      </c>
      <c r="L59" s="184">
        <v>0</v>
      </c>
      <c r="M59" s="184">
        <v>0</v>
      </c>
      <c r="N59" s="184">
        <v>0</v>
      </c>
      <c r="O59" s="184">
        <v>822</v>
      </c>
      <c r="P59" s="185">
        <v>312352</v>
      </c>
      <c r="Q59" s="185">
        <v>288030</v>
      </c>
      <c r="R59" s="185">
        <v>312352</v>
      </c>
      <c r="S59" s="248"/>
      <c r="T59" s="248"/>
      <c r="U59" s="224">
        <v>356629</v>
      </c>
      <c r="V59" s="185">
        <v>0</v>
      </c>
      <c r="W59" s="185">
        <v>4353</v>
      </c>
      <c r="X59" s="185">
        <v>16178</v>
      </c>
      <c r="Y59" s="185">
        <v>76301</v>
      </c>
      <c r="Z59" s="185">
        <v>13134</v>
      </c>
      <c r="AA59" s="185">
        <v>1055</v>
      </c>
      <c r="AB59" s="248"/>
      <c r="AC59" s="185">
        <v>34049</v>
      </c>
      <c r="AD59" s="185">
        <v>24008</v>
      </c>
      <c r="AE59" s="185">
        <v>22914</v>
      </c>
      <c r="AF59" s="185">
        <v>10238</v>
      </c>
      <c r="AG59" s="185">
        <v>55053</v>
      </c>
      <c r="AH59" s="185">
        <v>0</v>
      </c>
      <c r="AI59" s="185">
        <v>13971</v>
      </c>
      <c r="AJ59" s="185">
        <v>193960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104927</v>
      </c>
      <c r="AZ59" s="185">
        <v>298762</v>
      </c>
      <c r="BA59" s="248"/>
      <c r="BB59" s="248"/>
      <c r="BC59" s="248"/>
      <c r="BD59" s="248"/>
      <c r="BE59" s="185">
        <v>809833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232</v>
      </c>
      <c r="B60" s="175"/>
      <c r="C60" s="186">
        <v>79.871897555432682</v>
      </c>
      <c r="D60" s="187">
        <v>0</v>
      </c>
      <c r="E60" s="187">
        <v>129.06190194636781</v>
      </c>
      <c r="F60" s="223">
        <v>0</v>
      </c>
      <c r="G60" s="187">
        <v>0</v>
      </c>
      <c r="H60" s="187">
        <v>44.065830962884611</v>
      </c>
      <c r="I60" s="187">
        <v>0</v>
      </c>
      <c r="J60" s="223">
        <v>2.7033528817572146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39.733869854567303</v>
      </c>
      <c r="Q60" s="221">
        <v>5.8250521730769229</v>
      </c>
      <c r="R60" s="221">
        <v>11.247415502740386</v>
      </c>
      <c r="S60" s="221">
        <v>20.405220829326922</v>
      </c>
      <c r="T60" s="221">
        <v>1.6409169675480766</v>
      </c>
      <c r="U60" s="221">
        <v>0</v>
      </c>
      <c r="V60" s="221">
        <v>0</v>
      </c>
      <c r="W60" s="221">
        <v>4.0976822151442294</v>
      </c>
      <c r="X60" s="221">
        <v>7.310585935096154</v>
      </c>
      <c r="Y60" s="221">
        <v>55.714204318509623</v>
      </c>
      <c r="Z60" s="221">
        <v>7.5293531045673081</v>
      </c>
      <c r="AA60" s="221">
        <v>4.0651358269230764</v>
      </c>
      <c r="AB60" s="221">
        <v>40.793524243990376</v>
      </c>
      <c r="AC60" s="221">
        <v>15.832023569711538</v>
      </c>
      <c r="AD60" s="221">
        <v>36.134740099759611</v>
      </c>
      <c r="AE60" s="221">
        <v>10.664604728365385</v>
      </c>
      <c r="AF60" s="221">
        <v>18.062080207932691</v>
      </c>
      <c r="AG60" s="221">
        <v>83.813484530336524</v>
      </c>
      <c r="AH60" s="221">
        <v>0</v>
      </c>
      <c r="AI60" s="221">
        <v>31.977339830528841</v>
      </c>
      <c r="AJ60" s="221">
        <v>299.71240019769232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21.044862895673074</v>
      </c>
      <c r="AZ60" s="221">
        <v>10.529791459134618</v>
      </c>
      <c r="BA60" s="221">
        <v>1.0054258461538461</v>
      </c>
      <c r="BB60" s="221">
        <v>17.804207753605766</v>
      </c>
      <c r="BC60" s="221">
        <v>6.3729231670673077</v>
      </c>
      <c r="BD60" s="221">
        <v>0</v>
      </c>
      <c r="BE60" s="221">
        <v>33.335961314903848</v>
      </c>
      <c r="BF60" s="221">
        <v>51.512373432692307</v>
      </c>
      <c r="BG60" s="221">
        <v>12.371424849759617</v>
      </c>
      <c r="BH60" s="221">
        <v>0</v>
      </c>
      <c r="BI60" s="221">
        <v>0</v>
      </c>
      <c r="BJ60" s="221">
        <v>0</v>
      </c>
      <c r="BK60" s="221">
        <v>0</v>
      </c>
      <c r="BL60" s="221">
        <v>58.31914872956731</v>
      </c>
      <c r="BM60" s="221">
        <v>0</v>
      </c>
      <c r="BN60" s="221">
        <v>12.831358272836537</v>
      </c>
      <c r="BO60" s="221">
        <v>3.0049416771153843</v>
      </c>
      <c r="BP60" s="221">
        <v>0</v>
      </c>
      <c r="BQ60" s="221">
        <v>0</v>
      </c>
      <c r="BR60" s="221">
        <v>1.0820227307692307</v>
      </c>
      <c r="BS60" s="221">
        <v>7.4519921009615375</v>
      </c>
      <c r="BT60" s="221">
        <v>5.3120675961538462</v>
      </c>
      <c r="BU60" s="221">
        <v>1.0027473076923077</v>
      </c>
      <c r="BV60" s="221">
        <v>0</v>
      </c>
      <c r="BW60" s="221">
        <v>2.3732659615384617</v>
      </c>
      <c r="BX60" s="221">
        <v>0</v>
      </c>
      <c r="BY60" s="221">
        <v>2.9126375420673081</v>
      </c>
      <c r="BZ60" s="221">
        <v>11.363252627403845</v>
      </c>
      <c r="CA60" s="221">
        <v>0</v>
      </c>
      <c r="CB60" s="221">
        <v>0</v>
      </c>
      <c r="CC60" s="221">
        <v>24.99784509778846</v>
      </c>
      <c r="CD60" s="249" t="s">
        <v>221</v>
      </c>
      <c r="CE60" s="251">
        <f t="shared" ref="CE60:CE70" si="0">SUM(C60:CD60)</f>
        <v>1234.8908678451442</v>
      </c>
    </row>
    <row r="61" spans="1:84" ht="12.6" customHeight="1" x14ac:dyDescent="0.25">
      <c r="A61" s="171" t="s">
        <v>233</v>
      </c>
      <c r="B61" s="175"/>
      <c r="C61" s="184">
        <v>6746689.3100000005</v>
      </c>
      <c r="D61" s="184">
        <v>0</v>
      </c>
      <c r="E61" s="184">
        <v>10681705.629483998</v>
      </c>
      <c r="F61" s="185">
        <v>0</v>
      </c>
      <c r="G61" s="184">
        <v>0</v>
      </c>
      <c r="H61" s="184">
        <v>3470228.8000000003</v>
      </c>
      <c r="I61" s="185">
        <v>0</v>
      </c>
      <c r="J61" s="185">
        <v>284595.7505160002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3302897.01</v>
      </c>
      <c r="Q61" s="185">
        <v>705520.6399999999</v>
      </c>
      <c r="R61" s="185">
        <v>3664211.2500000009</v>
      </c>
      <c r="S61" s="185">
        <v>896836.87</v>
      </c>
      <c r="T61" s="185">
        <v>193436.77000000002</v>
      </c>
      <c r="U61" s="185">
        <v>0</v>
      </c>
      <c r="V61" s="185">
        <v>0</v>
      </c>
      <c r="W61" s="185">
        <v>432122.01999999996</v>
      </c>
      <c r="X61" s="185">
        <v>647720.82000000007</v>
      </c>
      <c r="Y61" s="185">
        <v>4311846.0199999996</v>
      </c>
      <c r="Z61" s="185">
        <v>774917.51000000013</v>
      </c>
      <c r="AA61" s="185">
        <v>603330.51</v>
      </c>
      <c r="AB61" s="185">
        <v>3893634.8499999996</v>
      </c>
      <c r="AC61" s="185">
        <v>1264680.77</v>
      </c>
      <c r="AD61" s="185">
        <v>2520125.4</v>
      </c>
      <c r="AE61" s="185">
        <v>888559.09</v>
      </c>
      <c r="AF61" s="185">
        <v>2210416.54</v>
      </c>
      <c r="AG61" s="185">
        <v>7478610.8400000017</v>
      </c>
      <c r="AH61" s="185">
        <v>0</v>
      </c>
      <c r="AI61" s="185">
        <v>2765872.9699999988</v>
      </c>
      <c r="AJ61" s="185">
        <v>33707567.769999996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961989.62000000011</v>
      </c>
      <c r="AZ61" s="185">
        <v>393807.1700000001</v>
      </c>
      <c r="BA61" s="185">
        <v>47181.679999999993</v>
      </c>
      <c r="BB61" s="185">
        <v>1739477.79</v>
      </c>
      <c r="BC61" s="185">
        <v>252473.24999999997</v>
      </c>
      <c r="BD61" s="185">
        <v>0</v>
      </c>
      <c r="BE61" s="185">
        <v>2306946.8699999996</v>
      </c>
      <c r="BF61" s="185">
        <v>2197772.5900000003</v>
      </c>
      <c r="BG61" s="185">
        <v>486045.53</v>
      </c>
      <c r="BH61" s="185">
        <v>0</v>
      </c>
      <c r="BI61" s="185">
        <v>0</v>
      </c>
      <c r="BJ61" s="185">
        <v>0</v>
      </c>
      <c r="BK61" s="185">
        <v>0</v>
      </c>
      <c r="BL61" s="185">
        <v>3336875.4599999995</v>
      </c>
      <c r="BM61" s="185">
        <v>0</v>
      </c>
      <c r="BN61" s="185">
        <v>2712364.5400000005</v>
      </c>
      <c r="BO61" s="185">
        <v>255390.06000000003</v>
      </c>
      <c r="BP61" s="185">
        <v>0</v>
      </c>
      <c r="BQ61" s="185">
        <v>0</v>
      </c>
      <c r="BR61" s="185">
        <v>73117.859999999986</v>
      </c>
      <c r="BS61" s="185">
        <v>169528.18000000002</v>
      </c>
      <c r="BT61" s="185">
        <v>451559.75</v>
      </c>
      <c r="BU61" s="185">
        <v>77008.38</v>
      </c>
      <c r="BV61" s="185">
        <v>0</v>
      </c>
      <c r="BW61" s="185">
        <v>215474.68</v>
      </c>
      <c r="BX61" s="185">
        <v>0</v>
      </c>
      <c r="BY61" s="185">
        <v>292240.81</v>
      </c>
      <c r="BZ61" s="185">
        <v>1200051.49</v>
      </c>
      <c r="CA61" s="185">
        <v>0</v>
      </c>
      <c r="CB61" s="185">
        <v>0</v>
      </c>
      <c r="CC61" s="185">
        <v>2615086.8200000003</v>
      </c>
      <c r="CD61" s="249" t="s">
        <v>221</v>
      </c>
      <c r="CE61" s="195">
        <f t="shared" si="0"/>
        <v>111229919.67000005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1908495</v>
      </c>
      <c r="D62" s="195">
        <f t="shared" si="1"/>
        <v>0</v>
      </c>
      <c r="E62" s="195">
        <f t="shared" si="1"/>
        <v>2937993</v>
      </c>
      <c r="F62" s="195">
        <f t="shared" si="1"/>
        <v>0</v>
      </c>
      <c r="G62" s="195">
        <f t="shared" si="1"/>
        <v>0</v>
      </c>
      <c r="H62" s="195">
        <f t="shared" si="1"/>
        <v>879344</v>
      </c>
      <c r="I62" s="195">
        <f t="shared" si="1"/>
        <v>0</v>
      </c>
      <c r="J62" s="195">
        <f>ROUND(J47+J48,0)</f>
        <v>66363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1005965</v>
      </c>
      <c r="Q62" s="195">
        <f t="shared" si="1"/>
        <v>171105</v>
      </c>
      <c r="R62" s="195">
        <f t="shared" si="1"/>
        <v>588828</v>
      </c>
      <c r="S62" s="195">
        <f t="shared" si="1"/>
        <v>382692</v>
      </c>
      <c r="T62" s="195">
        <f t="shared" si="1"/>
        <v>41453</v>
      </c>
      <c r="U62" s="195">
        <f t="shared" si="1"/>
        <v>0</v>
      </c>
      <c r="V62" s="195">
        <f t="shared" si="1"/>
        <v>0</v>
      </c>
      <c r="W62" s="195">
        <f t="shared" si="1"/>
        <v>117669</v>
      </c>
      <c r="X62" s="195">
        <f t="shared" si="1"/>
        <v>185507</v>
      </c>
      <c r="Y62" s="195">
        <f t="shared" si="1"/>
        <v>1254981</v>
      </c>
      <c r="Z62" s="195">
        <f t="shared" si="1"/>
        <v>212696</v>
      </c>
      <c r="AA62" s="195">
        <f t="shared" si="1"/>
        <v>118636</v>
      </c>
      <c r="AB62" s="195">
        <f t="shared" si="1"/>
        <v>969627</v>
      </c>
      <c r="AC62" s="195">
        <f t="shared" si="1"/>
        <v>297582</v>
      </c>
      <c r="AD62" s="195">
        <f t="shared" si="1"/>
        <v>695618</v>
      </c>
      <c r="AE62" s="195">
        <f t="shared" si="1"/>
        <v>188167</v>
      </c>
      <c r="AF62" s="195">
        <f t="shared" si="1"/>
        <v>524470</v>
      </c>
      <c r="AG62" s="195">
        <f t="shared" si="1"/>
        <v>1831109</v>
      </c>
      <c r="AH62" s="195">
        <f t="shared" si="1"/>
        <v>0</v>
      </c>
      <c r="AI62" s="195">
        <f t="shared" si="1"/>
        <v>757860</v>
      </c>
      <c r="AJ62" s="195">
        <f t="shared" si="1"/>
        <v>7199792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305812</v>
      </c>
      <c r="AZ62" s="195">
        <f>ROUND(AZ47+AZ48,0)</f>
        <v>134188</v>
      </c>
      <c r="BA62" s="195">
        <f>ROUND(BA47+BA48,0)</f>
        <v>15870</v>
      </c>
      <c r="BB62" s="195">
        <f t="shared" si="1"/>
        <v>479432</v>
      </c>
      <c r="BC62" s="195">
        <f t="shared" si="1"/>
        <v>101062</v>
      </c>
      <c r="BD62" s="195">
        <f t="shared" si="1"/>
        <v>0</v>
      </c>
      <c r="BE62" s="195">
        <f t="shared" si="1"/>
        <v>742748</v>
      </c>
      <c r="BF62" s="195">
        <f t="shared" si="1"/>
        <v>795016</v>
      </c>
      <c r="BG62" s="195">
        <f t="shared" si="1"/>
        <v>178206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1045736</v>
      </c>
      <c r="BM62" s="195">
        <f t="shared" si="1"/>
        <v>0</v>
      </c>
      <c r="BN62" s="195">
        <f t="shared" si="1"/>
        <v>453994</v>
      </c>
      <c r="BO62" s="195">
        <f t="shared" ref="BO62:CC62" si="2">ROUND(BO47+BO48,0)</f>
        <v>66994</v>
      </c>
      <c r="BP62" s="195">
        <f t="shared" si="2"/>
        <v>0</v>
      </c>
      <c r="BQ62" s="195">
        <f t="shared" si="2"/>
        <v>0</v>
      </c>
      <c r="BR62" s="195">
        <f t="shared" si="2"/>
        <v>15862</v>
      </c>
      <c r="BS62" s="195">
        <f t="shared" si="2"/>
        <v>154630</v>
      </c>
      <c r="BT62" s="195">
        <f t="shared" si="2"/>
        <v>114775</v>
      </c>
      <c r="BU62" s="195">
        <f t="shared" si="2"/>
        <v>29731</v>
      </c>
      <c r="BV62" s="195">
        <f t="shared" si="2"/>
        <v>0</v>
      </c>
      <c r="BW62" s="195">
        <f t="shared" si="2"/>
        <v>56197</v>
      </c>
      <c r="BX62" s="195">
        <f t="shared" si="2"/>
        <v>0</v>
      </c>
      <c r="BY62" s="195">
        <f t="shared" si="2"/>
        <v>81410</v>
      </c>
      <c r="BZ62" s="195">
        <f t="shared" si="2"/>
        <v>341699</v>
      </c>
      <c r="CA62" s="195">
        <f t="shared" si="2"/>
        <v>0</v>
      </c>
      <c r="CB62" s="195">
        <f t="shared" si="2"/>
        <v>0</v>
      </c>
      <c r="CC62" s="195">
        <f t="shared" si="2"/>
        <v>607150</v>
      </c>
      <c r="CD62" s="249" t="s">
        <v>221</v>
      </c>
      <c r="CE62" s="195">
        <f t="shared" si="0"/>
        <v>28056464</v>
      </c>
      <c r="CF62" s="252"/>
    </row>
    <row r="63" spans="1:84" ht="12.6" customHeight="1" x14ac:dyDescent="0.25">
      <c r="A63" s="171" t="s">
        <v>234</v>
      </c>
      <c r="B63" s="175"/>
      <c r="C63" s="184">
        <v>0</v>
      </c>
      <c r="D63" s="184">
        <v>0</v>
      </c>
      <c r="E63" s="184">
        <v>41507.085360000005</v>
      </c>
      <c r="F63" s="185">
        <v>0</v>
      </c>
      <c r="G63" s="184">
        <v>0</v>
      </c>
      <c r="H63" s="184">
        <v>0</v>
      </c>
      <c r="I63" s="185">
        <v>0</v>
      </c>
      <c r="J63" s="185">
        <v>3249.3146399999969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498440.89000000007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11768</v>
      </c>
      <c r="Z63" s="185">
        <v>39579</v>
      </c>
      <c r="AA63" s="185">
        <v>93545.049999999988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162348</v>
      </c>
      <c r="AH63" s="185">
        <v>0</v>
      </c>
      <c r="AI63" s="185">
        <v>0</v>
      </c>
      <c r="AJ63" s="185">
        <v>3501042.2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18500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4369979.54</v>
      </c>
      <c r="CF63" s="252"/>
    </row>
    <row r="64" spans="1:84" ht="12.6" customHeight="1" x14ac:dyDescent="0.25">
      <c r="A64" s="171" t="s">
        <v>235</v>
      </c>
      <c r="B64" s="175"/>
      <c r="C64" s="184">
        <v>625398.51</v>
      </c>
      <c r="D64" s="184">
        <v>0</v>
      </c>
      <c r="E64" s="185">
        <v>821025.60428000009</v>
      </c>
      <c r="F64" s="185">
        <v>0</v>
      </c>
      <c r="G64" s="184">
        <v>0</v>
      </c>
      <c r="H64" s="184">
        <v>50137.279999999999</v>
      </c>
      <c r="I64" s="185">
        <v>0</v>
      </c>
      <c r="J64" s="185">
        <v>24895.425719999999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5415756.1299999999</v>
      </c>
      <c r="Q64" s="185">
        <v>25176.079999999994</v>
      </c>
      <c r="R64" s="185">
        <v>624.01</v>
      </c>
      <c r="S64" s="185">
        <v>221864.87</v>
      </c>
      <c r="T64" s="185">
        <v>13892.08</v>
      </c>
      <c r="U64" s="185">
        <v>526025.43000000005</v>
      </c>
      <c r="V64" s="185">
        <v>0</v>
      </c>
      <c r="W64" s="185">
        <v>12421.049999999997</v>
      </c>
      <c r="X64" s="185">
        <v>209895.27</v>
      </c>
      <c r="Y64" s="185">
        <v>1930557.3400000005</v>
      </c>
      <c r="Z64" s="185">
        <v>37222.240000000005</v>
      </c>
      <c r="AA64" s="185">
        <v>145454.56999999995</v>
      </c>
      <c r="AB64" s="185">
        <v>13038910.670000004</v>
      </c>
      <c r="AC64" s="185">
        <v>109051.67000000001</v>
      </c>
      <c r="AD64" s="185">
        <v>953590.5499999997</v>
      </c>
      <c r="AE64" s="185">
        <v>8514.7200000000012</v>
      </c>
      <c r="AF64" s="185">
        <v>204055.43</v>
      </c>
      <c r="AG64" s="185">
        <v>823970.11000000022</v>
      </c>
      <c r="AH64" s="185">
        <v>0</v>
      </c>
      <c r="AI64" s="185">
        <v>1152152.29</v>
      </c>
      <c r="AJ64" s="185">
        <v>2549888.7600000002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253384.45</v>
      </c>
      <c r="AZ64" s="185">
        <v>487892.80999999994</v>
      </c>
      <c r="BA64" s="185">
        <v>80843.64</v>
      </c>
      <c r="BB64" s="185">
        <v>1379.99</v>
      </c>
      <c r="BC64" s="185">
        <v>3885.6900000000005</v>
      </c>
      <c r="BD64" s="185">
        <v>74.25</v>
      </c>
      <c r="BE64" s="185">
        <v>36476.870000000003</v>
      </c>
      <c r="BF64" s="185">
        <v>342482.33000000007</v>
      </c>
      <c r="BG64" s="185">
        <v>2952.5700000000006</v>
      </c>
      <c r="BH64" s="185">
        <v>46.54</v>
      </c>
      <c r="BI64" s="185">
        <v>0</v>
      </c>
      <c r="BJ64" s="185">
        <v>0</v>
      </c>
      <c r="BK64" s="185">
        <v>0</v>
      </c>
      <c r="BL64" s="185">
        <v>9564.65</v>
      </c>
      <c r="BM64" s="185">
        <v>0</v>
      </c>
      <c r="BN64" s="185">
        <v>27521.62</v>
      </c>
      <c r="BO64" s="185">
        <v>33246.950000000004</v>
      </c>
      <c r="BP64" s="185">
        <v>0</v>
      </c>
      <c r="BQ64" s="185">
        <v>0</v>
      </c>
      <c r="BR64" s="185">
        <v>17682.280000000002</v>
      </c>
      <c r="BS64" s="185">
        <v>32993.770000000004</v>
      </c>
      <c r="BT64" s="185">
        <v>2085.6899999999996</v>
      </c>
      <c r="BU64" s="185">
        <v>150.12</v>
      </c>
      <c r="BV64" s="185">
        <v>0</v>
      </c>
      <c r="BW64" s="185">
        <v>27047.500000000004</v>
      </c>
      <c r="BX64" s="185">
        <v>0</v>
      </c>
      <c r="BY64" s="185">
        <v>5353.16</v>
      </c>
      <c r="BZ64" s="185">
        <v>1624.33</v>
      </c>
      <c r="CA64" s="185">
        <v>0</v>
      </c>
      <c r="CB64" s="185">
        <v>0</v>
      </c>
      <c r="CC64" s="185">
        <v>892535.0199999999</v>
      </c>
      <c r="CD64" s="249" t="s">
        <v>221</v>
      </c>
      <c r="CE64" s="195">
        <f t="shared" si="0"/>
        <v>31159704.320000004</v>
      </c>
      <c r="CF64" s="252"/>
    </row>
    <row r="65" spans="1:84" ht="12.6" customHeight="1" x14ac:dyDescent="0.25">
      <c r="A65" s="171" t="s">
        <v>236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6200</v>
      </c>
      <c r="Z65" s="185">
        <v>177.37</v>
      </c>
      <c r="AA65" s="185">
        <v>0</v>
      </c>
      <c r="AB65" s="185">
        <v>0</v>
      </c>
      <c r="AC65" s="185">
        <v>0</v>
      </c>
      <c r="AD65" s="185">
        <v>0</v>
      </c>
      <c r="AE65" s="185">
        <v>325.55</v>
      </c>
      <c r="AF65" s="185">
        <v>0</v>
      </c>
      <c r="AG65" s="185">
        <v>600</v>
      </c>
      <c r="AH65" s="185">
        <v>0</v>
      </c>
      <c r="AI65" s="185">
        <v>150</v>
      </c>
      <c r="AJ65" s="185">
        <v>15235.84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600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2432188.7199999997</v>
      </c>
      <c r="BF65" s="185">
        <v>147025.81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4500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600</v>
      </c>
      <c r="BU65" s="185">
        <v>0</v>
      </c>
      <c r="BV65" s="185">
        <v>0</v>
      </c>
      <c r="BW65" s="185">
        <v>0</v>
      </c>
      <c r="BX65" s="185">
        <v>0</v>
      </c>
      <c r="BY65" s="185">
        <v>600</v>
      </c>
      <c r="BZ65" s="185">
        <v>50</v>
      </c>
      <c r="CA65" s="185">
        <v>0</v>
      </c>
      <c r="CB65" s="185">
        <v>0</v>
      </c>
      <c r="CC65" s="185">
        <v>1150</v>
      </c>
      <c r="CD65" s="249" t="s">
        <v>221</v>
      </c>
      <c r="CE65" s="195">
        <f t="shared" si="0"/>
        <v>2609703.2899999996</v>
      </c>
      <c r="CF65" s="252"/>
    </row>
    <row r="66" spans="1:84" ht="12.6" customHeight="1" x14ac:dyDescent="0.25">
      <c r="A66" s="171" t="s">
        <v>237</v>
      </c>
      <c r="B66" s="175"/>
      <c r="C66" s="184">
        <v>2434.46</v>
      </c>
      <c r="D66" s="184">
        <v>0</v>
      </c>
      <c r="E66" s="184">
        <v>7619.4020279999995</v>
      </c>
      <c r="F66" s="184">
        <v>0</v>
      </c>
      <c r="G66" s="184">
        <v>0</v>
      </c>
      <c r="H66" s="184">
        <v>0</v>
      </c>
      <c r="I66" s="184">
        <v>0</v>
      </c>
      <c r="J66" s="184">
        <v>201.11797200000001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211247.16000000003</v>
      </c>
      <c r="Q66" s="185">
        <v>133.54</v>
      </c>
      <c r="R66" s="185">
        <v>2734886.21</v>
      </c>
      <c r="S66" s="184">
        <v>7988.3</v>
      </c>
      <c r="T66" s="184">
        <v>0</v>
      </c>
      <c r="U66" s="185">
        <v>6785847.0700000003</v>
      </c>
      <c r="V66" s="185">
        <v>0</v>
      </c>
      <c r="W66" s="185">
        <v>2495.79</v>
      </c>
      <c r="X66" s="185">
        <v>306.12</v>
      </c>
      <c r="Y66" s="185">
        <v>28107.69</v>
      </c>
      <c r="Z66" s="185">
        <v>5149.7800000000007</v>
      </c>
      <c r="AA66" s="185">
        <v>6703.6300000000028</v>
      </c>
      <c r="AB66" s="185">
        <v>1084581.8899999999</v>
      </c>
      <c r="AC66" s="185">
        <v>781.6</v>
      </c>
      <c r="AD66" s="185">
        <v>39350.540000000008</v>
      </c>
      <c r="AE66" s="185">
        <v>1295.6499999999999</v>
      </c>
      <c r="AF66" s="185">
        <v>3013</v>
      </c>
      <c r="AG66" s="185">
        <v>14666.140000000003</v>
      </c>
      <c r="AH66" s="185">
        <v>0</v>
      </c>
      <c r="AI66" s="185">
        <v>26636.260000000002</v>
      </c>
      <c r="AJ66" s="185">
        <v>-2393466.7099999995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1108.92</v>
      </c>
      <c r="AZ66" s="185">
        <v>0</v>
      </c>
      <c r="BA66" s="185">
        <v>426560.67</v>
      </c>
      <c r="BB66" s="185">
        <v>3673.19</v>
      </c>
      <c r="BC66" s="185">
        <v>19487.16</v>
      </c>
      <c r="BD66" s="185">
        <v>17.86</v>
      </c>
      <c r="BE66" s="185">
        <v>3682761.4299999997</v>
      </c>
      <c r="BF66" s="185">
        <v>117740.65999999999</v>
      </c>
      <c r="BG66" s="185">
        <v>26543.81</v>
      </c>
      <c r="BH66" s="185">
        <v>0</v>
      </c>
      <c r="BI66" s="185">
        <v>0</v>
      </c>
      <c r="BJ66" s="185">
        <v>0</v>
      </c>
      <c r="BK66" s="185">
        <v>172470.13999999998</v>
      </c>
      <c r="BL66" s="185">
        <v>0</v>
      </c>
      <c r="BM66" s="185">
        <v>0</v>
      </c>
      <c r="BN66" s="185">
        <v>25092286.399999995</v>
      </c>
      <c r="BO66" s="185">
        <v>26866.029999999995</v>
      </c>
      <c r="BP66" s="185">
        <v>0</v>
      </c>
      <c r="BQ66" s="185">
        <v>0</v>
      </c>
      <c r="BR66" s="185">
        <v>0</v>
      </c>
      <c r="BS66" s="185">
        <v>4435.7</v>
      </c>
      <c r="BT66" s="185">
        <v>4869.55</v>
      </c>
      <c r="BU66" s="185">
        <v>0</v>
      </c>
      <c r="BV66" s="185">
        <v>303652.06000000006</v>
      </c>
      <c r="BW66" s="185">
        <v>14003.98</v>
      </c>
      <c r="BX66" s="185">
        <v>0</v>
      </c>
      <c r="BY66" s="185">
        <v>609.78</v>
      </c>
      <c r="BZ66" s="185">
        <v>0</v>
      </c>
      <c r="CA66" s="185">
        <v>0</v>
      </c>
      <c r="CB66" s="185">
        <v>0</v>
      </c>
      <c r="CC66" s="185">
        <v>9837383.0499999989</v>
      </c>
      <c r="CD66" s="249" t="s">
        <v>221</v>
      </c>
      <c r="CE66" s="195">
        <f t="shared" si="0"/>
        <v>48304449.029999994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469379</v>
      </c>
      <c r="D67" s="195">
        <f>ROUND(D51+D52,0)</f>
        <v>0</v>
      </c>
      <c r="E67" s="195">
        <f t="shared" ref="E67:BP67" si="3">ROUND(E51+E52,0)</f>
        <v>789975</v>
      </c>
      <c r="F67" s="195">
        <f t="shared" si="3"/>
        <v>0</v>
      </c>
      <c r="G67" s="195">
        <f t="shared" si="3"/>
        <v>0</v>
      </c>
      <c r="H67" s="195">
        <f t="shared" si="3"/>
        <v>108854</v>
      </c>
      <c r="I67" s="195">
        <f t="shared" si="3"/>
        <v>0</v>
      </c>
      <c r="J67" s="195">
        <f>ROUND(J51+J52,0)</f>
        <v>14277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924737</v>
      </c>
      <c r="Q67" s="195">
        <f t="shared" si="3"/>
        <v>66190</v>
      </c>
      <c r="R67" s="195">
        <f t="shared" si="3"/>
        <v>0</v>
      </c>
      <c r="S67" s="195">
        <f t="shared" si="3"/>
        <v>50406</v>
      </c>
      <c r="T67" s="195">
        <f t="shared" si="3"/>
        <v>0</v>
      </c>
      <c r="U67" s="195">
        <f t="shared" si="3"/>
        <v>56267</v>
      </c>
      <c r="V67" s="195">
        <f t="shared" si="3"/>
        <v>0</v>
      </c>
      <c r="W67" s="195">
        <f t="shared" si="3"/>
        <v>20472</v>
      </c>
      <c r="X67" s="195">
        <f t="shared" si="3"/>
        <v>11226</v>
      </c>
      <c r="Y67" s="195">
        <f t="shared" si="3"/>
        <v>949605</v>
      </c>
      <c r="Z67" s="195">
        <f t="shared" si="3"/>
        <v>720546</v>
      </c>
      <c r="AA67" s="195">
        <f t="shared" si="3"/>
        <v>41433</v>
      </c>
      <c r="AB67" s="195">
        <f t="shared" si="3"/>
        <v>502464</v>
      </c>
      <c r="AC67" s="195">
        <f t="shared" si="3"/>
        <v>28955</v>
      </c>
      <c r="AD67" s="195">
        <f t="shared" si="3"/>
        <v>176446</v>
      </c>
      <c r="AE67" s="195">
        <f t="shared" si="3"/>
        <v>86840</v>
      </c>
      <c r="AF67" s="195">
        <f t="shared" si="3"/>
        <v>159826</v>
      </c>
      <c r="AG67" s="195">
        <f t="shared" si="3"/>
        <v>323448</v>
      </c>
      <c r="AH67" s="195">
        <f t="shared" si="3"/>
        <v>0</v>
      </c>
      <c r="AI67" s="195">
        <f t="shared" si="3"/>
        <v>308475</v>
      </c>
      <c r="AJ67" s="195">
        <f t="shared" si="3"/>
        <v>922045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118199</v>
      </c>
      <c r="AZ67" s="195">
        <f>ROUND(AZ51+AZ52,0)</f>
        <v>9960</v>
      </c>
      <c r="BA67" s="195">
        <f>ROUND(BA51+BA52,0)</f>
        <v>9130</v>
      </c>
      <c r="BB67" s="195">
        <f t="shared" si="3"/>
        <v>31618</v>
      </c>
      <c r="BC67" s="195">
        <f t="shared" si="3"/>
        <v>0</v>
      </c>
      <c r="BD67" s="195">
        <f t="shared" si="3"/>
        <v>30098</v>
      </c>
      <c r="BE67" s="195">
        <f t="shared" si="3"/>
        <v>2564659</v>
      </c>
      <c r="BF67" s="195">
        <f t="shared" si="3"/>
        <v>29084</v>
      </c>
      <c r="BG67" s="195">
        <f t="shared" si="3"/>
        <v>218483</v>
      </c>
      <c r="BH67" s="195">
        <f t="shared" si="3"/>
        <v>220919</v>
      </c>
      <c r="BI67" s="195">
        <f t="shared" si="3"/>
        <v>0</v>
      </c>
      <c r="BJ67" s="195">
        <f t="shared" si="3"/>
        <v>0</v>
      </c>
      <c r="BK67" s="195">
        <f t="shared" si="3"/>
        <v>23810</v>
      </c>
      <c r="BL67" s="195">
        <f t="shared" si="3"/>
        <v>0</v>
      </c>
      <c r="BM67" s="195">
        <f t="shared" si="3"/>
        <v>0</v>
      </c>
      <c r="BN67" s="195">
        <f t="shared" si="3"/>
        <v>6376369</v>
      </c>
      <c r="BO67" s="195">
        <f t="shared" si="3"/>
        <v>38740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36082</v>
      </c>
      <c r="BS67" s="195">
        <f t="shared" si="4"/>
        <v>15542</v>
      </c>
      <c r="BT67" s="195">
        <f t="shared" si="4"/>
        <v>18968</v>
      </c>
      <c r="BU67" s="195">
        <f t="shared" si="4"/>
        <v>7013</v>
      </c>
      <c r="BV67" s="195">
        <f t="shared" si="4"/>
        <v>50051</v>
      </c>
      <c r="BW67" s="195">
        <f t="shared" si="4"/>
        <v>3462</v>
      </c>
      <c r="BX67" s="195">
        <f t="shared" si="4"/>
        <v>18703</v>
      </c>
      <c r="BY67" s="195">
        <f t="shared" si="4"/>
        <v>126119</v>
      </c>
      <c r="BZ67" s="195">
        <f t="shared" si="4"/>
        <v>0</v>
      </c>
      <c r="CA67" s="195">
        <f t="shared" si="4"/>
        <v>93829</v>
      </c>
      <c r="CB67" s="195">
        <f t="shared" si="4"/>
        <v>0</v>
      </c>
      <c r="CC67" s="195">
        <f t="shared" si="4"/>
        <v>1875143</v>
      </c>
      <c r="CD67" s="249" t="s">
        <v>221</v>
      </c>
      <c r="CE67" s="195">
        <f t="shared" si="0"/>
        <v>18647847</v>
      </c>
      <c r="CF67" s="252"/>
    </row>
    <row r="68" spans="1:84" ht="12.6" customHeight="1" x14ac:dyDescent="0.25">
      <c r="A68" s="171" t="s">
        <v>238</v>
      </c>
      <c r="B68" s="175"/>
      <c r="C68" s="184">
        <v>172208.78999999998</v>
      </c>
      <c r="D68" s="184">
        <v>0</v>
      </c>
      <c r="E68" s="184">
        <v>233615.55179000003</v>
      </c>
      <c r="F68" s="184">
        <v>0</v>
      </c>
      <c r="G68" s="184">
        <v>0</v>
      </c>
      <c r="H68" s="184">
        <v>620.92999999999995</v>
      </c>
      <c r="I68" s="184">
        <v>0</v>
      </c>
      <c r="J68" s="184">
        <v>1624.6682099999998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26808.29</v>
      </c>
      <c r="Q68" s="185">
        <v>2836.59</v>
      </c>
      <c r="R68" s="185">
        <v>0</v>
      </c>
      <c r="S68" s="185">
        <v>12984.4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13626.449999999993</v>
      </c>
      <c r="Z68" s="185">
        <v>0</v>
      </c>
      <c r="AA68" s="185">
        <v>11084.19</v>
      </c>
      <c r="AB68" s="185">
        <v>14755.13</v>
      </c>
      <c r="AC68" s="185">
        <v>207.36</v>
      </c>
      <c r="AD68" s="185">
        <v>6359.7500000000009</v>
      </c>
      <c r="AE68" s="185">
        <v>0</v>
      </c>
      <c r="AF68" s="185">
        <v>0</v>
      </c>
      <c r="AG68" s="185">
        <v>66912.23000000001</v>
      </c>
      <c r="AH68" s="185">
        <v>0</v>
      </c>
      <c r="AI68" s="185">
        <v>22527.909999999996</v>
      </c>
      <c r="AJ68" s="185">
        <v>236445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55370.319999999992</v>
      </c>
      <c r="BF68" s="185">
        <v>0</v>
      </c>
      <c r="BG68" s="185">
        <v>5932.46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1581.12</v>
      </c>
      <c r="CD68" s="249" t="s">
        <v>221</v>
      </c>
      <c r="CE68" s="195">
        <f t="shared" si="0"/>
        <v>885501.1399999999</v>
      </c>
      <c r="CF68" s="252"/>
    </row>
    <row r="69" spans="1:84" ht="12.6" customHeight="1" x14ac:dyDescent="0.25">
      <c r="A69" s="171" t="s">
        <v>239</v>
      </c>
      <c r="B69" s="175"/>
      <c r="C69" s="184">
        <v>11965.8</v>
      </c>
      <c r="D69" s="184">
        <v>0</v>
      </c>
      <c r="E69" s="185">
        <v>25602.125724000005</v>
      </c>
      <c r="F69" s="185">
        <v>0</v>
      </c>
      <c r="G69" s="184">
        <v>0</v>
      </c>
      <c r="H69" s="184">
        <v>33498.400000000001</v>
      </c>
      <c r="I69" s="185">
        <v>0</v>
      </c>
      <c r="J69" s="185">
        <v>444.98427600000014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33787.49</v>
      </c>
      <c r="Q69" s="185">
        <v>37.049999999999997</v>
      </c>
      <c r="R69" s="224">
        <v>47936.25</v>
      </c>
      <c r="S69" s="185">
        <v>1074.57</v>
      </c>
      <c r="T69" s="184">
        <v>237.88</v>
      </c>
      <c r="U69" s="185">
        <v>2801.8999999999996</v>
      </c>
      <c r="V69" s="185">
        <v>0</v>
      </c>
      <c r="W69" s="184">
        <v>0</v>
      </c>
      <c r="X69" s="185">
        <v>3918.31</v>
      </c>
      <c r="Y69" s="185">
        <v>40364.870000000003</v>
      </c>
      <c r="Z69" s="185">
        <v>9183.630000000001</v>
      </c>
      <c r="AA69" s="185">
        <v>1367.34</v>
      </c>
      <c r="AB69" s="185">
        <v>36178.179999999993</v>
      </c>
      <c r="AC69" s="185">
        <v>913.82999999999993</v>
      </c>
      <c r="AD69" s="185">
        <v>3244.9100000000003</v>
      </c>
      <c r="AE69" s="185">
        <v>1217.3100000000002</v>
      </c>
      <c r="AF69" s="185">
        <v>37887.160000000003</v>
      </c>
      <c r="AG69" s="185">
        <v>48846.179999999993</v>
      </c>
      <c r="AH69" s="185">
        <v>0</v>
      </c>
      <c r="AI69" s="185">
        <v>14022.48</v>
      </c>
      <c r="AJ69" s="185">
        <v>625170.37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1216.45</v>
      </c>
      <c r="AZ69" s="185">
        <v>5366.5099999999993</v>
      </c>
      <c r="BA69" s="185">
        <v>120.75</v>
      </c>
      <c r="BB69" s="185">
        <v>83611.849999999991</v>
      </c>
      <c r="BC69" s="185">
        <v>269.45</v>
      </c>
      <c r="BD69" s="185">
        <v>0</v>
      </c>
      <c r="BE69" s="185">
        <v>417834.94999999995</v>
      </c>
      <c r="BF69" s="185">
        <v>137.27000000000001</v>
      </c>
      <c r="BG69" s="185">
        <v>95423.55</v>
      </c>
      <c r="BH69" s="224">
        <v>0</v>
      </c>
      <c r="BI69" s="185">
        <v>0</v>
      </c>
      <c r="BJ69" s="185">
        <v>0</v>
      </c>
      <c r="BK69" s="185">
        <v>0</v>
      </c>
      <c r="BL69" s="185">
        <v>1727.5500000000002</v>
      </c>
      <c r="BM69" s="185">
        <v>0</v>
      </c>
      <c r="BN69" s="185">
        <v>2159828.9700000002</v>
      </c>
      <c r="BO69" s="185">
        <v>367.19</v>
      </c>
      <c r="BP69" s="185">
        <v>0</v>
      </c>
      <c r="BQ69" s="185">
        <v>0</v>
      </c>
      <c r="BR69" s="185">
        <v>720.96</v>
      </c>
      <c r="BS69" s="185">
        <v>4076.0400000000004</v>
      </c>
      <c r="BT69" s="185">
        <v>3403.41</v>
      </c>
      <c r="BU69" s="185">
        <v>81020.19</v>
      </c>
      <c r="BV69" s="185">
        <v>2910.02</v>
      </c>
      <c r="BW69" s="185">
        <v>81664.829999999987</v>
      </c>
      <c r="BX69" s="185">
        <v>0</v>
      </c>
      <c r="BY69" s="185">
        <v>107918.88000000003</v>
      </c>
      <c r="BZ69" s="185">
        <v>104.64</v>
      </c>
      <c r="CA69" s="185">
        <v>0</v>
      </c>
      <c r="CB69" s="185">
        <v>0</v>
      </c>
      <c r="CC69" s="185">
        <v>284005.64</v>
      </c>
      <c r="CD69" s="188">
        <v>7204118.0499999998</v>
      </c>
      <c r="CE69" s="195">
        <f t="shared" si="0"/>
        <v>11515548.17</v>
      </c>
      <c r="CF69" s="252"/>
    </row>
    <row r="70" spans="1:84" ht="12.6" customHeight="1" x14ac:dyDescent="0.25">
      <c r="A70" s="171" t="s">
        <v>240</v>
      </c>
      <c r="B70" s="175"/>
      <c r="C70" s="184">
        <v>250</v>
      </c>
      <c r="D70" s="184">
        <v>0</v>
      </c>
      <c r="E70" s="184">
        <v>8614.9153679999999</v>
      </c>
      <c r="F70" s="185">
        <v>0</v>
      </c>
      <c r="G70" s="184">
        <v>0</v>
      </c>
      <c r="H70" s="184">
        <v>0</v>
      </c>
      <c r="I70" s="184">
        <v>0</v>
      </c>
      <c r="J70" s="185">
        <v>674.40463199999976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4028.6</v>
      </c>
      <c r="Q70" s="184">
        <v>0</v>
      </c>
      <c r="R70" s="184">
        <v>2734722.48</v>
      </c>
      <c r="S70" s="184">
        <v>1476.95</v>
      </c>
      <c r="T70" s="184">
        <v>0</v>
      </c>
      <c r="U70" s="185">
        <v>4558.66</v>
      </c>
      <c r="V70" s="184">
        <v>0</v>
      </c>
      <c r="W70" s="184">
        <v>0</v>
      </c>
      <c r="X70" s="185">
        <v>0</v>
      </c>
      <c r="Y70" s="185">
        <v>4480.5200000000004</v>
      </c>
      <c r="Z70" s="185">
        <v>11.2</v>
      </c>
      <c r="AA70" s="185">
        <v>0</v>
      </c>
      <c r="AB70" s="185">
        <v>2681286.3199999998</v>
      </c>
      <c r="AC70" s="185">
        <v>0</v>
      </c>
      <c r="AD70" s="185">
        <v>0</v>
      </c>
      <c r="AE70" s="185">
        <v>99.99</v>
      </c>
      <c r="AF70" s="185">
        <v>105671</v>
      </c>
      <c r="AG70" s="185">
        <v>37717.599999999999</v>
      </c>
      <c r="AH70" s="185">
        <v>0</v>
      </c>
      <c r="AI70" s="185">
        <v>-417.27</v>
      </c>
      <c r="AJ70" s="185">
        <v>-2451110.9499999993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-157.30000000000001</v>
      </c>
      <c r="AZ70" s="185">
        <v>851953.33</v>
      </c>
      <c r="BA70" s="185">
        <v>0</v>
      </c>
      <c r="BB70" s="185">
        <v>0</v>
      </c>
      <c r="BC70" s="185">
        <v>0</v>
      </c>
      <c r="BD70" s="185">
        <v>0</v>
      </c>
      <c r="BE70" s="185">
        <v>7041.8099999999995</v>
      </c>
      <c r="BF70" s="185">
        <v>0</v>
      </c>
      <c r="BG70" s="185">
        <v>820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-2.5</v>
      </c>
      <c r="BO70" s="185">
        <v>0</v>
      </c>
      <c r="BP70" s="185">
        <v>0</v>
      </c>
      <c r="BQ70" s="185">
        <v>0</v>
      </c>
      <c r="BR70" s="185">
        <v>19887.169999999998</v>
      </c>
      <c r="BS70" s="185">
        <v>0</v>
      </c>
      <c r="BT70" s="185">
        <v>0</v>
      </c>
      <c r="BU70" s="185">
        <v>7393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403642.09000000008</v>
      </c>
      <c r="CD70" s="188">
        <v>-4886.4000000000005</v>
      </c>
      <c r="CE70" s="195">
        <f t="shared" si="0"/>
        <v>4417755.620000002</v>
      </c>
      <c r="CF70" s="252"/>
    </row>
    <row r="71" spans="1:84" ht="12.6" customHeight="1" x14ac:dyDescent="0.25">
      <c r="A71" s="171" t="s">
        <v>241</v>
      </c>
      <c r="B71" s="175"/>
      <c r="C71" s="195">
        <f>SUM(C61:C68)+C69-C70</f>
        <v>9936320.870000001</v>
      </c>
      <c r="D71" s="195">
        <f t="shared" ref="D71:AI71" si="5">SUM(D61:D69)-D70</f>
        <v>0</v>
      </c>
      <c r="E71" s="195">
        <f t="shared" si="5"/>
        <v>15530428.483298</v>
      </c>
      <c r="F71" s="195">
        <f t="shared" si="5"/>
        <v>0</v>
      </c>
      <c r="G71" s="195">
        <f t="shared" si="5"/>
        <v>0</v>
      </c>
      <c r="H71" s="195">
        <f t="shared" si="5"/>
        <v>4542683.4100000011</v>
      </c>
      <c r="I71" s="195">
        <f t="shared" si="5"/>
        <v>0</v>
      </c>
      <c r="J71" s="195">
        <f t="shared" si="5"/>
        <v>394976.85670200014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11415910.369999999</v>
      </c>
      <c r="Q71" s="195">
        <f t="shared" si="5"/>
        <v>970998.89999999991</v>
      </c>
      <c r="R71" s="195">
        <f t="shared" si="5"/>
        <v>4301763.24</v>
      </c>
      <c r="S71" s="195">
        <f t="shared" si="5"/>
        <v>1572370.0600000003</v>
      </c>
      <c r="T71" s="195">
        <f t="shared" si="5"/>
        <v>249019.73</v>
      </c>
      <c r="U71" s="195">
        <f t="shared" si="5"/>
        <v>7366382.7400000002</v>
      </c>
      <c r="V71" s="195">
        <f t="shared" si="5"/>
        <v>0</v>
      </c>
      <c r="W71" s="195">
        <f t="shared" si="5"/>
        <v>585179.8600000001</v>
      </c>
      <c r="X71" s="195">
        <f t="shared" si="5"/>
        <v>1058573.52</v>
      </c>
      <c r="Y71" s="195">
        <f t="shared" si="5"/>
        <v>8542575.8499999996</v>
      </c>
      <c r="Z71" s="195">
        <f t="shared" si="5"/>
        <v>1799460.3300000003</v>
      </c>
      <c r="AA71" s="195">
        <f t="shared" si="5"/>
        <v>1021554.2899999999</v>
      </c>
      <c r="AB71" s="195">
        <f t="shared" si="5"/>
        <v>16858865.400000002</v>
      </c>
      <c r="AC71" s="195">
        <f t="shared" si="5"/>
        <v>1702172.2300000002</v>
      </c>
      <c r="AD71" s="195">
        <f t="shared" si="5"/>
        <v>4394735.1499999994</v>
      </c>
      <c r="AE71" s="195">
        <f t="shared" si="5"/>
        <v>1174819.3299999998</v>
      </c>
      <c r="AF71" s="195">
        <f t="shared" si="5"/>
        <v>3033997.1300000004</v>
      </c>
      <c r="AG71" s="195">
        <f t="shared" si="5"/>
        <v>10712792.900000002</v>
      </c>
      <c r="AH71" s="195">
        <f t="shared" si="5"/>
        <v>0</v>
      </c>
      <c r="AI71" s="195">
        <f t="shared" si="5"/>
        <v>5048114.1799999988</v>
      </c>
      <c r="AJ71" s="195">
        <f t="shared" ref="AJ71:BO71" si="6">SUM(AJ61:AJ69)-AJ70</f>
        <v>48814831.179999992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1642467.74</v>
      </c>
      <c r="AZ71" s="195">
        <f t="shared" si="6"/>
        <v>179261.16000000015</v>
      </c>
      <c r="BA71" s="195">
        <f t="shared" si="6"/>
        <v>579706.74</v>
      </c>
      <c r="BB71" s="195">
        <f t="shared" si="6"/>
        <v>2339192.8200000003</v>
      </c>
      <c r="BC71" s="195">
        <f t="shared" si="6"/>
        <v>377177.55</v>
      </c>
      <c r="BD71" s="195">
        <f t="shared" si="6"/>
        <v>30190.11</v>
      </c>
      <c r="BE71" s="195">
        <f t="shared" si="6"/>
        <v>12231944.349999998</v>
      </c>
      <c r="BF71" s="195">
        <f t="shared" si="6"/>
        <v>3629258.6600000006</v>
      </c>
      <c r="BG71" s="195">
        <f t="shared" si="6"/>
        <v>1012766.92</v>
      </c>
      <c r="BH71" s="195">
        <f t="shared" si="6"/>
        <v>220965.54</v>
      </c>
      <c r="BI71" s="195">
        <f t="shared" si="6"/>
        <v>0</v>
      </c>
      <c r="BJ71" s="195">
        <f t="shared" si="6"/>
        <v>0</v>
      </c>
      <c r="BK71" s="195">
        <f t="shared" si="6"/>
        <v>196280.13999999998</v>
      </c>
      <c r="BL71" s="195">
        <f t="shared" si="6"/>
        <v>4393903.6599999992</v>
      </c>
      <c r="BM71" s="195">
        <f t="shared" si="6"/>
        <v>0</v>
      </c>
      <c r="BN71" s="195">
        <f t="shared" si="6"/>
        <v>36826867.029999994</v>
      </c>
      <c r="BO71" s="195">
        <f t="shared" si="6"/>
        <v>421604.23000000004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123577.92999999998</v>
      </c>
      <c r="BS71" s="195">
        <f t="shared" si="7"/>
        <v>381205.69000000006</v>
      </c>
      <c r="BT71" s="195">
        <f t="shared" si="7"/>
        <v>596261.4</v>
      </c>
      <c r="BU71" s="195">
        <f t="shared" si="7"/>
        <v>187529.69</v>
      </c>
      <c r="BV71" s="195">
        <f t="shared" si="7"/>
        <v>356613.08000000007</v>
      </c>
      <c r="BW71" s="195">
        <f t="shared" si="7"/>
        <v>416349.99</v>
      </c>
      <c r="BX71" s="195">
        <f t="shared" si="7"/>
        <v>18703</v>
      </c>
      <c r="BY71" s="195">
        <f t="shared" si="7"/>
        <v>614251.63</v>
      </c>
      <c r="BZ71" s="195">
        <f t="shared" si="7"/>
        <v>1543529.46</v>
      </c>
      <c r="CA71" s="195">
        <f t="shared" si="7"/>
        <v>93829</v>
      </c>
      <c r="CB71" s="195">
        <f t="shared" si="7"/>
        <v>0</v>
      </c>
      <c r="CC71" s="195">
        <f t="shared" si="7"/>
        <v>15710392.559999999</v>
      </c>
      <c r="CD71" s="245">
        <f>CD69-CD70</f>
        <v>7209004.4500000002</v>
      </c>
      <c r="CE71" s="195">
        <f>SUM(CE61:CE69)-CE70</f>
        <v>252361360.53999999</v>
      </c>
      <c r="CF71" s="252"/>
    </row>
    <row r="72" spans="1:84" ht="12.6" customHeight="1" x14ac:dyDescent="0.25">
      <c r="A72" s="171" t="s">
        <v>242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243</v>
      </c>
      <c r="B73" s="175"/>
      <c r="C73" s="184">
        <v>39911104.599999994</v>
      </c>
      <c r="D73" s="184">
        <v>0</v>
      </c>
      <c r="E73" s="185">
        <v>70902338.546027988</v>
      </c>
      <c r="F73" s="185">
        <v>0</v>
      </c>
      <c r="G73" s="184">
        <v>0</v>
      </c>
      <c r="H73" s="184">
        <v>14546177</v>
      </c>
      <c r="I73" s="185">
        <v>0</v>
      </c>
      <c r="J73" s="185">
        <v>2312969.2239720002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37009840.710000001</v>
      </c>
      <c r="Q73" s="185">
        <v>1523865</v>
      </c>
      <c r="R73" s="185">
        <v>0</v>
      </c>
      <c r="S73" s="185">
        <v>0</v>
      </c>
      <c r="T73" s="185">
        <v>655044</v>
      </c>
      <c r="U73" s="185">
        <v>17056161.789999999</v>
      </c>
      <c r="V73" s="185">
        <v>0</v>
      </c>
      <c r="W73" s="185">
        <v>3010864.6999999997</v>
      </c>
      <c r="X73" s="185">
        <v>13267192.1</v>
      </c>
      <c r="Y73" s="185">
        <v>19301214.229999997</v>
      </c>
      <c r="Z73" s="185">
        <v>120051</v>
      </c>
      <c r="AA73" s="185">
        <v>482352.4</v>
      </c>
      <c r="AB73" s="185">
        <v>20553343.649999999</v>
      </c>
      <c r="AC73" s="185">
        <v>12278003</v>
      </c>
      <c r="AD73" s="185">
        <v>1024167</v>
      </c>
      <c r="AE73" s="185">
        <v>3588780.82</v>
      </c>
      <c r="AF73" s="185">
        <v>0</v>
      </c>
      <c r="AG73" s="185">
        <v>25861514.219999999</v>
      </c>
      <c r="AH73" s="185">
        <v>0</v>
      </c>
      <c r="AI73" s="185">
        <v>1170371.3199999998</v>
      </c>
      <c r="AJ73" s="185">
        <v>116703.98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284692059.28999996</v>
      </c>
      <c r="CF73" s="252"/>
    </row>
    <row r="74" spans="1:84" ht="12.6" customHeight="1" x14ac:dyDescent="0.25">
      <c r="A74" s="171" t="s">
        <v>244</v>
      </c>
      <c r="B74" s="175"/>
      <c r="C74" s="184">
        <v>2578314</v>
      </c>
      <c r="D74" s="184">
        <v>0</v>
      </c>
      <c r="E74" s="185">
        <v>3717396.6615040042</v>
      </c>
      <c r="F74" s="185">
        <v>0</v>
      </c>
      <c r="G74" s="184">
        <v>0</v>
      </c>
      <c r="H74" s="184">
        <v>0</v>
      </c>
      <c r="I74" s="184">
        <v>0</v>
      </c>
      <c r="J74" s="185">
        <v>48695.648495998234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27853108.369999997</v>
      </c>
      <c r="Q74" s="185">
        <v>2269225</v>
      </c>
      <c r="R74" s="185">
        <v>6243964</v>
      </c>
      <c r="S74" s="185">
        <v>0</v>
      </c>
      <c r="T74" s="185">
        <v>78363</v>
      </c>
      <c r="U74" s="185">
        <v>16518554.580000006</v>
      </c>
      <c r="V74" s="185">
        <v>0</v>
      </c>
      <c r="W74" s="185">
        <v>8025144.5</v>
      </c>
      <c r="X74" s="185">
        <v>32152469.149999999</v>
      </c>
      <c r="Y74" s="185">
        <v>45968567.899999999</v>
      </c>
      <c r="Z74" s="185">
        <v>18995805</v>
      </c>
      <c r="AA74" s="185">
        <v>2931402.7</v>
      </c>
      <c r="AB74" s="185">
        <v>43318672.719999999</v>
      </c>
      <c r="AC74" s="185">
        <v>2087493</v>
      </c>
      <c r="AD74" s="185">
        <v>24306310</v>
      </c>
      <c r="AE74" s="185">
        <v>858120.30000000028</v>
      </c>
      <c r="AF74" s="185">
        <v>4274171.4399999995</v>
      </c>
      <c r="AG74" s="185">
        <v>88969606.789999992</v>
      </c>
      <c r="AH74" s="185">
        <v>0</v>
      </c>
      <c r="AI74" s="185">
        <v>24954125.149999999</v>
      </c>
      <c r="AJ74" s="185">
        <v>76815371.469999999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432964881.38</v>
      </c>
      <c r="CF74" s="252"/>
    </row>
    <row r="75" spans="1:84" ht="12.6" customHeight="1" x14ac:dyDescent="0.25">
      <c r="A75" s="171" t="s">
        <v>245</v>
      </c>
      <c r="B75" s="175"/>
      <c r="C75" s="195">
        <f t="shared" ref="C75:AV75" si="9">SUM(C73:C74)</f>
        <v>42489418.599999994</v>
      </c>
      <c r="D75" s="195">
        <f t="shared" si="9"/>
        <v>0</v>
      </c>
      <c r="E75" s="195">
        <f t="shared" si="9"/>
        <v>74619735.207531989</v>
      </c>
      <c r="F75" s="195">
        <f t="shared" si="9"/>
        <v>0</v>
      </c>
      <c r="G75" s="195">
        <f t="shared" si="9"/>
        <v>0</v>
      </c>
      <c r="H75" s="195">
        <f t="shared" si="9"/>
        <v>14546177</v>
      </c>
      <c r="I75" s="195">
        <f t="shared" si="9"/>
        <v>0</v>
      </c>
      <c r="J75" s="195">
        <f t="shared" si="9"/>
        <v>2361664.8724679984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64862949.079999998</v>
      </c>
      <c r="Q75" s="195">
        <f t="shared" si="9"/>
        <v>3793090</v>
      </c>
      <c r="R75" s="195">
        <f t="shared" si="9"/>
        <v>6243964</v>
      </c>
      <c r="S75" s="195">
        <f t="shared" si="9"/>
        <v>0</v>
      </c>
      <c r="T75" s="195">
        <f t="shared" si="9"/>
        <v>733407</v>
      </c>
      <c r="U75" s="195">
        <f t="shared" si="9"/>
        <v>33574716.370000005</v>
      </c>
      <c r="V75" s="195">
        <f t="shared" si="9"/>
        <v>0</v>
      </c>
      <c r="W75" s="195">
        <f t="shared" si="9"/>
        <v>11036009.199999999</v>
      </c>
      <c r="X75" s="195">
        <f t="shared" si="9"/>
        <v>45419661.25</v>
      </c>
      <c r="Y75" s="195">
        <f t="shared" si="9"/>
        <v>65269782.129999995</v>
      </c>
      <c r="Z75" s="195">
        <f t="shared" si="9"/>
        <v>19115856</v>
      </c>
      <c r="AA75" s="195">
        <f t="shared" si="9"/>
        <v>3413755.1</v>
      </c>
      <c r="AB75" s="195">
        <f t="shared" si="9"/>
        <v>63872016.369999997</v>
      </c>
      <c r="AC75" s="195">
        <f t="shared" si="9"/>
        <v>14365496</v>
      </c>
      <c r="AD75" s="195">
        <f t="shared" si="9"/>
        <v>25330477</v>
      </c>
      <c r="AE75" s="195">
        <f t="shared" si="9"/>
        <v>4446901.12</v>
      </c>
      <c r="AF75" s="195">
        <f t="shared" si="9"/>
        <v>4274171.4399999995</v>
      </c>
      <c r="AG75" s="195">
        <f t="shared" si="9"/>
        <v>114831121.00999999</v>
      </c>
      <c r="AH75" s="195">
        <f t="shared" si="9"/>
        <v>0</v>
      </c>
      <c r="AI75" s="195">
        <f t="shared" si="9"/>
        <v>26124496.469999999</v>
      </c>
      <c r="AJ75" s="195">
        <f t="shared" si="9"/>
        <v>76932075.450000003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717656940.67000008</v>
      </c>
      <c r="CF75" s="252"/>
    </row>
    <row r="76" spans="1:84" ht="12.6" customHeight="1" x14ac:dyDescent="0.25">
      <c r="A76" s="171" t="s">
        <v>246</v>
      </c>
      <c r="B76" s="175"/>
      <c r="C76" s="184">
        <v>23023.45</v>
      </c>
      <c r="D76" s="184">
        <v>0</v>
      </c>
      <c r="E76" s="185">
        <v>43782.97</v>
      </c>
      <c r="F76" s="185">
        <v>0</v>
      </c>
      <c r="G76" s="184">
        <v>0</v>
      </c>
      <c r="H76" s="184">
        <v>10126.700000000001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24565.469999999998</v>
      </c>
      <c r="Q76" s="185">
        <v>2498.21</v>
      </c>
      <c r="R76" s="185">
        <v>0</v>
      </c>
      <c r="S76" s="185">
        <v>5561.29</v>
      </c>
      <c r="T76" s="185">
        <v>0</v>
      </c>
      <c r="U76" s="185">
        <v>6826.27</v>
      </c>
      <c r="V76" s="185">
        <v>0</v>
      </c>
      <c r="W76" s="185">
        <v>0</v>
      </c>
      <c r="X76" s="185">
        <v>0</v>
      </c>
      <c r="Y76" s="185">
        <v>24986.89</v>
      </c>
      <c r="Z76" s="185">
        <v>7191</v>
      </c>
      <c r="AA76" s="185">
        <v>1891.88</v>
      </c>
      <c r="AB76" s="185">
        <v>3257.56</v>
      </c>
      <c r="AC76" s="185">
        <v>1504</v>
      </c>
      <c r="AD76" s="185">
        <v>8407.51</v>
      </c>
      <c r="AE76" s="185">
        <v>8761.7099999999991</v>
      </c>
      <c r="AF76" s="185">
        <v>19372.75</v>
      </c>
      <c r="AG76" s="185">
        <v>20927.63</v>
      </c>
      <c r="AH76" s="185">
        <v>0</v>
      </c>
      <c r="AI76" s="185">
        <v>23173.17</v>
      </c>
      <c r="AJ76" s="185">
        <v>93341.22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12127.54</v>
      </c>
      <c r="AZ76" s="185">
        <v>0</v>
      </c>
      <c r="BA76" s="185">
        <v>1107.6300000000001</v>
      </c>
      <c r="BB76" s="185">
        <v>3835.92</v>
      </c>
      <c r="BC76" s="185">
        <v>0</v>
      </c>
      <c r="BD76" s="185">
        <v>3651.48</v>
      </c>
      <c r="BE76" s="185">
        <v>291750.58000000013</v>
      </c>
      <c r="BF76" s="185">
        <v>2996.91</v>
      </c>
      <c r="BG76" s="185">
        <v>1625.72</v>
      </c>
      <c r="BH76" s="185">
        <v>3440.8900000000003</v>
      </c>
      <c r="BI76" s="185">
        <v>0</v>
      </c>
      <c r="BJ76" s="185">
        <v>0</v>
      </c>
      <c r="BK76" s="185">
        <v>2888.69</v>
      </c>
      <c r="BL76" s="185">
        <v>0</v>
      </c>
      <c r="BM76" s="185">
        <v>0</v>
      </c>
      <c r="BN76" s="185">
        <v>5739.51</v>
      </c>
      <c r="BO76" s="185">
        <v>4700</v>
      </c>
      <c r="BP76" s="185">
        <v>0</v>
      </c>
      <c r="BQ76" s="185">
        <v>0</v>
      </c>
      <c r="BR76" s="185">
        <v>4312.55</v>
      </c>
      <c r="BS76" s="185">
        <v>1881.27</v>
      </c>
      <c r="BT76" s="185">
        <v>2160.04</v>
      </c>
      <c r="BU76" s="185">
        <v>850.86</v>
      </c>
      <c r="BV76" s="185">
        <v>6072.16</v>
      </c>
      <c r="BW76" s="185">
        <v>420</v>
      </c>
      <c r="BX76" s="185">
        <v>2269</v>
      </c>
      <c r="BY76" s="185">
        <v>2602.36</v>
      </c>
      <c r="BZ76" s="185">
        <v>0</v>
      </c>
      <c r="CA76" s="185">
        <v>11383.4</v>
      </c>
      <c r="CB76" s="185">
        <v>0</v>
      </c>
      <c r="CC76" s="185">
        <v>114817.30399999999</v>
      </c>
      <c r="CD76" s="249" t="s">
        <v>221</v>
      </c>
      <c r="CE76" s="195">
        <f t="shared" si="8"/>
        <v>809833.49400000018</v>
      </c>
      <c r="CF76" s="195">
        <f>BE59-CE76</f>
        <v>-0.49400000018067658</v>
      </c>
    </row>
    <row r="77" spans="1:84" ht="12.6" customHeight="1" x14ac:dyDescent="0.25">
      <c r="A77" s="171" t="s">
        <v>247</v>
      </c>
      <c r="B77" s="175"/>
      <c r="C77" s="184">
        <v>27004</v>
      </c>
      <c r="D77" s="184">
        <v>0</v>
      </c>
      <c r="E77" s="184">
        <v>49888</v>
      </c>
      <c r="F77" s="184">
        <v>0</v>
      </c>
      <c r="G77" s="184">
        <v>0</v>
      </c>
      <c r="H77" s="184">
        <v>22193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3626</v>
      </c>
      <c r="AH77" s="184">
        <v>0</v>
      </c>
      <c r="AI77" s="184">
        <v>2216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104927</v>
      </c>
      <c r="CF77" s="195">
        <f>AY59-CE77</f>
        <v>0</v>
      </c>
    </row>
    <row r="78" spans="1:84" ht="12.6" customHeight="1" x14ac:dyDescent="0.25">
      <c r="A78" s="171" t="s">
        <v>248</v>
      </c>
      <c r="B78" s="175"/>
      <c r="C78" s="184">
        <v>23023.45</v>
      </c>
      <c r="D78" s="184">
        <v>0</v>
      </c>
      <c r="E78" s="184">
        <v>43782.97</v>
      </c>
      <c r="F78" s="184">
        <v>0</v>
      </c>
      <c r="G78" s="184">
        <v>0</v>
      </c>
      <c r="H78" s="184">
        <v>10126.700000000001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24565.469999999998</v>
      </c>
      <c r="Q78" s="184">
        <v>2498.21</v>
      </c>
      <c r="R78" s="184">
        <v>0</v>
      </c>
      <c r="S78" s="184">
        <v>5561.29</v>
      </c>
      <c r="T78" s="184">
        <v>0</v>
      </c>
      <c r="U78" s="184">
        <v>6826.27</v>
      </c>
      <c r="V78" s="184">
        <v>0</v>
      </c>
      <c r="W78" s="184">
        <v>0</v>
      </c>
      <c r="X78" s="184">
        <v>0</v>
      </c>
      <c r="Y78" s="184">
        <v>24986.89</v>
      </c>
      <c r="Z78" s="184">
        <v>7191</v>
      </c>
      <c r="AA78" s="184">
        <v>1891.88</v>
      </c>
      <c r="AB78" s="184">
        <v>3257.56</v>
      </c>
      <c r="AC78" s="184">
        <v>1504</v>
      </c>
      <c r="AD78" s="184">
        <v>8407.51</v>
      </c>
      <c r="AE78" s="184">
        <v>8761.7099999999991</v>
      </c>
      <c r="AF78" s="184">
        <v>19372.75</v>
      </c>
      <c r="AG78" s="184">
        <v>20927.63</v>
      </c>
      <c r="AH78" s="184">
        <v>0</v>
      </c>
      <c r="AI78" s="184">
        <v>23173.17</v>
      </c>
      <c r="AJ78" s="184">
        <v>93341.22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1107.6300000000001</v>
      </c>
      <c r="BB78" s="184">
        <v>3835.92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3440.8900000000003</v>
      </c>
      <c r="BI78" s="184">
        <v>0</v>
      </c>
      <c r="BJ78" s="249" t="s">
        <v>221</v>
      </c>
      <c r="BK78" s="184">
        <v>2888.69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1881.27</v>
      </c>
      <c r="BT78" s="184">
        <v>2160.04</v>
      </c>
      <c r="BU78" s="184">
        <v>850.86</v>
      </c>
      <c r="BV78" s="184">
        <v>6072.16</v>
      </c>
      <c r="BW78" s="184">
        <v>420</v>
      </c>
      <c r="BX78" s="184">
        <v>2269</v>
      </c>
      <c r="BY78" s="184">
        <v>2602.36</v>
      </c>
      <c r="BZ78" s="184">
        <v>0</v>
      </c>
      <c r="CA78" s="184">
        <v>11383.4</v>
      </c>
      <c r="CB78" s="184">
        <v>0</v>
      </c>
      <c r="CC78" s="249" t="s">
        <v>221</v>
      </c>
      <c r="CD78" s="249" t="s">
        <v>221</v>
      </c>
      <c r="CE78" s="195">
        <f t="shared" si="8"/>
        <v>368111.9</v>
      </c>
      <c r="CF78" s="195"/>
    </row>
    <row r="79" spans="1:84" ht="12.6" customHeight="1" x14ac:dyDescent="0.25">
      <c r="A79" s="171" t="s">
        <v>249</v>
      </c>
      <c r="B79" s="175"/>
      <c r="C79" s="225">
        <v>184911.21837897567</v>
      </c>
      <c r="D79" s="225">
        <v>0</v>
      </c>
      <c r="E79" s="184">
        <v>268353.02820626734</v>
      </c>
      <c r="F79" s="184">
        <v>0</v>
      </c>
      <c r="G79" s="184">
        <v>0</v>
      </c>
      <c r="H79" s="184">
        <v>57937.76643740695</v>
      </c>
      <c r="I79" s="184">
        <v>0</v>
      </c>
      <c r="J79" s="184">
        <v>7186.1405571881123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68371.293847086694</v>
      </c>
      <c r="Q79" s="184">
        <v>18651.900436364907</v>
      </c>
      <c r="R79" s="184">
        <v>0</v>
      </c>
      <c r="S79" s="184">
        <v>0</v>
      </c>
      <c r="T79" s="184">
        <v>6214.6924073573236</v>
      </c>
      <c r="U79" s="184">
        <v>0</v>
      </c>
      <c r="V79" s="184">
        <v>0</v>
      </c>
      <c r="W79" s="184">
        <v>65.220620282695151</v>
      </c>
      <c r="X79" s="184">
        <v>298.10434935038779</v>
      </c>
      <c r="Y79" s="184">
        <v>17843.1075972789</v>
      </c>
      <c r="Z79" s="184">
        <v>0</v>
      </c>
      <c r="AA79" s="184">
        <v>0</v>
      </c>
      <c r="AB79" s="184">
        <v>0</v>
      </c>
      <c r="AC79" s="184">
        <v>0</v>
      </c>
      <c r="AD79" s="184">
        <v>39285.825182988592</v>
      </c>
      <c r="AE79" s="184">
        <v>0</v>
      </c>
      <c r="AF79" s="184">
        <v>8404.0708899847814</v>
      </c>
      <c r="AG79" s="184">
        <v>181684.33595886661</v>
      </c>
      <c r="AH79" s="184">
        <v>0</v>
      </c>
      <c r="AI79" s="184">
        <v>71011.993742066974</v>
      </c>
      <c r="AJ79" s="184">
        <v>45881.301388534113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976100.00000000023</v>
      </c>
      <c r="CF79" s="195">
        <f>BA59</f>
        <v>0</v>
      </c>
    </row>
    <row r="80" spans="1:84" ht="12.6" customHeight="1" x14ac:dyDescent="0.25">
      <c r="A80" s="171" t="s">
        <v>250</v>
      </c>
      <c r="B80" s="175"/>
      <c r="C80" s="187">
        <v>42.693992871698093</v>
      </c>
      <c r="D80" s="187">
        <v>0</v>
      </c>
      <c r="E80" s="187">
        <v>61.959800891342979</v>
      </c>
      <c r="F80" s="187">
        <v>0</v>
      </c>
      <c r="G80" s="187">
        <v>0</v>
      </c>
      <c r="H80" s="187">
        <v>13.377201280514671</v>
      </c>
      <c r="I80" s="187">
        <v>0</v>
      </c>
      <c r="J80" s="187">
        <v>1.6592018397435071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15.786189489886507</v>
      </c>
      <c r="Q80" s="187">
        <v>4.3065213200949177</v>
      </c>
      <c r="R80" s="187">
        <v>0</v>
      </c>
      <c r="S80" s="187">
        <v>0</v>
      </c>
      <c r="T80" s="187">
        <v>1.4349050082819514</v>
      </c>
      <c r="U80" s="187">
        <v>0</v>
      </c>
      <c r="V80" s="187">
        <v>0</v>
      </c>
      <c r="W80" s="187">
        <v>1.5058733168531837E-2</v>
      </c>
      <c r="X80" s="187">
        <v>6.8829057954196776E-2</v>
      </c>
      <c r="Y80" s="187">
        <v>4.1197798340491767</v>
      </c>
      <c r="Z80" s="187">
        <v>0</v>
      </c>
      <c r="AA80" s="187">
        <v>0</v>
      </c>
      <c r="AB80" s="187">
        <v>0</v>
      </c>
      <c r="AC80" s="187">
        <v>0</v>
      </c>
      <c r="AD80" s="187">
        <v>9.0706705359743456</v>
      </c>
      <c r="AE80" s="187">
        <v>0</v>
      </c>
      <c r="AF80" s="187">
        <v>1.9404087313668985</v>
      </c>
      <c r="AG80" s="187">
        <v>41.948940752904591</v>
      </c>
      <c r="AH80" s="187">
        <v>0</v>
      </c>
      <c r="AI80" s="187">
        <v>16.395898427402226</v>
      </c>
      <c r="AJ80" s="187">
        <v>10.593494389354086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225.37089316373667</v>
      </c>
      <c r="CF80" s="255"/>
    </row>
    <row r="81" spans="1:5" ht="12.6" customHeight="1" x14ac:dyDescent="0.25">
      <c r="A81" s="208" t="s">
        <v>251</v>
      </c>
      <c r="B81" s="208"/>
      <c r="C81" s="208"/>
      <c r="D81" s="208"/>
      <c r="E81" s="208"/>
    </row>
    <row r="82" spans="1:5" ht="12.6" customHeight="1" x14ac:dyDescent="0.25">
      <c r="A82" s="171" t="s">
        <v>252</v>
      </c>
      <c r="B82" s="172"/>
      <c r="C82" s="282" t="s">
        <v>1264</v>
      </c>
      <c r="D82" s="256"/>
      <c r="E82" s="175"/>
    </row>
    <row r="83" spans="1:5" ht="12.6" customHeight="1" x14ac:dyDescent="0.25">
      <c r="A83" s="173" t="s">
        <v>253</v>
      </c>
      <c r="B83" s="172" t="s">
        <v>254</v>
      </c>
      <c r="C83" s="227" t="s">
        <v>1267</v>
      </c>
      <c r="D83" s="256"/>
      <c r="E83" s="175"/>
    </row>
    <row r="84" spans="1:5" ht="12.6" customHeight="1" x14ac:dyDescent="0.25">
      <c r="A84" s="173" t="s">
        <v>255</v>
      </c>
      <c r="B84" s="172" t="s">
        <v>254</v>
      </c>
      <c r="C84" s="230" t="s">
        <v>1268</v>
      </c>
      <c r="D84" s="205"/>
      <c r="E84" s="204"/>
    </row>
    <row r="85" spans="1:5" ht="12.6" customHeight="1" x14ac:dyDescent="0.25">
      <c r="A85" s="173" t="s">
        <v>1249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1250</v>
      </c>
      <c r="B86" s="172" t="s">
        <v>254</v>
      </c>
      <c r="C86" s="231" t="s">
        <v>1270</v>
      </c>
      <c r="D86" s="205"/>
      <c r="E86" s="204"/>
    </row>
    <row r="87" spans="1:5" ht="12.6" customHeight="1" x14ac:dyDescent="0.25">
      <c r="A87" s="173" t="s">
        <v>256</v>
      </c>
      <c r="B87" s="172" t="s">
        <v>254</v>
      </c>
      <c r="C87" s="230" t="s">
        <v>1271</v>
      </c>
      <c r="D87" s="205"/>
      <c r="E87" s="204"/>
    </row>
    <row r="88" spans="1:5" ht="12.6" customHeight="1" x14ac:dyDescent="0.25">
      <c r="A88" s="173" t="s">
        <v>257</v>
      </c>
      <c r="B88" s="172" t="s">
        <v>254</v>
      </c>
      <c r="C88" s="230" t="s">
        <v>1272</v>
      </c>
      <c r="D88" s="205"/>
      <c r="E88" s="204"/>
    </row>
    <row r="89" spans="1:5" ht="12.6" customHeight="1" x14ac:dyDescent="0.25">
      <c r="A89" s="173" t="s">
        <v>258</v>
      </c>
      <c r="B89" s="172" t="s">
        <v>254</v>
      </c>
      <c r="C89" s="230" t="s">
        <v>1273</v>
      </c>
      <c r="D89" s="205"/>
      <c r="E89" s="204"/>
    </row>
    <row r="90" spans="1:5" ht="12.6" customHeight="1" x14ac:dyDescent="0.25">
      <c r="A90" s="173" t="s">
        <v>259</v>
      </c>
      <c r="B90" s="172" t="s">
        <v>254</v>
      </c>
      <c r="C90" s="230" t="s">
        <v>1274</v>
      </c>
      <c r="D90" s="205"/>
      <c r="E90" s="204"/>
    </row>
    <row r="91" spans="1:5" ht="12.6" customHeight="1" x14ac:dyDescent="0.25">
      <c r="A91" s="173" t="s">
        <v>260</v>
      </c>
      <c r="B91" s="172" t="s">
        <v>254</v>
      </c>
      <c r="C91" s="230" t="s">
        <v>1275</v>
      </c>
      <c r="D91" s="205"/>
      <c r="E91" s="204"/>
    </row>
    <row r="92" spans="1:5" ht="12.6" customHeight="1" x14ac:dyDescent="0.25">
      <c r="A92" s="173" t="s">
        <v>261</v>
      </c>
      <c r="B92" s="172" t="s">
        <v>254</v>
      </c>
      <c r="C92" s="286" t="s">
        <v>1276</v>
      </c>
      <c r="D92" s="256"/>
      <c r="E92" s="175"/>
    </row>
    <row r="93" spans="1:5" ht="12.6" customHeight="1" x14ac:dyDescent="0.25">
      <c r="A93" s="173" t="s">
        <v>262</v>
      </c>
      <c r="B93" s="172" t="s">
        <v>254</v>
      </c>
      <c r="C93" s="287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263</v>
      </c>
      <c r="B95" s="208"/>
      <c r="C95" s="208"/>
      <c r="D95" s="208"/>
      <c r="E95" s="208"/>
    </row>
    <row r="96" spans="1:5" ht="12.6" customHeight="1" x14ac:dyDescent="0.25">
      <c r="A96" s="257" t="s">
        <v>264</v>
      </c>
      <c r="B96" s="257"/>
      <c r="C96" s="257"/>
      <c r="D96" s="257"/>
      <c r="E96" s="257"/>
    </row>
    <row r="97" spans="1:5" ht="12.6" customHeight="1" x14ac:dyDescent="0.25">
      <c r="A97" s="173" t="s">
        <v>265</v>
      </c>
      <c r="B97" s="172" t="s">
        <v>254</v>
      </c>
      <c r="C97" s="189"/>
      <c r="D97" s="175"/>
      <c r="E97" s="175"/>
    </row>
    <row r="98" spans="1:5" ht="12.6" customHeight="1" x14ac:dyDescent="0.25">
      <c r="A98" s="173" t="s">
        <v>257</v>
      </c>
      <c r="B98" s="172" t="s">
        <v>254</v>
      </c>
      <c r="C98" s="189"/>
      <c r="D98" s="175"/>
      <c r="E98" s="175"/>
    </row>
    <row r="99" spans="1:5" ht="12.6" customHeight="1" x14ac:dyDescent="0.25">
      <c r="A99" s="173" t="s">
        <v>266</v>
      </c>
      <c r="B99" s="172" t="s">
        <v>254</v>
      </c>
      <c r="C99" s="189"/>
      <c r="D99" s="175"/>
      <c r="E99" s="175"/>
    </row>
    <row r="100" spans="1:5" ht="12.6" customHeight="1" x14ac:dyDescent="0.25">
      <c r="A100" s="257" t="s">
        <v>267</v>
      </c>
      <c r="B100" s="257"/>
      <c r="C100" s="257"/>
      <c r="D100" s="257"/>
      <c r="E100" s="257"/>
    </row>
    <row r="101" spans="1:5" ht="12.6" customHeight="1" x14ac:dyDescent="0.25">
      <c r="A101" s="173" t="s">
        <v>268</v>
      </c>
      <c r="B101" s="172" t="s">
        <v>254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254</v>
      </c>
      <c r="C102" s="222">
        <v>1</v>
      </c>
      <c r="D102" s="175"/>
      <c r="E102" s="175"/>
    </row>
    <row r="103" spans="1:5" ht="12.6" customHeight="1" x14ac:dyDescent="0.25">
      <c r="A103" s="257" t="s">
        <v>269</v>
      </c>
      <c r="B103" s="257"/>
      <c r="C103" s="257"/>
      <c r="D103" s="257"/>
      <c r="E103" s="257"/>
    </row>
    <row r="104" spans="1:5" ht="12.6" customHeight="1" x14ac:dyDescent="0.25">
      <c r="A104" s="173" t="s">
        <v>270</v>
      </c>
      <c r="B104" s="172" t="s">
        <v>254</v>
      </c>
      <c r="C104" s="189"/>
      <c r="D104" s="175"/>
      <c r="E104" s="175"/>
    </row>
    <row r="105" spans="1:5" ht="12.6" customHeight="1" x14ac:dyDescent="0.25">
      <c r="A105" s="173" t="s">
        <v>271</v>
      </c>
      <c r="B105" s="172" t="s">
        <v>254</v>
      </c>
      <c r="C105" s="189"/>
      <c r="D105" s="175"/>
      <c r="E105" s="175"/>
    </row>
    <row r="106" spans="1:5" ht="12.6" customHeight="1" x14ac:dyDescent="0.25">
      <c r="A106" s="173" t="s">
        <v>272</v>
      </c>
      <c r="B106" s="172" t="s">
        <v>254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273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274</v>
      </c>
      <c r="B110" s="175"/>
      <c r="C110" s="182" t="s">
        <v>275</v>
      </c>
      <c r="D110" s="170" t="s">
        <v>215</v>
      </c>
      <c r="E110" s="175"/>
    </row>
    <row r="111" spans="1:5" ht="12.6" customHeight="1" x14ac:dyDescent="0.25">
      <c r="A111" s="173" t="s">
        <v>276</v>
      </c>
      <c r="B111" s="172" t="s">
        <v>254</v>
      </c>
      <c r="C111" s="189">
        <v>7222</v>
      </c>
      <c r="D111" s="174">
        <v>30136</v>
      </c>
      <c r="E111" s="175"/>
    </row>
    <row r="112" spans="1:5" ht="12.6" customHeight="1" x14ac:dyDescent="0.25">
      <c r="A112" s="173" t="s">
        <v>277</v>
      </c>
      <c r="B112" s="172" t="s">
        <v>254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278</v>
      </c>
      <c r="B113" s="172" t="s">
        <v>254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279</v>
      </c>
      <c r="B114" s="172" t="s">
        <v>254</v>
      </c>
      <c r="C114" s="189">
        <v>822</v>
      </c>
      <c r="D114" s="174">
        <v>1741</v>
      </c>
      <c r="E114" s="175"/>
    </row>
    <row r="115" spans="1:5" ht="12.6" customHeight="1" x14ac:dyDescent="0.25">
      <c r="A115" s="171" t="s">
        <v>280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281</v>
      </c>
      <c r="B116" s="172" t="s">
        <v>254</v>
      </c>
      <c r="C116" s="189">
        <v>12</v>
      </c>
      <c r="D116" s="175"/>
      <c r="E116" s="175"/>
    </row>
    <row r="117" spans="1:5" ht="12.6" customHeight="1" x14ac:dyDescent="0.25">
      <c r="A117" s="173" t="s">
        <v>282</v>
      </c>
      <c r="B117" s="172" t="s">
        <v>254</v>
      </c>
      <c r="C117" s="189">
        <v>6</v>
      </c>
      <c r="D117" s="175"/>
      <c r="E117" s="175"/>
    </row>
    <row r="118" spans="1:5" ht="12.6" customHeight="1" x14ac:dyDescent="0.25">
      <c r="A118" s="173" t="s">
        <v>1237</v>
      </c>
      <c r="B118" s="172" t="s">
        <v>254</v>
      </c>
      <c r="C118" s="189">
        <v>126</v>
      </c>
      <c r="D118" s="175"/>
      <c r="E118" s="175"/>
    </row>
    <row r="119" spans="1:5" ht="12.6" customHeight="1" x14ac:dyDescent="0.25">
      <c r="A119" s="173" t="s">
        <v>283</v>
      </c>
      <c r="B119" s="172" t="s">
        <v>254</v>
      </c>
      <c r="C119" s="189">
        <v>0</v>
      </c>
      <c r="D119" s="175"/>
      <c r="E119" s="175"/>
    </row>
    <row r="120" spans="1:5" ht="12.6" customHeight="1" x14ac:dyDescent="0.25">
      <c r="A120" s="173" t="s">
        <v>284</v>
      </c>
      <c r="B120" s="172" t="s">
        <v>254</v>
      </c>
      <c r="C120" s="189">
        <v>14</v>
      </c>
      <c r="D120" s="175"/>
      <c r="E120" s="175"/>
    </row>
    <row r="121" spans="1:5" ht="12.6" customHeight="1" x14ac:dyDescent="0.25">
      <c r="A121" s="173" t="s">
        <v>285</v>
      </c>
      <c r="B121" s="172" t="s">
        <v>254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254</v>
      </c>
      <c r="C122" s="189">
        <v>22</v>
      </c>
      <c r="D122" s="175"/>
      <c r="E122" s="175"/>
    </row>
    <row r="123" spans="1:5" ht="12.6" customHeight="1" x14ac:dyDescent="0.25">
      <c r="A123" s="173" t="s">
        <v>286</v>
      </c>
      <c r="B123" s="172" t="s">
        <v>254</v>
      </c>
      <c r="C123" s="189">
        <v>0</v>
      </c>
      <c r="D123" s="175"/>
      <c r="E123" s="175"/>
    </row>
    <row r="124" spans="1:5" ht="12.6" customHeight="1" x14ac:dyDescent="0.25">
      <c r="A124" s="173" t="s">
        <v>287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278</v>
      </c>
      <c r="B125" s="172" t="s">
        <v>254</v>
      </c>
      <c r="C125" s="189">
        <v>0</v>
      </c>
      <c r="D125" s="175"/>
      <c r="E125" s="175"/>
    </row>
    <row r="126" spans="1:5" ht="12.6" customHeight="1" x14ac:dyDescent="0.25">
      <c r="A126" s="173" t="s">
        <v>288</v>
      </c>
      <c r="B126" s="172" t="s">
        <v>254</v>
      </c>
      <c r="C126" s="189">
        <v>0</v>
      </c>
      <c r="D126" s="175"/>
      <c r="E126" s="175"/>
    </row>
    <row r="127" spans="1:5" ht="12.6" customHeight="1" x14ac:dyDescent="0.25">
      <c r="A127" s="173" t="s">
        <v>289</v>
      </c>
      <c r="B127" s="175"/>
      <c r="C127" s="191"/>
      <c r="D127" s="175"/>
      <c r="E127" s="175">
        <f>SUM(C116:C126)</f>
        <v>180</v>
      </c>
    </row>
    <row r="128" spans="1:5" ht="12.6" customHeight="1" x14ac:dyDescent="0.25">
      <c r="A128" s="173" t="s">
        <v>290</v>
      </c>
      <c r="B128" s="172" t="s">
        <v>254</v>
      </c>
      <c r="C128" s="189">
        <v>346</v>
      </c>
      <c r="D128" s="175"/>
      <c r="E128" s="175"/>
    </row>
    <row r="129" spans="1:6" ht="12.6" customHeight="1" x14ac:dyDescent="0.25">
      <c r="A129" s="173" t="s">
        <v>291</v>
      </c>
      <c r="B129" s="172" t="s">
        <v>254</v>
      </c>
      <c r="C129" s="189">
        <v>14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292</v>
      </c>
      <c r="B131" s="172" t="s">
        <v>254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1238</v>
      </c>
      <c r="B136" s="207"/>
      <c r="C136" s="207"/>
      <c r="D136" s="207"/>
      <c r="E136" s="207"/>
    </row>
    <row r="137" spans="1:6" ht="12.6" customHeight="1" x14ac:dyDescent="0.25">
      <c r="A137" s="258" t="s">
        <v>293</v>
      </c>
      <c r="B137" s="176" t="s">
        <v>294</v>
      </c>
      <c r="C137" s="192" t="s">
        <v>295</v>
      </c>
      <c r="D137" s="176" t="s">
        <v>132</v>
      </c>
      <c r="E137" s="176" t="s">
        <v>203</v>
      </c>
    </row>
    <row r="138" spans="1:6" ht="12.6" customHeight="1" x14ac:dyDescent="0.25">
      <c r="A138" s="173" t="s">
        <v>275</v>
      </c>
      <c r="B138" s="174">
        <v>4084</v>
      </c>
      <c r="C138" s="189">
        <v>1869</v>
      </c>
      <c r="D138" s="174">
        <v>1269</v>
      </c>
      <c r="E138" s="175">
        <f>SUM(B138:D138)</f>
        <v>7222</v>
      </c>
    </row>
    <row r="139" spans="1:6" ht="12.6" customHeight="1" x14ac:dyDescent="0.25">
      <c r="A139" s="173" t="s">
        <v>215</v>
      </c>
      <c r="B139" s="174">
        <v>18389</v>
      </c>
      <c r="C139" s="189">
        <v>7748</v>
      </c>
      <c r="D139" s="174">
        <v>3999</v>
      </c>
      <c r="E139" s="175">
        <f>SUM(B139:D139)</f>
        <v>30136</v>
      </c>
    </row>
    <row r="140" spans="1:6" ht="12.6" customHeight="1" x14ac:dyDescent="0.25">
      <c r="A140" s="173" t="s">
        <v>296</v>
      </c>
      <c r="B140" s="174">
        <v>57677</v>
      </c>
      <c r="C140" s="174">
        <v>68524</v>
      </c>
      <c r="D140" s="174">
        <v>53775</v>
      </c>
      <c r="E140" s="175">
        <f>SUM(B140:D140)</f>
        <v>179976</v>
      </c>
    </row>
    <row r="141" spans="1:6" ht="12.6" customHeight="1" x14ac:dyDescent="0.25">
      <c r="A141" s="173" t="s">
        <v>243</v>
      </c>
      <c r="B141" s="174">
        <v>161793753</v>
      </c>
      <c r="C141" s="189">
        <v>73005794</v>
      </c>
      <c r="D141" s="174">
        <v>49892512.289999962</v>
      </c>
      <c r="E141" s="175">
        <f>SUM(B141:D141)</f>
        <v>284692059.28999996</v>
      </c>
      <c r="F141" s="199"/>
    </row>
    <row r="142" spans="1:6" ht="12.6" customHeight="1" x14ac:dyDescent="0.25">
      <c r="A142" s="173" t="s">
        <v>244</v>
      </c>
      <c r="B142" s="174">
        <v>192976121</v>
      </c>
      <c r="C142" s="189">
        <v>119007176</v>
      </c>
      <c r="D142" s="174">
        <v>120981584.38</v>
      </c>
      <c r="E142" s="175">
        <f>SUM(B142:D142)</f>
        <v>432964881.38</v>
      </c>
      <c r="F142" s="199"/>
    </row>
    <row r="143" spans="1:6" ht="12.6" customHeight="1" x14ac:dyDescent="0.25">
      <c r="A143" s="258" t="s">
        <v>297</v>
      </c>
      <c r="B143" s="176" t="s">
        <v>294</v>
      </c>
      <c r="C143" s="192" t="s">
        <v>295</v>
      </c>
      <c r="D143" s="176" t="s">
        <v>132</v>
      </c>
      <c r="E143" s="176" t="s">
        <v>203</v>
      </c>
    </row>
    <row r="144" spans="1:6" ht="12.6" customHeight="1" x14ac:dyDescent="0.25">
      <c r="A144" s="173" t="s">
        <v>275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296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243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244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298</v>
      </c>
      <c r="B149" s="176" t="s">
        <v>294</v>
      </c>
      <c r="C149" s="192" t="s">
        <v>295</v>
      </c>
      <c r="D149" s="176" t="s">
        <v>132</v>
      </c>
      <c r="E149" s="176" t="s">
        <v>203</v>
      </c>
    </row>
    <row r="150" spans="1:5" ht="12.6" customHeight="1" x14ac:dyDescent="0.25">
      <c r="A150" s="173" t="s">
        <v>275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296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243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244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299</v>
      </c>
      <c r="B156" s="176" t="s">
        <v>300</v>
      </c>
      <c r="C156" s="192" t="s">
        <v>301</v>
      </c>
      <c r="D156" s="175"/>
      <c r="E156" s="175"/>
    </row>
    <row r="157" spans="1:5" ht="12.6" customHeight="1" x14ac:dyDescent="0.25">
      <c r="A157" s="177" t="s">
        <v>302</v>
      </c>
      <c r="B157" s="174">
        <v>36552739.789999999</v>
      </c>
      <c r="C157" s="174">
        <v>59312975.470000081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303</v>
      </c>
      <c r="B163" s="208"/>
      <c r="C163" s="208"/>
      <c r="D163" s="208"/>
      <c r="E163" s="208"/>
    </row>
    <row r="164" spans="1:5" ht="11.4" customHeight="1" x14ac:dyDescent="0.25">
      <c r="A164" s="257" t="s">
        <v>304</v>
      </c>
      <c r="B164" s="257"/>
      <c r="C164" s="257"/>
      <c r="D164" s="257"/>
      <c r="E164" s="257"/>
    </row>
    <row r="165" spans="1:5" ht="11.4" customHeight="1" x14ac:dyDescent="0.25">
      <c r="A165" s="173" t="s">
        <v>305</v>
      </c>
      <c r="B165" s="172" t="s">
        <v>254</v>
      </c>
      <c r="C165" s="189">
        <v>7189118.8499999996</v>
      </c>
      <c r="D165" s="175"/>
      <c r="E165" s="175"/>
    </row>
    <row r="166" spans="1:5" ht="11.4" customHeight="1" x14ac:dyDescent="0.25">
      <c r="A166" s="173" t="s">
        <v>306</v>
      </c>
      <c r="B166" s="172" t="s">
        <v>254</v>
      </c>
      <c r="C166" s="189">
        <v>277537.2</v>
      </c>
      <c r="D166" s="175"/>
      <c r="E166" s="175"/>
    </row>
    <row r="167" spans="1:5" ht="11.4" customHeight="1" x14ac:dyDescent="0.25">
      <c r="A167" s="177" t="s">
        <v>307</v>
      </c>
      <c r="B167" s="172" t="s">
        <v>254</v>
      </c>
      <c r="C167" s="189">
        <v>671804.31</v>
      </c>
      <c r="D167" s="175"/>
      <c r="E167" s="175"/>
    </row>
    <row r="168" spans="1:5" ht="11.4" customHeight="1" x14ac:dyDescent="0.25">
      <c r="A168" s="173" t="s">
        <v>308</v>
      </c>
      <c r="B168" s="172" t="s">
        <v>254</v>
      </c>
      <c r="C168" s="189">
        <v>12513510.320000002</v>
      </c>
      <c r="D168" s="175"/>
      <c r="E168" s="175"/>
    </row>
    <row r="169" spans="1:5" ht="11.4" customHeight="1" x14ac:dyDescent="0.25">
      <c r="A169" s="173" t="s">
        <v>309</v>
      </c>
      <c r="B169" s="172" t="s">
        <v>254</v>
      </c>
      <c r="C169" s="189">
        <v>52780.029999999984</v>
      </c>
      <c r="D169" s="175"/>
      <c r="E169" s="175"/>
    </row>
    <row r="170" spans="1:5" ht="11.4" customHeight="1" x14ac:dyDescent="0.25">
      <c r="A170" s="173" t="s">
        <v>310</v>
      </c>
      <c r="B170" s="172" t="s">
        <v>254</v>
      </c>
      <c r="C170" s="189">
        <v>6586696.6599999992</v>
      </c>
      <c r="D170" s="175"/>
      <c r="E170" s="175"/>
    </row>
    <row r="171" spans="1:5" ht="11.4" customHeight="1" x14ac:dyDescent="0.25">
      <c r="A171" s="173" t="s">
        <v>311</v>
      </c>
      <c r="B171" s="172" t="s">
        <v>254</v>
      </c>
      <c r="C171" s="189">
        <v>765016</v>
      </c>
      <c r="D171" s="175"/>
      <c r="E171" s="175"/>
    </row>
    <row r="172" spans="1:5" ht="11.4" customHeight="1" x14ac:dyDescent="0.25">
      <c r="A172" s="173" t="s">
        <v>311</v>
      </c>
      <c r="B172" s="172" t="s">
        <v>254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28056463.370000001</v>
      </c>
      <c r="E173" s="175"/>
    </row>
    <row r="174" spans="1:5" ht="11.4" customHeight="1" x14ac:dyDescent="0.25">
      <c r="A174" s="257" t="s">
        <v>312</v>
      </c>
      <c r="B174" s="257"/>
      <c r="C174" s="257"/>
      <c r="D174" s="257"/>
      <c r="E174" s="257"/>
    </row>
    <row r="175" spans="1:5" ht="11.4" customHeight="1" x14ac:dyDescent="0.25">
      <c r="A175" s="173" t="s">
        <v>313</v>
      </c>
      <c r="B175" s="172" t="s">
        <v>254</v>
      </c>
      <c r="C175" s="189">
        <v>207875.66</v>
      </c>
      <c r="D175" s="175"/>
      <c r="E175" s="175"/>
    </row>
    <row r="176" spans="1:5" ht="11.4" customHeight="1" x14ac:dyDescent="0.25">
      <c r="A176" s="173" t="s">
        <v>314</v>
      </c>
      <c r="B176" s="172" t="s">
        <v>254</v>
      </c>
      <c r="C176" s="189">
        <v>677625.48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885501.14</v>
      </c>
      <c r="E177" s="175"/>
    </row>
    <row r="178" spans="1:5" ht="11.4" customHeight="1" x14ac:dyDescent="0.25">
      <c r="A178" s="257" t="s">
        <v>315</v>
      </c>
      <c r="B178" s="257"/>
      <c r="C178" s="257"/>
      <c r="D178" s="257"/>
      <c r="E178" s="257"/>
    </row>
    <row r="179" spans="1:5" ht="11.4" customHeight="1" x14ac:dyDescent="0.25">
      <c r="A179" s="173" t="s">
        <v>316</v>
      </c>
      <c r="B179" s="172" t="s">
        <v>254</v>
      </c>
      <c r="C179" s="189">
        <v>1735880.0400000005</v>
      </c>
      <c r="D179" s="175"/>
      <c r="E179" s="175"/>
    </row>
    <row r="180" spans="1:5" ht="11.4" customHeight="1" x14ac:dyDescent="0.25">
      <c r="A180" s="173" t="s">
        <v>317</v>
      </c>
      <c r="B180" s="172" t="s">
        <v>254</v>
      </c>
      <c r="C180" s="189">
        <v>581256.20000000007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2317136.2400000007</v>
      </c>
      <c r="E181" s="175"/>
    </row>
    <row r="182" spans="1:5" ht="11.4" customHeight="1" x14ac:dyDescent="0.25">
      <c r="A182" s="257" t="s">
        <v>318</v>
      </c>
      <c r="B182" s="257"/>
      <c r="C182" s="257"/>
      <c r="D182" s="257"/>
      <c r="E182" s="257"/>
    </row>
    <row r="183" spans="1:5" ht="11.4" customHeight="1" x14ac:dyDescent="0.25">
      <c r="A183" s="173" t="s">
        <v>319</v>
      </c>
      <c r="B183" s="172" t="s">
        <v>254</v>
      </c>
      <c r="C183" s="189">
        <v>249382.18</v>
      </c>
      <c r="D183" s="175"/>
      <c r="E183" s="175"/>
    </row>
    <row r="184" spans="1:5" ht="11.4" customHeight="1" x14ac:dyDescent="0.25">
      <c r="A184" s="173" t="s">
        <v>320</v>
      </c>
      <c r="B184" s="172" t="s">
        <v>254</v>
      </c>
      <c r="C184" s="189">
        <v>6664322.4699999997</v>
      </c>
      <c r="D184" s="175"/>
      <c r="E184" s="175"/>
    </row>
    <row r="185" spans="1:5" ht="11.4" customHeight="1" x14ac:dyDescent="0.25">
      <c r="A185" s="173" t="s">
        <v>132</v>
      </c>
      <c r="B185" s="172" t="s">
        <v>254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6913704.6499999994</v>
      </c>
      <c r="E186" s="175"/>
    </row>
    <row r="187" spans="1:5" ht="11.4" customHeight="1" x14ac:dyDescent="0.25">
      <c r="A187" s="257" t="s">
        <v>321</v>
      </c>
      <c r="B187" s="257"/>
      <c r="C187" s="257"/>
      <c r="D187" s="257"/>
      <c r="E187" s="257"/>
    </row>
    <row r="188" spans="1:5" ht="11.4" customHeight="1" x14ac:dyDescent="0.25">
      <c r="A188" s="173" t="s">
        <v>322</v>
      </c>
      <c r="B188" s="172" t="s">
        <v>254</v>
      </c>
      <c r="C188" s="189">
        <v>0</v>
      </c>
      <c r="D188" s="175"/>
      <c r="E188" s="175"/>
    </row>
    <row r="189" spans="1:5" ht="11.4" customHeight="1" x14ac:dyDescent="0.25">
      <c r="A189" s="173" t="s">
        <v>323</v>
      </c>
      <c r="B189" s="172" t="s">
        <v>254</v>
      </c>
      <c r="C189" s="189">
        <v>709595.03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709595.03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324</v>
      </c>
      <c r="B192" s="208"/>
      <c r="C192" s="208"/>
      <c r="D192" s="208"/>
      <c r="E192" s="208"/>
    </row>
    <row r="193" spans="1:8" ht="12.6" customHeight="1" x14ac:dyDescent="0.25">
      <c r="A193" s="207" t="s">
        <v>325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326</v>
      </c>
      <c r="C194" s="182" t="s">
        <v>327</v>
      </c>
      <c r="D194" s="170" t="s">
        <v>328</v>
      </c>
      <c r="E194" s="170" t="s">
        <v>329</v>
      </c>
    </row>
    <row r="195" spans="1:8" ht="12.6" customHeight="1" x14ac:dyDescent="0.25">
      <c r="A195" s="173" t="s">
        <v>330</v>
      </c>
      <c r="B195" s="174">
        <v>3531052</v>
      </c>
      <c r="C195" s="189">
        <v>0</v>
      </c>
      <c r="D195" s="174">
        <v>0</v>
      </c>
      <c r="E195" s="175">
        <f t="shared" ref="E195:E203" si="10">SUM(B195:C195)-D195</f>
        <v>3531052</v>
      </c>
    </row>
    <row r="196" spans="1:8" ht="12.6" customHeight="1" x14ac:dyDescent="0.25">
      <c r="A196" s="173" t="s">
        <v>331</v>
      </c>
      <c r="B196" s="174">
        <v>2631832.65</v>
      </c>
      <c r="C196" s="189">
        <v>73272.33</v>
      </c>
      <c r="D196" s="174">
        <v>0</v>
      </c>
      <c r="E196" s="175">
        <f t="shared" si="10"/>
        <v>2705104.98</v>
      </c>
    </row>
    <row r="197" spans="1:8" ht="12.6" customHeight="1" x14ac:dyDescent="0.25">
      <c r="A197" s="173" t="s">
        <v>332</v>
      </c>
      <c r="B197" s="174">
        <v>164110917.09</v>
      </c>
      <c r="C197" s="189">
        <v>1290169.7400000002</v>
      </c>
      <c r="D197" s="174">
        <v>0</v>
      </c>
      <c r="E197" s="175">
        <f t="shared" si="10"/>
        <v>165401086.83000001</v>
      </c>
    </row>
    <row r="198" spans="1:8" ht="12.6" customHeight="1" x14ac:dyDescent="0.25">
      <c r="A198" s="173" t="s">
        <v>333</v>
      </c>
      <c r="B198" s="174">
        <v>15152015.559999999</v>
      </c>
      <c r="C198" s="189">
        <v>2364403.5299999998</v>
      </c>
      <c r="D198" s="174">
        <v>54139.51</v>
      </c>
      <c r="E198" s="175">
        <f t="shared" si="10"/>
        <v>17462279.579999998</v>
      </c>
    </row>
    <row r="199" spans="1:8" ht="12.6" customHeight="1" x14ac:dyDescent="0.25">
      <c r="A199" s="173" t="s">
        <v>334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335</v>
      </c>
      <c r="B200" s="174">
        <v>63774602.769999996</v>
      </c>
      <c r="C200" s="189">
        <v>2608710.0399999996</v>
      </c>
      <c r="D200" s="174">
        <v>1695543.8900000001</v>
      </c>
      <c r="E200" s="175">
        <f t="shared" si="10"/>
        <v>64687768.919999994</v>
      </c>
    </row>
    <row r="201" spans="1:8" ht="12.6" customHeight="1" x14ac:dyDescent="0.25">
      <c r="A201" s="173" t="s">
        <v>336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337</v>
      </c>
      <c r="B202" s="174">
        <v>233639.38999999998</v>
      </c>
      <c r="C202" s="189">
        <v>0</v>
      </c>
      <c r="D202" s="174">
        <v>0</v>
      </c>
      <c r="E202" s="175">
        <f t="shared" si="10"/>
        <v>233639.38999999998</v>
      </c>
    </row>
    <row r="203" spans="1:8" ht="12.6" customHeight="1" x14ac:dyDescent="0.25">
      <c r="A203" s="173" t="s">
        <v>338</v>
      </c>
      <c r="B203" s="174">
        <v>2591553.4000000013</v>
      </c>
      <c r="C203" s="189">
        <v>-2129453.6700000009</v>
      </c>
      <c r="D203" s="174">
        <v>0</v>
      </c>
      <c r="E203" s="175">
        <f t="shared" si="10"/>
        <v>462099.73000000045</v>
      </c>
    </row>
    <row r="204" spans="1:8" ht="12.6" customHeight="1" x14ac:dyDescent="0.25">
      <c r="A204" s="173" t="s">
        <v>203</v>
      </c>
      <c r="B204" s="175">
        <f>SUM(B195:B203)</f>
        <v>252025612.85999998</v>
      </c>
      <c r="C204" s="191">
        <f>SUM(C195:C203)</f>
        <v>4207101.9699999988</v>
      </c>
      <c r="D204" s="175">
        <f>SUM(D195:D203)</f>
        <v>1749683.4000000001</v>
      </c>
      <c r="E204" s="175">
        <f>SUM(E195:E203)</f>
        <v>254483031.42999995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339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326</v>
      </c>
      <c r="C207" s="182" t="s">
        <v>327</v>
      </c>
      <c r="D207" s="170" t="s">
        <v>328</v>
      </c>
      <c r="E207" s="170" t="s">
        <v>329</v>
      </c>
      <c r="H207" s="259"/>
    </row>
    <row r="208" spans="1:8" ht="12.6" customHeight="1" x14ac:dyDescent="0.25">
      <c r="A208" s="173" t="s">
        <v>330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331</v>
      </c>
      <c r="B209" s="174">
        <v>1955845.57</v>
      </c>
      <c r="C209" s="189">
        <v>68104.22</v>
      </c>
      <c r="D209" s="174">
        <v>0</v>
      </c>
      <c r="E209" s="175">
        <f t="shared" ref="E209:E216" si="11">SUM(B209:C209)-D209</f>
        <v>2023949.79</v>
      </c>
      <c r="H209" s="259"/>
    </row>
    <row r="210" spans="1:8" ht="12.6" customHeight="1" x14ac:dyDescent="0.25">
      <c r="A210" s="173" t="s">
        <v>332</v>
      </c>
      <c r="B210" s="174">
        <v>93723657.330000013</v>
      </c>
      <c r="C210" s="189">
        <v>5387639.9199999999</v>
      </c>
      <c r="D210" s="174">
        <v>0</v>
      </c>
      <c r="E210" s="175">
        <f t="shared" si="11"/>
        <v>99111297.250000015</v>
      </c>
      <c r="H210" s="259"/>
    </row>
    <row r="211" spans="1:8" ht="12.6" customHeight="1" x14ac:dyDescent="0.25">
      <c r="A211" s="173" t="s">
        <v>333</v>
      </c>
      <c r="B211" s="174">
        <v>8095703.9700000007</v>
      </c>
      <c r="C211" s="189">
        <v>751079.01</v>
      </c>
      <c r="D211" s="174">
        <v>54139.51</v>
      </c>
      <c r="E211" s="175">
        <f t="shared" si="11"/>
        <v>8792643.4700000007</v>
      </c>
      <c r="H211" s="259"/>
    </row>
    <row r="212" spans="1:8" ht="12.6" customHeight="1" x14ac:dyDescent="0.25">
      <c r="A212" s="173" t="s">
        <v>334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 x14ac:dyDescent="0.25">
      <c r="A213" s="173" t="s">
        <v>335</v>
      </c>
      <c r="B213" s="174">
        <v>48812076.650000006</v>
      </c>
      <c r="C213" s="189">
        <v>4688133.8600000003</v>
      </c>
      <c r="D213" s="174">
        <v>1695543.8900000001</v>
      </c>
      <c r="E213" s="175">
        <f t="shared" si="11"/>
        <v>51804666.620000005</v>
      </c>
      <c r="H213" s="259"/>
    </row>
    <row r="214" spans="1:8" ht="12.6" customHeight="1" x14ac:dyDescent="0.25">
      <c r="A214" s="173" t="s">
        <v>336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337</v>
      </c>
      <c r="B215" s="174">
        <v>198837.66999999998</v>
      </c>
      <c r="C215" s="189">
        <v>6811.92</v>
      </c>
      <c r="D215" s="174">
        <v>0</v>
      </c>
      <c r="E215" s="175">
        <f t="shared" si="11"/>
        <v>205649.59</v>
      </c>
      <c r="H215" s="259"/>
    </row>
    <row r="216" spans="1:8" ht="12.6" customHeight="1" x14ac:dyDescent="0.25">
      <c r="A216" s="173" t="s">
        <v>338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152786121.19</v>
      </c>
      <c r="C217" s="191">
        <f>SUM(C208:C216)</f>
        <v>10901768.93</v>
      </c>
      <c r="D217" s="175">
        <f>SUM(D208:D216)</f>
        <v>1749683.4000000001</v>
      </c>
      <c r="E217" s="175">
        <f>SUM(E208:E216)</f>
        <v>161938206.72000003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340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1253</v>
      </c>
      <c r="C220" s="289"/>
      <c r="D220" s="208"/>
      <c r="E220" s="208"/>
    </row>
    <row r="221" spans="1:8" ht="12.6" customHeight="1" x14ac:dyDescent="0.25">
      <c r="A221" s="272" t="s">
        <v>1253</v>
      </c>
      <c r="B221" s="208"/>
      <c r="C221" s="189">
        <v>7568222.7599999988</v>
      </c>
      <c r="D221" s="172">
        <f>C221</f>
        <v>7568222.7599999988</v>
      </c>
      <c r="E221" s="208"/>
    </row>
    <row r="222" spans="1:8" ht="12.6" customHeight="1" x14ac:dyDescent="0.25">
      <c r="A222" s="257" t="s">
        <v>341</v>
      </c>
      <c r="B222" s="257"/>
      <c r="C222" s="257"/>
      <c r="D222" s="257"/>
      <c r="E222" s="257"/>
    </row>
    <row r="223" spans="1:8" ht="12.6" customHeight="1" x14ac:dyDescent="0.25">
      <c r="A223" s="173" t="s">
        <v>342</v>
      </c>
      <c r="B223" s="172" t="s">
        <v>254</v>
      </c>
      <c r="C223" s="189">
        <v>255085291.41999999</v>
      </c>
      <c r="D223" s="175"/>
      <c r="E223" s="175"/>
    </row>
    <row r="224" spans="1:8" ht="12.6" customHeight="1" x14ac:dyDescent="0.25">
      <c r="A224" s="173" t="s">
        <v>343</v>
      </c>
      <c r="B224" s="172" t="s">
        <v>254</v>
      </c>
      <c r="C224" s="189">
        <v>146040383.34000003</v>
      </c>
      <c r="D224" s="175"/>
      <c r="E224" s="175"/>
    </row>
    <row r="225" spans="1:5" ht="12.6" customHeight="1" x14ac:dyDescent="0.25">
      <c r="A225" s="173" t="s">
        <v>344</v>
      </c>
      <c r="B225" s="172" t="s">
        <v>254</v>
      </c>
      <c r="C225" s="189">
        <v>0</v>
      </c>
      <c r="D225" s="175"/>
      <c r="E225" s="175"/>
    </row>
    <row r="226" spans="1:5" ht="12.6" customHeight="1" x14ac:dyDescent="0.25">
      <c r="A226" s="173" t="s">
        <v>345</v>
      </c>
      <c r="B226" s="172" t="s">
        <v>254</v>
      </c>
      <c r="C226" s="189">
        <v>12415372.08</v>
      </c>
      <c r="D226" s="175"/>
      <c r="E226" s="175"/>
    </row>
    <row r="227" spans="1:5" ht="12.6" customHeight="1" x14ac:dyDescent="0.25">
      <c r="A227" s="173" t="s">
        <v>346</v>
      </c>
      <c r="B227" s="172" t="s">
        <v>254</v>
      </c>
      <c r="C227" s="189">
        <v>31834206.489999998</v>
      </c>
      <c r="D227" s="175"/>
      <c r="E227" s="175"/>
    </row>
    <row r="228" spans="1:5" ht="12.6" customHeight="1" x14ac:dyDescent="0.25">
      <c r="A228" s="173" t="s">
        <v>347</v>
      </c>
      <c r="B228" s="172" t="s">
        <v>254</v>
      </c>
      <c r="C228" s="189">
        <v>0</v>
      </c>
      <c r="D228" s="175"/>
      <c r="E228" s="175"/>
    </row>
    <row r="229" spans="1:5" ht="12.6" customHeight="1" x14ac:dyDescent="0.25">
      <c r="A229" s="173" t="s">
        <v>348</v>
      </c>
      <c r="B229" s="175"/>
      <c r="C229" s="191"/>
      <c r="D229" s="175">
        <f>SUM(C223:C228)</f>
        <v>445375253.32999998</v>
      </c>
      <c r="E229" s="175"/>
    </row>
    <row r="230" spans="1:5" ht="12.6" customHeight="1" x14ac:dyDescent="0.25">
      <c r="A230" s="257" t="s">
        <v>349</v>
      </c>
      <c r="B230" s="257"/>
      <c r="C230" s="257"/>
      <c r="D230" s="257"/>
      <c r="E230" s="257"/>
    </row>
    <row r="231" spans="1:5" ht="12.6" customHeight="1" x14ac:dyDescent="0.25">
      <c r="A231" s="171" t="s">
        <v>350</v>
      </c>
      <c r="B231" s="172" t="s">
        <v>254</v>
      </c>
      <c r="C231" s="189">
        <v>5211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351</v>
      </c>
      <c r="B233" s="172" t="s">
        <v>254</v>
      </c>
      <c r="C233" s="189">
        <v>1365113</v>
      </c>
      <c r="D233" s="175"/>
      <c r="E233" s="175"/>
    </row>
    <row r="234" spans="1:5" ht="12.6" customHeight="1" x14ac:dyDescent="0.25">
      <c r="A234" s="171" t="s">
        <v>352</v>
      </c>
      <c r="B234" s="172" t="s">
        <v>254</v>
      </c>
      <c r="C234" s="189">
        <v>4466732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353</v>
      </c>
      <c r="B236" s="175"/>
      <c r="C236" s="191"/>
      <c r="D236" s="175">
        <f>SUM(C233:C235)</f>
        <v>5831845</v>
      </c>
      <c r="E236" s="175"/>
    </row>
    <row r="237" spans="1:5" ht="12.6" customHeight="1" x14ac:dyDescent="0.25">
      <c r="A237" s="257" t="s">
        <v>354</v>
      </c>
      <c r="B237" s="257"/>
      <c r="C237" s="257"/>
      <c r="D237" s="257"/>
      <c r="E237" s="257"/>
    </row>
    <row r="238" spans="1:5" ht="12.6" customHeight="1" x14ac:dyDescent="0.25">
      <c r="A238" s="173" t="s">
        <v>355</v>
      </c>
      <c r="B238" s="172" t="s">
        <v>254</v>
      </c>
      <c r="C238" s="189">
        <v>7534388.2899999972</v>
      </c>
      <c r="D238" s="175"/>
      <c r="E238" s="175"/>
    </row>
    <row r="239" spans="1:5" ht="12.6" customHeight="1" x14ac:dyDescent="0.25">
      <c r="A239" s="173" t="s">
        <v>354</v>
      </c>
      <c r="B239" s="172" t="s">
        <v>254</v>
      </c>
      <c r="C239" s="189">
        <v>0</v>
      </c>
      <c r="D239" s="175"/>
      <c r="E239" s="175"/>
    </row>
    <row r="240" spans="1:5" ht="12.6" customHeight="1" x14ac:dyDescent="0.25">
      <c r="A240" s="173" t="s">
        <v>356</v>
      </c>
      <c r="B240" s="175"/>
      <c r="C240" s="191"/>
      <c r="D240" s="175">
        <f>SUM(C238:C239)</f>
        <v>7534388.2899999972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357</v>
      </c>
      <c r="B242" s="175"/>
      <c r="C242" s="191"/>
      <c r="D242" s="175">
        <f>D221+D229+D236+D240</f>
        <v>466309709.38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358</v>
      </c>
      <c r="B248" s="208"/>
      <c r="C248" s="208"/>
      <c r="D248" s="208"/>
      <c r="E248" s="208"/>
    </row>
    <row r="249" spans="1:5" ht="11.25" customHeight="1" x14ac:dyDescent="0.25">
      <c r="A249" s="257" t="s">
        <v>359</v>
      </c>
      <c r="B249" s="257"/>
      <c r="C249" s="257"/>
      <c r="D249" s="257"/>
      <c r="E249" s="257"/>
    </row>
    <row r="250" spans="1:5" ht="12.45" customHeight="1" x14ac:dyDescent="0.25">
      <c r="A250" s="173" t="s">
        <v>360</v>
      </c>
      <c r="B250" s="172" t="s">
        <v>254</v>
      </c>
      <c r="C250" s="189">
        <v>49157257.460000165</v>
      </c>
      <c r="D250" s="175"/>
      <c r="E250" s="175"/>
    </row>
    <row r="251" spans="1:5" ht="12.45" customHeight="1" x14ac:dyDescent="0.25">
      <c r="A251" s="173" t="s">
        <v>361</v>
      </c>
      <c r="B251" s="172" t="s">
        <v>254</v>
      </c>
      <c r="C251" s="189">
        <v>0</v>
      </c>
      <c r="D251" s="175"/>
      <c r="E251" s="175"/>
    </row>
    <row r="252" spans="1:5" ht="12.45" customHeight="1" x14ac:dyDescent="0.25">
      <c r="A252" s="173" t="s">
        <v>362</v>
      </c>
      <c r="B252" s="172" t="s">
        <v>254</v>
      </c>
      <c r="C252" s="189">
        <v>93993297.959999993</v>
      </c>
      <c r="D252" s="175"/>
      <c r="E252" s="175"/>
    </row>
    <row r="253" spans="1:5" ht="12.45" customHeight="1" x14ac:dyDescent="0.25">
      <c r="A253" s="173" t="s">
        <v>363</v>
      </c>
      <c r="B253" s="172" t="s">
        <v>254</v>
      </c>
      <c r="C253" s="189">
        <v>63424222.390000008</v>
      </c>
      <c r="D253" s="175"/>
      <c r="E253" s="175"/>
    </row>
    <row r="254" spans="1:5" ht="12.45" customHeight="1" x14ac:dyDescent="0.25">
      <c r="A254" s="173" t="s">
        <v>1239</v>
      </c>
      <c r="B254" s="172" t="s">
        <v>254</v>
      </c>
      <c r="C254" s="189">
        <v>0</v>
      </c>
      <c r="D254" s="175"/>
      <c r="E254" s="175"/>
    </row>
    <row r="255" spans="1:5" ht="12.45" customHeight="1" x14ac:dyDescent="0.25">
      <c r="A255" s="173" t="s">
        <v>364</v>
      </c>
      <c r="B255" s="172" t="s">
        <v>254</v>
      </c>
      <c r="C255" s="189">
        <v>13461415.260000076</v>
      </c>
      <c r="D255" s="175"/>
      <c r="E255" s="175"/>
    </row>
    <row r="256" spans="1:5" ht="12.45" customHeight="1" x14ac:dyDescent="0.25">
      <c r="A256" s="173" t="s">
        <v>365</v>
      </c>
      <c r="B256" s="172" t="s">
        <v>254</v>
      </c>
      <c r="C256" s="189">
        <v>0</v>
      </c>
      <c r="D256" s="175"/>
      <c r="E256" s="175"/>
    </row>
    <row r="257" spans="1:5" ht="12.45" customHeight="1" x14ac:dyDescent="0.25">
      <c r="A257" s="173" t="s">
        <v>366</v>
      </c>
      <c r="B257" s="172" t="s">
        <v>254</v>
      </c>
      <c r="C257" s="189">
        <v>3614871.8699999955</v>
      </c>
      <c r="D257" s="175"/>
      <c r="E257" s="175"/>
    </row>
    <row r="258" spans="1:5" ht="12.45" customHeight="1" x14ac:dyDescent="0.25">
      <c r="A258" s="173" t="s">
        <v>367</v>
      </c>
      <c r="B258" s="172" t="s">
        <v>254</v>
      </c>
      <c r="C258" s="189">
        <v>1.0186340659856796E-10</v>
      </c>
      <c r="D258" s="175"/>
      <c r="E258" s="175"/>
    </row>
    <row r="259" spans="1:5" ht="12.45" customHeight="1" x14ac:dyDescent="0.25">
      <c r="A259" s="173" t="s">
        <v>368</v>
      </c>
      <c r="B259" s="172" t="s">
        <v>254</v>
      </c>
      <c r="C259" s="189">
        <v>0</v>
      </c>
      <c r="D259" s="175"/>
      <c r="E259" s="175"/>
    </row>
    <row r="260" spans="1:5" ht="12.45" customHeight="1" x14ac:dyDescent="0.25">
      <c r="A260" s="173" t="s">
        <v>369</v>
      </c>
      <c r="B260" s="175"/>
      <c r="C260" s="191"/>
      <c r="D260" s="175">
        <f>SUM(C250:C252)-C253+SUM(C254:C259)</f>
        <v>96802620.16000022</v>
      </c>
      <c r="E260" s="175"/>
    </row>
    <row r="261" spans="1:5" ht="11.25" customHeight="1" x14ac:dyDescent="0.25">
      <c r="A261" s="257" t="s">
        <v>370</v>
      </c>
      <c r="B261" s="257"/>
      <c r="C261" s="257"/>
      <c r="D261" s="257"/>
      <c r="E261" s="257"/>
    </row>
    <row r="262" spans="1:5" ht="12.45" customHeight="1" x14ac:dyDescent="0.25">
      <c r="A262" s="173" t="s">
        <v>360</v>
      </c>
      <c r="B262" s="172" t="s">
        <v>254</v>
      </c>
      <c r="C262" s="189">
        <v>0</v>
      </c>
      <c r="D262" s="175"/>
      <c r="E262" s="175"/>
    </row>
    <row r="263" spans="1:5" ht="12.45" customHeight="1" x14ac:dyDescent="0.25">
      <c r="A263" s="173" t="s">
        <v>361</v>
      </c>
      <c r="B263" s="172" t="s">
        <v>254</v>
      </c>
      <c r="C263" s="189">
        <v>0</v>
      </c>
      <c r="D263" s="175"/>
      <c r="E263" s="175"/>
    </row>
    <row r="264" spans="1:5" ht="12.45" customHeight="1" x14ac:dyDescent="0.25">
      <c r="A264" s="173" t="s">
        <v>371</v>
      </c>
      <c r="B264" s="172" t="s">
        <v>254</v>
      </c>
      <c r="C264" s="189">
        <v>79086759.209999993</v>
      </c>
      <c r="D264" s="175"/>
      <c r="E264" s="175"/>
    </row>
    <row r="265" spans="1:5" ht="12.45" customHeight="1" x14ac:dyDescent="0.25">
      <c r="A265" s="173" t="s">
        <v>372</v>
      </c>
      <c r="B265" s="175"/>
      <c r="C265" s="191"/>
      <c r="D265" s="175">
        <f>SUM(C262:C264)</f>
        <v>79086759.209999993</v>
      </c>
      <c r="E265" s="175"/>
    </row>
    <row r="266" spans="1:5" ht="11.25" customHeight="1" x14ac:dyDescent="0.25">
      <c r="A266" s="257" t="s">
        <v>373</v>
      </c>
      <c r="B266" s="257"/>
      <c r="C266" s="257"/>
      <c r="D266" s="257"/>
      <c r="E266" s="257"/>
    </row>
    <row r="267" spans="1:5" ht="12.45" customHeight="1" x14ac:dyDescent="0.25">
      <c r="A267" s="173" t="s">
        <v>330</v>
      </c>
      <c r="B267" s="172" t="s">
        <v>254</v>
      </c>
      <c r="C267" s="189">
        <v>3531052</v>
      </c>
      <c r="D267" s="175"/>
      <c r="E267" s="175"/>
    </row>
    <row r="268" spans="1:5" ht="12.45" customHeight="1" x14ac:dyDescent="0.25">
      <c r="A268" s="173" t="s">
        <v>331</v>
      </c>
      <c r="B268" s="172" t="s">
        <v>254</v>
      </c>
      <c r="C268" s="189">
        <v>2705104.98</v>
      </c>
      <c r="D268" s="175"/>
      <c r="E268" s="175"/>
    </row>
    <row r="269" spans="1:5" ht="12.45" customHeight="1" x14ac:dyDescent="0.25">
      <c r="A269" s="173" t="s">
        <v>332</v>
      </c>
      <c r="B269" s="172" t="s">
        <v>254</v>
      </c>
      <c r="C269" s="189">
        <v>165401086.83000001</v>
      </c>
      <c r="D269" s="175"/>
      <c r="E269" s="175"/>
    </row>
    <row r="270" spans="1:5" ht="12.45" customHeight="1" x14ac:dyDescent="0.25">
      <c r="A270" s="173" t="s">
        <v>374</v>
      </c>
      <c r="B270" s="172" t="s">
        <v>254</v>
      </c>
      <c r="C270" s="189">
        <v>17462279.579999998</v>
      </c>
      <c r="D270" s="175"/>
      <c r="E270" s="175"/>
    </row>
    <row r="271" spans="1:5" ht="12.45" customHeight="1" x14ac:dyDescent="0.25">
      <c r="A271" s="173" t="s">
        <v>375</v>
      </c>
      <c r="B271" s="172" t="s">
        <v>254</v>
      </c>
      <c r="C271" s="189">
        <v>0</v>
      </c>
      <c r="D271" s="175"/>
      <c r="E271" s="175"/>
    </row>
    <row r="272" spans="1:5" ht="12.45" customHeight="1" x14ac:dyDescent="0.25">
      <c r="A272" s="173" t="s">
        <v>376</v>
      </c>
      <c r="B272" s="172" t="s">
        <v>254</v>
      </c>
      <c r="C272" s="189">
        <v>64687768.919999994</v>
      </c>
      <c r="D272" s="175"/>
      <c r="E272" s="175"/>
    </row>
    <row r="273" spans="1:5" ht="12.45" customHeight="1" x14ac:dyDescent="0.25">
      <c r="A273" s="173" t="s">
        <v>337</v>
      </c>
      <c r="B273" s="172" t="s">
        <v>254</v>
      </c>
      <c r="C273" s="189">
        <v>233639.38999999998</v>
      </c>
      <c r="D273" s="175"/>
      <c r="E273" s="175"/>
    </row>
    <row r="274" spans="1:5" ht="12.45" customHeight="1" x14ac:dyDescent="0.25">
      <c r="A274" s="173" t="s">
        <v>338</v>
      </c>
      <c r="B274" s="172" t="s">
        <v>254</v>
      </c>
      <c r="C274" s="189">
        <v>462099.73000000045</v>
      </c>
      <c r="D274" s="175"/>
      <c r="E274" s="175"/>
    </row>
    <row r="275" spans="1:5" ht="12.45" customHeight="1" x14ac:dyDescent="0.25">
      <c r="A275" s="173" t="s">
        <v>377</v>
      </c>
      <c r="B275" s="175"/>
      <c r="C275" s="191"/>
      <c r="D275" s="175">
        <f>SUM(C267:C274)</f>
        <v>254483031.42999995</v>
      </c>
      <c r="E275" s="175"/>
    </row>
    <row r="276" spans="1:5" ht="12.6" customHeight="1" x14ac:dyDescent="0.25">
      <c r="A276" s="173" t="s">
        <v>378</v>
      </c>
      <c r="B276" s="172" t="s">
        <v>254</v>
      </c>
      <c r="C276" s="189">
        <v>161938206.72</v>
      </c>
      <c r="D276" s="175"/>
      <c r="E276" s="175"/>
    </row>
    <row r="277" spans="1:5" ht="12.6" customHeight="1" x14ac:dyDescent="0.25">
      <c r="A277" s="173" t="s">
        <v>379</v>
      </c>
      <c r="B277" s="175"/>
      <c r="C277" s="191"/>
      <c r="D277" s="175">
        <f>D275-C276</f>
        <v>92544824.709999949</v>
      </c>
      <c r="E277" s="175"/>
    </row>
    <row r="278" spans="1:5" ht="12.6" customHeight="1" x14ac:dyDescent="0.25">
      <c r="A278" s="257" t="s">
        <v>380</v>
      </c>
      <c r="B278" s="257"/>
      <c r="C278" s="257"/>
      <c r="D278" s="257"/>
      <c r="E278" s="257"/>
    </row>
    <row r="279" spans="1:5" ht="12.6" customHeight="1" x14ac:dyDescent="0.25">
      <c r="A279" s="173" t="s">
        <v>381</v>
      </c>
      <c r="B279" s="172" t="s">
        <v>254</v>
      </c>
      <c r="C279" s="189">
        <v>0</v>
      </c>
      <c r="D279" s="175"/>
      <c r="E279" s="175"/>
    </row>
    <row r="280" spans="1:5" ht="12.6" customHeight="1" x14ac:dyDescent="0.25">
      <c r="A280" s="173" t="s">
        <v>382</v>
      </c>
      <c r="B280" s="172" t="s">
        <v>254</v>
      </c>
      <c r="C280" s="189">
        <v>0</v>
      </c>
      <c r="D280" s="175"/>
      <c r="E280" s="175"/>
    </row>
    <row r="281" spans="1:5" ht="12.6" customHeight="1" x14ac:dyDescent="0.25">
      <c r="A281" s="173" t="s">
        <v>383</v>
      </c>
      <c r="B281" s="172" t="s">
        <v>254</v>
      </c>
      <c r="C281" s="189">
        <v>0</v>
      </c>
      <c r="D281" s="175"/>
      <c r="E281" s="175"/>
    </row>
    <row r="282" spans="1:5" ht="12.6" customHeight="1" x14ac:dyDescent="0.25">
      <c r="A282" s="173" t="s">
        <v>371</v>
      </c>
      <c r="B282" s="172" t="s">
        <v>254</v>
      </c>
      <c r="C282" s="189">
        <v>5910679.2199999997</v>
      </c>
      <c r="D282" s="175"/>
      <c r="E282" s="175"/>
    </row>
    <row r="283" spans="1:5" ht="12.6" customHeight="1" x14ac:dyDescent="0.25">
      <c r="A283" s="173" t="s">
        <v>384</v>
      </c>
      <c r="B283" s="175"/>
      <c r="C283" s="191"/>
      <c r="D283" s="175">
        <f>C279-C280+C281+C282</f>
        <v>5910679.2199999997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385</v>
      </c>
      <c r="B285" s="257"/>
      <c r="C285" s="257"/>
      <c r="D285" s="257"/>
      <c r="E285" s="257"/>
    </row>
    <row r="286" spans="1:5" ht="12.6" customHeight="1" x14ac:dyDescent="0.25">
      <c r="A286" s="173" t="s">
        <v>386</v>
      </c>
      <c r="B286" s="172" t="s">
        <v>254</v>
      </c>
      <c r="C286" s="189">
        <v>0</v>
      </c>
      <c r="D286" s="175"/>
      <c r="E286" s="175"/>
    </row>
    <row r="287" spans="1:5" ht="12.6" customHeight="1" x14ac:dyDescent="0.25">
      <c r="A287" s="173" t="s">
        <v>387</v>
      </c>
      <c r="B287" s="172" t="s">
        <v>254</v>
      </c>
      <c r="C287" s="189">
        <v>0</v>
      </c>
      <c r="D287" s="175"/>
      <c r="E287" s="175"/>
    </row>
    <row r="288" spans="1:5" ht="12.6" customHeight="1" x14ac:dyDescent="0.25">
      <c r="A288" s="173" t="s">
        <v>388</v>
      </c>
      <c r="B288" s="172" t="s">
        <v>254</v>
      </c>
      <c r="C288" s="189">
        <v>0</v>
      </c>
      <c r="D288" s="175"/>
      <c r="E288" s="175"/>
    </row>
    <row r="289" spans="1:5" ht="12.6" customHeight="1" x14ac:dyDescent="0.25">
      <c r="A289" s="173" t="s">
        <v>389</v>
      </c>
      <c r="B289" s="172" t="s">
        <v>254</v>
      </c>
      <c r="C289" s="189">
        <v>0</v>
      </c>
      <c r="D289" s="175"/>
      <c r="E289" s="175"/>
    </row>
    <row r="290" spans="1:5" ht="12.6" customHeight="1" x14ac:dyDescent="0.25">
      <c r="A290" s="173" t="s">
        <v>390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391</v>
      </c>
      <c r="B292" s="175"/>
      <c r="C292" s="191"/>
      <c r="D292" s="175">
        <f>D260+D265+D277+D283+D290</f>
        <v>274344883.30000019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392</v>
      </c>
      <c r="B302" s="208"/>
      <c r="C302" s="208"/>
      <c r="D302" s="208"/>
      <c r="E302" s="208"/>
    </row>
    <row r="303" spans="1:5" ht="14.25" customHeight="1" x14ac:dyDescent="0.25">
      <c r="A303" s="257" t="s">
        <v>393</v>
      </c>
      <c r="B303" s="257"/>
      <c r="C303" s="257"/>
      <c r="D303" s="257"/>
      <c r="E303" s="257"/>
    </row>
    <row r="304" spans="1:5" ht="12.6" customHeight="1" x14ac:dyDescent="0.25">
      <c r="A304" s="173" t="s">
        <v>394</v>
      </c>
      <c r="B304" s="172" t="s">
        <v>254</v>
      </c>
      <c r="C304" s="189">
        <v>0</v>
      </c>
      <c r="D304" s="175"/>
      <c r="E304" s="175"/>
    </row>
    <row r="305" spans="1:5" ht="12.6" customHeight="1" x14ac:dyDescent="0.25">
      <c r="A305" s="173" t="s">
        <v>395</v>
      </c>
      <c r="B305" s="172" t="s">
        <v>254</v>
      </c>
      <c r="C305" s="189">
        <v>1952470.3099999276</v>
      </c>
      <c r="D305" s="175"/>
      <c r="E305" s="175"/>
    </row>
    <row r="306" spans="1:5" ht="12.6" customHeight="1" x14ac:dyDescent="0.25">
      <c r="A306" s="173" t="s">
        <v>396</v>
      </c>
      <c r="B306" s="172" t="s">
        <v>254</v>
      </c>
      <c r="C306" s="189">
        <v>12033029.269999962</v>
      </c>
      <c r="D306" s="175"/>
      <c r="E306" s="175"/>
    </row>
    <row r="307" spans="1:5" ht="12.6" customHeight="1" x14ac:dyDescent="0.25">
      <c r="A307" s="173" t="s">
        <v>397</v>
      </c>
      <c r="B307" s="172" t="s">
        <v>254</v>
      </c>
      <c r="C307" s="189">
        <v>4477258.9299999867</v>
      </c>
      <c r="D307" s="175"/>
      <c r="E307" s="175"/>
    </row>
    <row r="308" spans="1:5" ht="12.6" customHeight="1" x14ac:dyDescent="0.25">
      <c r="A308" s="173" t="s">
        <v>398</v>
      </c>
      <c r="B308" s="172" t="s">
        <v>254</v>
      </c>
      <c r="C308" s="189">
        <v>0</v>
      </c>
      <c r="D308" s="175"/>
      <c r="E308" s="175"/>
    </row>
    <row r="309" spans="1:5" ht="12.6" customHeight="1" x14ac:dyDescent="0.25">
      <c r="A309" s="173" t="s">
        <v>1240</v>
      </c>
      <c r="B309" s="172" t="s">
        <v>254</v>
      </c>
      <c r="C309" s="189">
        <v>-85724.269999997472</v>
      </c>
      <c r="D309" s="175"/>
      <c r="E309" s="175"/>
    </row>
    <row r="310" spans="1:5" ht="12.6" customHeight="1" x14ac:dyDescent="0.25">
      <c r="A310" s="173" t="s">
        <v>399</v>
      </c>
      <c r="B310" s="172" t="s">
        <v>254</v>
      </c>
      <c r="C310" s="189">
        <v>0</v>
      </c>
      <c r="D310" s="175"/>
      <c r="E310" s="175"/>
    </row>
    <row r="311" spans="1:5" ht="12.6" customHeight="1" x14ac:dyDescent="0.25">
      <c r="A311" s="173" t="s">
        <v>400</v>
      </c>
      <c r="B311" s="172" t="s">
        <v>254</v>
      </c>
      <c r="C311" s="189">
        <v>0</v>
      </c>
      <c r="D311" s="175"/>
      <c r="E311" s="175"/>
    </row>
    <row r="312" spans="1:5" ht="12.6" customHeight="1" x14ac:dyDescent="0.25">
      <c r="A312" s="173" t="s">
        <v>401</v>
      </c>
      <c r="B312" s="172" t="s">
        <v>254</v>
      </c>
      <c r="C312" s="189">
        <v>89082.700000000012</v>
      </c>
      <c r="D312" s="175"/>
      <c r="E312" s="175"/>
    </row>
    <row r="313" spans="1:5" ht="12.6" customHeight="1" x14ac:dyDescent="0.25">
      <c r="A313" s="173" t="s">
        <v>402</v>
      </c>
      <c r="B313" s="172" t="s">
        <v>254</v>
      </c>
      <c r="C313" s="189">
        <v>5819145.7199999997</v>
      </c>
      <c r="D313" s="175"/>
      <c r="E313" s="175"/>
    </row>
    <row r="314" spans="1:5" ht="12.6" customHeight="1" x14ac:dyDescent="0.25">
      <c r="A314" s="173" t="s">
        <v>403</v>
      </c>
      <c r="B314" s="175"/>
      <c r="C314" s="191"/>
      <c r="D314" s="175">
        <f>SUM(C304:C313)</f>
        <v>24285262.659999881</v>
      </c>
      <c r="E314" s="175"/>
    </row>
    <row r="315" spans="1:5" ht="12.6" customHeight="1" x14ac:dyDescent="0.25">
      <c r="A315" s="257" t="s">
        <v>404</v>
      </c>
      <c r="B315" s="257"/>
      <c r="C315" s="257"/>
      <c r="D315" s="257"/>
      <c r="E315" s="257"/>
    </row>
    <row r="316" spans="1:5" ht="12.6" customHeight="1" x14ac:dyDescent="0.25">
      <c r="A316" s="173" t="s">
        <v>405</v>
      </c>
      <c r="B316" s="172" t="s">
        <v>254</v>
      </c>
      <c r="C316" s="189">
        <v>0</v>
      </c>
      <c r="D316" s="175"/>
      <c r="E316" s="175"/>
    </row>
    <row r="317" spans="1:5" ht="12.6" customHeight="1" x14ac:dyDescent="0.25">
      <c r="A317" s="173" t="s">
        <v>406</v>
      </c>
      <c r="B317" s="172" t="s">
        <v>254</v>
      </c>
      <c r="C317" s="189">
        <v>0</v>
      </c>
      <c r="D317" s="175"/>
      <c r="E317" s="175"/>
    </row>
    <row r="318" spans="1:5" ht="12.6" customHeight="1" x14ac:dyDescent="0.25">
      <c r="A318" s="173" t="s">
        <v>407</v>
      </c>
      <c r="B318" s="172" t="s">
        <v>254</v>
      </c>
      <c r="C318" s="189">
        <v>0</v>
      </c>
      <c r="D318" s="175"/>
      <c r="E318" s="175"/>
    </row>
    <row r="319" spans="1:5" ht="12.6" customHeight="1" x14ac:dyDescent="0.25">
      <c r="A319" s="173" t="s">
        <v>408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409</v>
      </c>
      <c r="B320" s="257"/>
      <c r="C320" s="257"/>
      <c r="D320" s="257"/>
      <c r="E320" s="257"/>
    </row>
    <row r="321" spans="1:5" ht="12.6" customHeight="1" x14ac:dyDescent="0.25">
      <c r="A321" s="173" t="s">
        <v>410</v>
      </c>
      <c r="B321" s="172" t="s">
        <v>254</v>
      </c>
      <c r="C321" s="189">
        <v>0</v>
      </c>
      <c r="D321" s="175"/>
      <c r="E321" s="175"/>
    </row>
    <row r="322" spans="1:5" ht="12.6" customHeight="1" x14ac:dyDescent="0.25">
      <c r="A322" s="173" t="s">
        <v>411</v>
      </c>
      <c r="B322" s="172" t="s">
        <v>254</v>
      </c>
      <c r="C322" s="189">
        <v>0</v>
      </c>
      <c r="D322" s="175"/>
      <c r="E322" s="175"/>
    </row>
    <row r="323" spans="1:5" ht="12.6" customHeight="1" x14ac:dyDescent="0.25">
      <c r="A323" s="173" t="s">
        <v>412</v>
      </c>
      <c r="B323" s="172" t="s">
        <v>254</v>
      </c>
      <c r="C323" s="189">
        <v>0</v>
      </c>
      <c r="D323" s="175"/>
      <c r="E323" s="175"/>
    </row>
    <row r="324" spans="1:5" ht="12.6" customHeight="1" x14ac:dyDescent="0.25">
      <c r="A324" s="171" t="s">
        <v>413</v>
      </c>
      <c r="B324" s="172" t="s">
        <v>254</v>
      </c>
      <c r="C324" s="189">
        <v>1597741</v>
      </c>
      <c r="D324" s="175"/>
      <c r="E324" s="175"/>
    </row>
    <row r="325" spans="1:5" ht="12.6" customHeight="1" x14ac:dyDescent="0.25">
      <c r="A325" s="173" t="s">
        <v>414</v>
      </c>
      <c r="B325" s="172" t="s">
        <v>254</v>
      </c>
      <c r="C325" s="189">
        <v>0</v>
      </c>
      <c r="D325" s="175"/>
      <c r="E325" s="175"/>
    </row>
    <row r="326" spans="1:5" ht="12.6" customHeight="1" x14ac:dyDescent="0.25">
      <c r="A326" s="171" t="s">
        <v>415</v>
      </c>
      <c r="B326" s="172" t="s">
        <v>254</v>
      </c>
      <c r="C326" s="189">
        <v>6792003</v>
      </c>
      <c r="D326" s="175"/>
      <c r="E326" s="175"/>
    </row>
    <row r="327" spans="1:5" ht="12.6" customHeight="1" x14ac:dyDescent="0.25">
      <c r="A327" s="173" t="s">
        <v>416</v>
      </c>
      <c r="B327" s="172" t="s">
        <v>254</v>
      </c>
      <c r="C327" s="189">
        <v>10838265.390000001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19228009.390000001</v>
      </c>
      <c r="E328" s="175"/>
    </row>
    <row r="329" spans="1:5" ht="12.6" customHeight="1" x14ac:dyDescent="0.25">
      <c r="A329" s="173" t="s">
        <v>417</v>
      </c>
      <c r="B329" s="175"/>
      <c r="C329" s="191"/>
      <c r="D329" s="175">
        <f>C313</f>
        <v>5819145.7199999997</v>
      </c>
      <c r="E329" s="175"/>
    </row>
    <row r="330" spans="1:5" ht="12.6" customHeight="1" x14ac:dyDescent="0.25">
      <c r="A330" s="173" t="s">
        <v>418</v>
      </c>
      <c r="B330" s="175"/>
      <c r="C330" s="191"/>
      <c r="D330" s="175">
        <f>D328-D329</f>
        <v>13408863.670000002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419</v>
      </c>
      <c r="B332" s="172" t="s">
        <v>254</v>
      </c>
      <c r="C332" s="189">
        <v>236650756.7600005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1140</v>
      </c>
      <c r="B334" s="172" t="s">
        <v>254</v>
      </c>
      <c r="C334" s="189">
        <v>0</v>
      </c>
      <c r="D334" s="175"/>
      <c r="E334" s="175"/>
    </row>
    <row r="335" spans="1:5" ht="12.6" customHeight="1" x14ac:dyDescent="0.25">
      <c r="A335" s="173" t="s">
        <v>1141</v>
      </c>
      <c r="B335" s="172" t="s">
        <v>254</v>
      </c>
      <c r="C335" s="189">
        <v>0</v>
      </c>
      <c r="D335" s="175"/>
      <c r="E335" s="175"/>
    </row>
    <row r="336" spans="1:5" ht="12.6" customHeight="1" x14ac:dyDescent="0.25">
      <c r="A336" s="173" t="s">
        <v>421</v>
      </c>
      <c r="B336" s="172" t="s">
        <v>254</v>
      </c>
      <c r="C336" s="189">
        <v>0</v>
      </c>
      <c r="D336" s="175"/>
      <c r="E336" s="175"/>
    </row>
    <row r="337" spans="1:5" ht="12.6" customHeight="1" x14ac:dyDescent="0.25">
      <c r="A337" s="173" t="s">
        <v>420</v>
      </c>
      <c r="B337" s="172" t="s">
        <v>254</v>
      </c>
      <c r="C337" s="189">
        <v>0</v>
      </c>
      <c r="D337" s="175"/>
      <c r="E337" s="175"/>
    </row>
    <row r="338" spans="1:5" ht="12.6" customHeight="1" x14ac:dyDescent="0.25">
      <c r="A338" s="173" t="s">
        <v>1251</v>
      </c>
      <c r="B338" s="172" t="s">
        <v>254</v>
      </c>
      <c r="C338" s="189">
        <v>0</v>
      </c>
      <c r="D338" s="175"/>
      <c r="E338" s="175"/>
    </row>
    <row r="339" spans="1:5" ht="12.6" customHeight="1" x14ac:dyDescent="0.25">
      <c r="A339" s="173" t="s">
        <v>422</v>
      </c>
      <c r="B339" s="175"/>
      <c r="C339" s="191"/>
      <c r="D339" s="175">
        <f>D314+D319+D330+C332+C336+C337</f>
        <v>274344883.09000039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423</v>
      </c>
      <c r="B341" s="175"/>
      <c r="C341" s="191"/>
      <c r="D341" s="175">
        <f>D292</f>
        <v>274344883.30000019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424</v>
      </c>
      <c r="B357" s="208"/>
      <c r="C357" s="208"/>
      <c r="D357" s="208"/>
      <c r="E357" s="208"/>
    </row>
    <row r="358" spans="1:5" ht="12.6" customHeight="1" x14ac:dyDescent="0.25">
      <c r="A358" s="257" t="s">
        <v>425</v>
      </c>
      <c r="B358" s="257"/>
      <c r="C358" s="257"/>
      <c r="D358" s="257"/>
      <c r="E358" s="257"/>
    </row>
    <row r="359" spans="1:5" ht="12.6" customHeight="1" x14ac:dyDescent="0.25">
      <c r="A359" s="173" t="s">
        <v>426</v>
      </c>
      <c r="B359" s="172" t="s">
        <v>254</v>
      </c>
      <c r="C359" s="189">
        <v>284692059.28999996</v>
      </c>
      <c r="D359" s="175"/>
      <c r="E359" s="175"/>
    </row>
    <row r="360" spans="1:5" ht="12.6" customHeight="1" x14ac:dyDescent="0.25">
      <c r="A360" s="173" t="s">
        <v>427</v>
      </c>
      <c r="B360" s="172" t="s">
        <v>254</v>
      </c>
      <c r="C360" s="189">
        <v>432964881.38</v>
      </c>
      <c r="D360" s="175"/>
      <c r="E360" s="175"/>
    </row>
    <row r="361" spans="1:5" ht="12.6" customHeight="1" x14ac:dyDescent="0.25">
      <c r="A361" s="173" t="s">
        <v>428</v>
      </c>
      <c r="B361" s="175"/>
      <c r="C361" s="191"/>
      <c r="D361" s="175">
        <f>SUM(C359:C360)</f>
        <v>717656940.66999996</v>
      </c>
      <c r="E361" s="175"/>
    </row>
    <row r="362" spans="1:5" ht="12.6" customHeight="1" x14ac:dyDescent="0.25">
      <c r="A362" s="257" t="s">
        <v>429</v>
      </c>
      <c r="B362" s="257"/>
      <c r="C362" s="257"/>
      <c r="D362" s="257"/>
      <c r="E362" s="257"/>
    </row>
    <row r="363" spans="1:5" ht="12.6" customHeight="1" x14ac:dyDescent="0.25">
      <c r="A363" s="173" t="s">
        <v>1253</v>
      </c>
      <c r="B363" s="257"/>
      <c r="C363" s="189">
        <v>7568222.7599999988</v>
      </c>
      <c r="D363" s="175"/>
      <c r="E363" s="257"/>
    </row>
    <row r="364" spans="1:5" ht="12.6" customHeight="1" x14ac:dyDescent="0.25">
      <c r="A364" s="173" t="s">
        <v>430</v>
      </c>
      <c r="B364" s="172" t="s">
        <v>254</v>
      </c>
      <c r="C364" s="189">
        <v>445375253.3299998</v>
      </c>
      <c r="D364" s="175"/>
      <c r="E364" s="175"/>
    </row>
    <row r="365" spans="1:5" ht="12.6" customHeight="1" x14ac:dyDescent="0.25">
      <c r="A365" s="173" t="s">
        <v>431</v>
      </c>
      <c r="B365" s="172" t="s">
        <v>254</v>
      </c>
      <c r="C365" s="189">
        <v>5831844.6799999997</v>
      </c>
      <c r="D365" s="175"/>
      <c r="E365" s="175"/>
    </row>
    <row r="366" spans="1:5" ht="12.6" customHeight="1" x14ac:dyDescent="0.25">
      <c r="A366" s="173" t="s">
        <v>432</v>
      </c>
      <c r="B366" s="172" t="s">
        <v>254</v>
      </c>
      <c r="C366" s="189">
        <v>7534388.2899999972</v>
      </c>
      <c r="D366" s="175"/>
      <c r="E366" s="175"/>
    </row>
    <row r="367" spans="1:5" ht="12.6" customHeight="1" x14ac:dyDescent="0.25">
      <c r="A367" s="173" t="s">
        <v>357</v>
      </c>
      <c r="B367" s="175"/>
      <c r="C367" s="191"/>
      <c r="D367" s="175">
        <f>SUM(C363:C366)</f>
        <v>466309709.05999982</v>
      </c>
      <c r="E367" s="175"/>
    </row>
    <row r="368" spans="1:5" ht="12.6" customHeight="1" x14ac:dyDescent="0.25">
      <c r="A368" s="173" t="s">
        <v>433</v>
      </c>
      <c r="B368" s="175"/>
      <c r="C368" s="191"/>
      <c r="D368" s="175">
        <f>D361-D367</f>
        <v>251347231.61000013</v>
      </c>
      <c r="E368" s="175"/>
    </row>
    <row r="369" spans="1:5" ht="12.6" customHeight="1" x14ac:dyDescent="0.25">
      <c r="A369" s="257" t="s">
        <v>434</v>
      </c>
      <c r="B369" s="257"/>
      <c r="C369" s="257"/>
      <c r="D369" s="257"/>
      <c r="E369" s="257"/>
    </row>
    <row r="370" spans="1:5" ht="12.6" customHeight="1" x14ac:dyDescent="0.25">
      <c r="A370" s="173" t="s">
        <v>435</v>
      </c>
      <c r="B370" s="172" t="s">
        <v>254</v>
      </c>
      <c r="C370" s="189">
        <v>4417755.620000002</v>
      </c>
      <c r="D370" s="175"/>
      <c r="E370" s="175"/>
    </row>
    <row r="371" spans="1:5" ht="12.6" customHeight="1" x14ac:dyDescent="0.25">
      <c r="A371" s="173" t="s">
        <v>436</v>
      </c>
      <c r="B371" s="172" t="s">
        <v>254</v>
      </c>
      <c r="C371" s="189">
        <v>0</v>
      </c>
      <c r="D371" s="175"/>
      <c r="E371" s="175"/>
    </row>
    <row r="372" spans="1:5" ht="12.6" customHeight="1" x14ac:dyDescent="0.25">
      <c r="A372" s="173" t="s">
        <v>437</v>
      </c>
      <c r="B372" s="175"/>
      <c r="C372" s="191"/>
      <c r="D372" s="175">
        <f>SUM(C370:C371)</f>
        <v>4417755.620000002</v>
      </c>
      <c r="E372" s="175"/>
    </row>
    <row r="373" spans="1:5" ht="12.6" customHeight="1" x14ac:dyDescent="0.25">
      <c r="A373" s="173" t="s">
        <v>438</v>
      </c>
      <c r="B373" s="175"/>
      <c r="C373" s="191"/>
      <c r="D373" s="175">
        <f>D368+D372</f>
        <v>255764987.23000014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439</v>
      </c>
      <c r="B377" s="257"/>
      <c r="C377" s="257"/>
      <c r="D377" s="257"/>
      <c r="E377" s="257"/>
    </row>
    <row r="378" spans="1:5" ht="12.6" customHeight="1" x14ac:dyDescent="0.25">
      <c r="A378" s="173" t="s">
        <v>440</v>
      </c>
      <c r="B378" s="172" t="s">
        <v>254</v>
      </c>
      <c r="C378" s="189">
        <v>111229919.67000005</v>
      </c>
      <c r="D378" s="175"/>
      <c r="E378" s="175"/>
    </row>
    <row r="379" spans="1:5" ht="12.6" customHeight="1" x14ac:dyDescent="0.25">
      <c r="A379" s="173" t="s">
        <v>3</v>
      </c>
      <c r="B379" s="172" t="s">
        <v>254</v>
      </c>
      <c r="C379" s="189">
        <v>28056463</v>
      </c>
      <c r="D379" s="175"/>
      <c r="E379" s="175"/>
    </row>
    <row r="380" spans="1:5" ht="12.6" customHeight="1" x14ac:dyDescent="0.25">
      <c r="A380" s="173" t="s">
        <v>234</v>
      </c>
      <c r="B380" s="172" t="s">
        <v>254</v>
      </c>
      <c r="C380" s="189">
        <v>4369979.54</v>
      </c>
      <c r="D380" s="175"/>
      <c r="E380" s="175"/>
    </row>
    <row r="381" spans="1:5" ht="12.6" customHeight="1" x14ac:dyDescent="0.25">
      <c r="A381" s="173" t="s">
        <v>441</v>
      </c>
      <c r="B381" s="172" t="s">
        <v>254</v>
      </c>
      <c r="C381" s="189">
        <v>31159704.320000004</v>
      </c>
      <c r="D381" s="175"/>
      <c r="E381" s="175"/>
    </row>
    <row r="382" spans="1:5" ht="12.6" customHeight="1" x14ac:dyDescent="0.25">
      <c r="A382" s="173" t="s">
        <v>442</v>
      </c>
      <c r="B382" s="172" t="s">
        <v>254</v>
      </c>
      <c r="C382" s="189">
        <v>2609703.2899999996</v>
      </c>
      <c r="D382" s="175"/>
      <c r="E382" s="175"/>
    </row>
    <row r="383" spans="1:5" ht="12.6" customHeight="1" x14ac:dyDescent="0.25">
      <c r="A383" s="173" t="s">
        <v>443</v>
      </c>
      <c r="B383" s="172" t="s">
        <v>254</v>
      </c>
      <c r="C383" s="189">
        <v>48304449.029999994</v>
      </c>
      <c r="D383" s="175"/>
      <c r="E383" s="175"/>
    </row>
    <row r="384" spans="1:5" ht="12.6" customHeight="1" x14ac:dyDescent="0.25">
      <c r="A384" s="173" t="s">
        <v>6</v>
      </c>
      <c r="B384" s="172" t="s">
        <v>254</v>
      </c>
      <c r="C384" s="189">
        <v>18647841.760000002</v>
      </c>
      <c r="D384" s="175"/>
      <c r="E384" s="175"/>
    </row>
    <row r="385" spans="1:6" ht="12.6" customHeight="1" x14ac:dyDescent="0.25">
      <c r="A385" s="173" t="s">
        <v>444</v>
      </c>
      <c r="B385" s="172" t="s">
        <v>254</v>
      </c>
      <c r="C385" s="189">
        <v>885501.1399999999</v>
      </c>
      <c r="D385" s="175"/>
      <c r="E385" s="175"/>
    </row>
    <row r="386" spans="1:6" ht="12.6" customHeight="1" x14ac:dyDescent="0.25">
      <c r="A386" s="173" t="s">
        <v>445</v>
      </c>
      <c r="B386" s="172" t="s">
        <v>254</v>
      </c>
      <c r="C386" s="189">
        <v>2317136.2400000002</v>
      </c>
      <c r="D386" s="175"/>
      <c r="E386" s="175"/>
    </row>
    <row r="387" spans="1:6" ht="12.6" customHeight="1" x14ac:dyDescent="0.25">
      <c r="A387" s="173" t="s">
        <v>446</v>
      </c>
      <c r="B387" s="172" t="s">
        <v>254</v>
      </c>
      <c r="C387" s="189">
        <v>6913704.6500000004</v>
      </c>
      <c r="D387" s="175"/>
      <c r="E387" s="175"/>
    </row>
    <row r="388" spans="1:6" ht="12.6" customHeight="1" x14ac:dyDescent="0.25">
      <c r="A388" s="173" t="s">
        <v>447</v>
      </c>
      <c r="B388" s="172" t="s">
        <v>254</v>
      </c>
      <c r="C388" s="189">
        <v>709595.03</v>
      </c>
      <c r="D388" s="175"/>
      <c r="E388" s="175"/>
    </row>
    <row r="389" spans="1:6" ht="12.6" customHeight="1" x14ac:dyDescent="0.25">
      <c r="A389" s="173" t="s">
        <v>449</v>
      </c>
      <c r="B389" s="172" t="s">
        <v>254</v>
      </c>
      <c r="C389" s="189">
        <v>1575112.2499999993</v>
      </c>
      <c r="D389" s="175"/>
      <c r="E389" s="175"/>
    </row>
    <row r="390" spans="1:6" ht="12.6" customHeight="1" x14ac:dyDescent="0.25">
      <c r="A390" s="173" t="s">
        <v>450</v>
      </c>
      <c r="B390" s="175"/>
      <c r="C390" s="191"/>
      <c r="D390" s="175">
        <f>SUM(C378:C389)</f>
        <v>256779109.92000002</v>
      </c>
      <c r="E390" s="175"/>
    </row>
    <row r="391" spans="1:6" ht="12.6" customHeight="1" x14ac:dyDescent="0.25">
      <c r="A391" s="173" t="s">
        <v>451</v>
      </c>
      <c r="B391" s="175"/>
      <c r="C391" s="191"/>
      <c r="D391" s="175">
        <f>D373-D390</f>
        <v>-1014122.6899998784</v>
      </c>
      <c r="E391" s="175"/>
    </row>
    <row r="392" spans="1:6" ht="12.6" customHeight="1" x14ac:dyDescent="0.25">
      <c r="A392" s="173" t="s">
        <v>452</v>
      </c>
      <c r="B392" s="172" t="s">
        <v>254</v>
      </c>
      <c r="C392" s="189">
        <v>12863711.599999998</v>
      </c>
      <c r="D392" s="175"/>
      <c r="E392" s="175"/>
    </row>
    <row r="393" spans="1:6" ht="12.6" customHeight="1" x14ac:dyDescent="0.25">
      <c r="A393" s="173" t="s">
        <v>453</v>
      </c>
      <c r="B393" s="175"/>
      <c r="C393" s="191"/>
      <c r="D393" s="195">
        <f>D391+C392</f>
        <v>11849588.910000119</v>
      </c>
      <c r="E393" s="175"/>
      <c r="F393" s="197"/>
    </row>
    <row r="394" spans="1:6" ht="12.6" customHeight="1" x14ac:dyDescent="0.25">
      <c r="A394" s="173" t="s">
        <v>454</v>
      </c>
      <c r="B394" s="172" t="s">
        <v>254</v>
      </c>
      <c r="C394" s="189">
        <v>0</v>
      </c>
      <c r="D394" s="175"/>
      <c r="E394" s="175"/>
    </row>
    <row r="395" spans="1:6" ht="12.6" customHeight="1" x14ac:dyDescent="0.25">
      <c r="A395" s="173" t="s">
        <v>455</v>
      </c>
      <c r="B395" s="172" t="s">
        <v>254</v>
      </c>
      <c r="C395" s="189">
        <v>0</v>
      </c>
      <c r="D395" s="175"/>
      <c r="E395" s="175"/>
    </row>
    <row r="396" spans="1:6" ht="12.6" customHeight="1" x14ac:dyDescent="0.25">
      <c r="A396" s="173" t="s">
        <v>456</v>
      </c>
      <c r="B396" s="175"/>
      <c r="C396" s="191"/>
      <c r="D396" s="175">
        <f>D393+C394-C395</f>
        <v>11849588.910000119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457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PeaceHealth St John Medical Center   H-0     FYE 06/30/2017</v>
      </c>
      <c r="B412" s="179"/>
      <c r="C412" s="179"/>
      <c r="D412" s="179"/>
      <c r="E412" s="260"/>
    </row>
    <row r="413" spans="1:5" ht="12.6" customHeight="1" x14ac:dyDescent="0.25">
      <c r="A413" s="179" t="s">
        <v>458</v>
      </c>
      <c r="B413" s="181" t="s">
        <v>459</v>
      </c>
      <c r="C413" s="181" t="s">
        <v>1241</v>
      </c>
      <c r="D413" s="181" t="s">
        <v>460</v>
      </c>
    </row>
    <row r="414" spans="1:5" ht="12.6" customHeight="1" x14ac:dyDescent="0.25">
      <c r="A414" s="179" t="s">
        <v>461</v>
      </c>
      <c r="B414" s="179">
        <f>C111</f>
        <v>7222</v>
      </c>
      <c r="C414" s="194">
        <f>E138</f>
        <v>7222</v>
      </c>
      <c r="D414" s="179"/>
    </row>
    <row r="415" spans="1:5" ht="12.6" customHeight="1" x14ac:dyDescent="0.25">
      <c r="A415" s="179" t="s">
        <v>462</v>
      </c>
      <c r="B415" s="179">
        <f>D111</f>
        <v>30136</v>
      </c>
      <c r="C415" s="179">
        <f>E139</f>
        <v>30136</v>
      </c>
      <c r="D415" s="194">
        <f>SUM(C59:H59)+N59</f>
        <v>30136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463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464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465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466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467</v>
      </c>
      <c r="B423" s="180">
        <f>C114</f>
        <v>822</v>
      </c>
    </row>
    <row r="424" spans="1:7" ht="12.6" customHeight="1" x14ac:dyDescent="0.25">
      <c r="A424" s="179" t="s">
        <v>1242</v>
      </c>
      <c r="B424" s="179">
        <f>D114</f>
        <v>1741</v>
      </c>
      <c r="D424" s="179">
        <f>J59</f>
        <v>1741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468</v>
      </c>
      <c r="B426" s="181" t="s">
        <v>469</v>
      </c>
      <c r="C426" s="181" t="s">
        <v>460</v>
      </c>
      <c r="D426" s="181" t="s">
        <v>470</v>
      </c>
    </row>
    <row r="427" spans="1:7" ht="12.6" customHeight="1" x14ac:dyDescent="0.25">
      <c r="A427" s="179" t="s">
        <v>471</v>
      </c>
      <c r="B427" s="179">
        <f t="shared" ref="B427:B437" si="12">C378</f>
        <v>111229919.67000005</v>
      </c>
      <c r="C427" s="179">
        <f t="shared" ref="C427:C434" si="13">CE61</f>
        <v>111229919.67000005</v>
      </c>
      <c r="D427" s="179"/>
    </row>
    <row r="428" spans="1:7" ht="12.6" customHeight="1" x14ac:dyDescent="0.25">
      <c r="A428" s="179" t="s">
        <v>3</v>
      </c>
      <c r="B428" s="179">
        <f t="shared" si="12"/>
        <v>28056463</v>
      </c>
      <c r="C428" s="179">
        <f t="shared" si="13"/>
        <v>28056464</v>
      </c>
      <c r="D428" s="179">
        <f>D173</f>
        <v>28056463.370000001</v>
      </c>
    </row>
    <row r="429" spans="1:7" ht="12.6" customHeight="1" x14ac:dyDescent="0.25">
      <c r="A429" s="179" t="s">
        <v>234</v>
      </c>
      <c r="B429" s="179">
        <f t="shared" si="12"/>
        <v>4369979.54</v>
      </c>
      <c r="C429" s="179">
        <f t="shared" si="13"/>
        <v>4369979.54</v>
      </c>
      <c r="D429" s="179"/>
    </row>
    <row r="430" spans="1:7" ht="12.6" customHeight="1" x14ac:dyDescent="0.25">
      <c r="A430" s="179" t="s">
        <v>235</v>
      </c>
      <c r="B430" s="179">
        <f t="shared" si="12"/>
        <v>31159704.320000004</v>
      </c>
      <c r="C430" s="179">
        <f t="shared" si="13"/>
        <v>31159704.320000004</v>
      </c>
      <c r="D430" s="179"/>
    </row>
    <row r="431" spans="1:7" ht="12.6" customHeight="1" x14ac:dyDescent="0.25">
      <c r="A431" s="179" t="s">
        <v>442</v>
      </c>
      <c r="B431" s="179">
        <f t="shared" si="12"/>
        <v>2609703.2899999996</v>
      </c>
      <c r="C431" s="179">
        <f t="shared" si="13"/>
        <v>2609703.2899999996</v>
      </c>
      <c r="D431" s="179"/>
    </row>
    <row r="432" spans="1:7" ht="12.6" customHeight="1" x14ac:dyDescent="0.25">
      <c r="A432" s="179" t="s">
        <v>443</v>
      </c>
      <c r="B432" s="179">
        <f t="shared" si="12"/>
        <v>48304449.029999994</v>
      </c>
      <c r="C432" s="179">
        <f t="shared" si="13"/>
        <v>48304449.029999994</v>
      </c>
      <c r="D432" s="179"/>
    </row>
    <row r="433" spans="1:7" ht="12.6" customHeight="1" x14ac:dyDescent="0.25">
      <c r="A433" s="179" t="s">
        <v>6</v>
      </c>
      <c r="B433" s="179">
        <f t="shared" si="12"/>
        <v>18647841.760000002</v>
      </c>
      <c r="C433" s="179">
        <f t="shared" si="13"/>
        <v>18647847</v>
      </c>
      <c r="D433" s="179">
        <f>C217</f>
        <v>10901768.93</v>
      </c>
    </row>
    <row r="434" spans="1:7" ht="12.6" customHeight="1" x14ac:dyDescent="0.25">
      <c r="A434" s="179" t="s">
        <v>472</v>
      </c>
      <c r="B434" s="179">
        <f t="shared" si="12"/>
        <v>885501.1399999999</v>
      </c>
      <c r="C434" s="179">
        <f t="shared" si="13"/>
        <v>885501.1399999999</v>
      </c>
      <c r="D434" s="179">
        <f>D177</f>
        <v>885501.14</v>
      </c>
    </row>
    <row r="435" spans="1:7" ht="12.6" customHeight="1" x14ac:dyDescent="0.25">
      <c r="A435" s="179" t="s">
        <v>445</v>
      </c>
      <c r="B435" s="179">
        <f t="shared" si="12"/>
        <v>2317136.2400000002</v>
      </c>
      <c r="C435" s="179"/>
      <c r="D435" s="179">
        <f>D181</f>
        <v>2317136.2400000007</v>
      </c>
    </row>
    <row r="436" spans="1:7" ht="12.6" customHeight="1" x14ac:dyDescent="0.25">
      <c r="A436" s="179" t="s">
        <v>473</v>
      </c>
      <c r="B436" s="179">
        <f t="shared" si="12"/>
        <v>6913704.6500000004</v>
      </c>
      <c r="C436" s="179"/>
      <c r="D436" s="179">
        <f>D186</f>
        <v>6913704.6499999994</v>
      </c>
    </row>
    <row r="437" spans="1:7" ht="12.6" customHeight="1" x14ac:dyDescent="0.25">
      <c r="A437" s="194" t="s">
        <v>447</v>
      </c>
      <c r="B437" s="194">
        <f t="shared" si="12"/>
        <v>709595.03</v>
      </c>
      <c r="C437" s="194"/>
      <c r="D437" s="194">
        <f>D190</f>
        <v>709595.03</v>
      </c>
    </row>
    <row r="438" spans="1:7" ht="12.6" customHeight="1" x14ac:dyDescent="0.25">
      <c r="A438" s="194" t="s">
        <v>474</v>
      </c>
      <c r="B438" s="194">
        <f>C386+C387+C388</f>
        <v>9940435.9199999999</v>
      </c>
      <c r="C438" s="194">
        <f>CD69</f>
        <v>7204118.0499999998</v>
      </c>
      <c r="D438" s="194">
        <f>D181+D186+D190</f>
        <v>9940435.9199999999</v>
      </c>
    </row>
    <row r="439" spans="1:7" ht="12.6" customHeight="1" x14ac:dyDescent="0.25">
      <c r="A439" s="179" t="s">
        <v>449</v>
      </c>
      <c r="B439" s="194">
        <f>C389</f>
        <v>1575112.2499999993</v>
      </c>
      <c r="C439" s="194">
        <f>SUM(C69:CC69)</f>
        <v>4311430.12</v>
      </c>
      <c r="D439" s="179"/>
    </row>
    <row r="440" spans="1:7" ht="12.6" customHeight="1" x14ac:dyDescent="0.25">
      <c r="A440" s="179" t="s">
        <v>475</v>
      </c>
      <c r="B440" s="194">
        <f>B438+B439</f>
        <v>11515548.17</v>
      </c>
      <c r="C440" s="194">
        <f>CE69</f>
        <v>11515548.17</v>
      </c>
      <c r="D440" s="179"/>
    </row>
    <row r="441" spans="1:7" ht="12.6" customHeight="1" x14ac:dyDescent="0.25">
      <c r="A441" s="179" t="s">
        <v>476</v>
      </c>
      <c r="B441" s="179">
        <f>D390</f>
        <v>256779109.92000002</v>
      </c>
      <c r="C441" s="179">
        <f>SUM(C427:C437)+C440</f>
        <v>256779116.16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477</v>
      </c>
      <c r="B443" s="181" t="s">
        <v>478</v>
      </c>
      <c r="C443" s="181" t="s">
        <v>469</v>
      </c>
      <c r="D443" s="179"/>
    </row>
    <row r="444" spans="1:7" ht="12.6" customHeight="1" x14ac:dyDescent="0.25">
      <c r="A444" s="179" t="s">
        <v>1255</v>
      </c>
      <c r="B444" s="179">
        <f>D221</f>
        <v>7568222.7599999988</v>
      </c>
      <c r="C444" s="179">
        <f>C363</f>
        <v>7568222.7599999988</v>
      </c>
      <c r="D444" s="179"/>
    </row>
    <row r="445" spans="1:7" ht="12.6" customHeight="1" x14ac:dyDescent="0.25">
      <c r="A445" s="179" t="s">
        <v>341</v>
      </c>
      <c r="B445" s="179">
        <f>D229</f>
        <v>445375253.32999998</v>
      </c>
      <c r="C445" s="179">
        <f>C364</f>
        <v>445375253.3299998</v>
      </c>
      <c r="D445" s="179"/>
    </row>
    <row r="446" spans="1:7" ht="12.6" customHeight="1" x14ac:dyDescent="0.25">
      <c r="A446" s="179" t="s">
        <v>349</v>
      </c>
      <c r="B446" s="179">
        <f>D236</f>
        <v>5831845</v>
      </c>
      <c r="C446" s="179">
        <f>C365</f>
        <v>5831844.6799999997</v>
      </c>
      <c r="D446" s="179"/>
    </row>
    <row r="447" spans="1:7" ht="12.6" customHeight="1" x14ac:dyDescent="0.25">
      <c r="A447" s="179" t="s">
        <v>354</v>
      </c>
      <c r="B447" s="179">
        <f>D240</f>
        <v>7534388.2899999972</v>
      </c>
      <c r="C447" s="179">
        <f>C366</f>
        <v>7534388.2899999972</v>
      </c>
      <c r="D447" s="179"/>
    </row>
    <row r="448" spans="1:7" ht="12.6" customHeight="1" x14ac:dyDescent="0.25">
      <c r="A448" s="179" t="s">
        <v>356</v>
      </c>
      <c r="B448" s="179">
        <f>D242</f>
        <v>466309709.38</v>
      </c>
      <c r="C448" s="179">
        <f>D367</f>
        <v>466309709.05999982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479</v>
      </c>
      <c r="B450" s="181" t="s">
        <v>480</v>
      </c>
      <c r="C450" s="206"/>
      <c r="D450" s="206"/>
      <c r="F450" s="206"/>
      <c r="G450" s="206"/>
    </row>
    <row r="451" spans="1:7" ht="12.6" customHeight="1" x14ac:dyDescent="0.25">
      <c r="B451" s="181" t="s">
        <v>481</v>
      </c>
    </row>
    <row r="452" spans="1:7" ht="12.6" customHeight="1" x14ac:dyDescent="0.25">
      <c r="B452" s="181" t="s">
        <v>470</v>
      </c>
    </row>
    <row r="453" spans="1:7" ht="12.6" customHeight="1" x14ac:dyDescent="0.25">
      <c r="A453" s="199" t="s">
        <v>482</v>
      </c>
      <c r="B453" s="180">
        <f>C231</f>
        <v>5211</v>
      </c>
    </row>
    <row r="454" spans="1:7" ht="12.6" customHeight="1" x14ac:dyDescent="0.25">
      <c r="A454" s="179" t="s">
        <v>168</v>
      </c>
      <c r="B454" s="179">
        <f>C233</f>
        <v>1365113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4466732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483</v>
      </c>
      <c r="B457" s="181" t="s">
        <v>469</v>
      </c>
      <c r="C457" s="181" t="s">
        <v>484</v>
      </c>
      <c r="D457" s="179"/>
    </row>
    <row r="458" spans="1:7" ht="12.6" customHeight="1" x14ac:dyDescent="0.25">
      <c r="A458" s="179" t="s">
        <v>485</v>
      </c>
      <c r="B458" s="194">
        <f>C370</f>
        <v>4417755.620000002</v>
      </c>
      <c r="C458" s="194">
        <f>CE70</f>
        <v>4417755.620000002</v>
      </c>
      <c r="D458" s="194"/>
    </row>
    <row r="459" spans="1:7" ht="12.6" customHeight="1" x14ac:dyDescent="0.25">
      <c r="A459" s="179" t="s">
        <v>242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486</v>
      </c>
      <c r="B461" s="181"/>
      <c r="C461" s="181"/>
      <c r="D461" s="181" t="s">
        <v>1243</v>
      </c>
    </row>
    <row r="462" spans="1:7" ht="12.6" customHeight="1" x14ac:dyDescent="0.25">
      <c r="B462" s="181" t="s">
        <v>469</v>
      </c>
      <c r="C462" s="181" t="s">
        <v>484</v>
      </c>
      <c r="D462" s="181" t="s">
        <v>488</v>
      </c>
    </row>
    <row r="463" spans="1:7" ht="12.6" customHeight="1" x14ac:dyDescent="0.25">
      <c r="A463" s="179" t="s">
        <v>243</v>
      </c>
      <c r="B463" s="194">
        <f>C359</f>
        <v>284692059.28999996</v>
      </c>
      <c r="C463" s="194">
        <f>CE73</f>
        <v>284692059.28999996</v>
      </c>
      <c r="D463" s="194">
        <f>E141+E147+E153</f>
        <v>284692059.28999996</v>
      </c>
    </row>
    <row r="464" spans="1:7" ht="12.6" customHeight="1" x14ac:dyDescent="0.25">
      <c r="A464" s="179" t="s">
        <v>244</v>
      </c>
      <c r="B464" s="194">
        <f>C360</f>
        <v>432964881.38</v>
      </c>
      <c r="C464" s="194">
        <f>CE74</f>
        <v>432964881.38</v>
      </c>
      <c r="D464" s="194">
        <f>E142+E148+E154</f>
        <v>432964881.38</v>
      </c>
    </row>
    <row r="465" spans="1:7" ht="12.6" customHeight="1" x14ac:dyDescent="0.25">
      <c r="A465" s="179" t="s">
        <v>245</v>
      </c>
      <c r="B465" s="194">
        <f>D361</f>
        <v>717656940.66999996</v>
      </c>
      <c r="C465" s="194">
        <f>CE75</f>
        <v>717656940.67000008</v>
      </c>
      <c r="D465" s="194">
        <f>D463+D464</f>
        <v>717656940.66999996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489</v>
      </c>
      <c r="B467" s="181" t="s">
        <v>490</v>
      </c>
      <c r="C467" s="181" t="s">
        <v>491</v>
      </c>
      <c r="D467" s="179"/>
    </row>
    <row r="468" spans="1:7" ht="12.6" customHeight="1" x14ac:dyDescent="0.25">
      <c r="A468" s="179" t="s">
        <v>330</v>
      </c>
      <c r="B468" s="179">
        <f t="shared" ref="B468:B475" si="14">C267</f>
        <v>3531052</v>
      </c>
      <c r="C468" s="179">
        <f>E195</f>
        <v>3531052</v>
      </c>
      <c r="D468" s="179"/>
    </row>
    <row r="469" spans="1:7" ht="12.6" customHeight="1" x14ac:dyDescent="0.25">
      <c r="A469" s="179" t="s">
        <v>331</v>
      </c>
      <c r="B469" s="179">
        <f t="shared" si="14"/>
        <v>2705104.98</v>
      </c>
      <c r="C469" s="179">
        <f>E196</f>
        <v>2705104.98</v>
      </c>
      <c r="D469" s="179"/>
    </row>
    <row r="470" spans="1:7" ht="12.6" customHeight="1" x14ac:dyDescent="0.25">
      <c r="A470" s="179" t="s">
        <v>332</v>
      </c>
      <c r="B470" s="179">
        <f t="shared" si="14"/>
        <v>165401086.83000001</v>
      </c>
      <c r="C470" s="179">
        <f>E197</f>
        <v>165401086.83000001</v>
      </c>
      <c r="D470" s="179"/>
    </row>
    <row r="471" spans="1:7" ht="12.6" customHeight="1" x14ac:dyDescent="0.25">
      <c r="A471" s="179" t="s">
        <v>492</v>
      </c>
      <c r="B471" s="179">
        <f t="shared" si="14"/>
        <v>17462279.579999998</v>
      </c>
      <c r="C471" s="179">
        <f>E198</f>
        <v>17462279.579999998</v>
      </c>
      <c r="D471" s="179"/>
    </row>
    <row r="472" spans="1:7" ht="12.6" customHeight="1" x14ac:dyDescent="0.25">
      <c r="A472" s="179" t="s">
        <v>375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493</v>
      </c>
      <c r="B473" s="179">
        <f t="shared" si="14"/>
        <v>64687768.919999994</v>
      </c>
      <c r="C473" s="179">
        <f>SUM(E200:E201)</f>
        <v>64687768.919999994</v>
      </c>
      <c r="D473" s="179"/>
    </row>
    <row r="474" spans="1:7" ht="12.6" customHeight="1" x14ac:dyDescent="0.25">
      <c r="A474" s="179" t="s">
        <v>337</v>
      </c>
      <c r="B474" s="179">
        <f t="shared" si="14"/>
        <v>233639.38999999998</v>
      </c>
      <c r="C474" s="179">
        <f>E202</f>
        <v>233639.38999999998</v>
      </c>
      <c r="D474" s="179"/>
    </row>
    <row r="475" spans="1:7" ht="12.6" customHeight="1" x14ac:dyDescent="0.25">
      <c r="A475" s="179" t="s">
        <v>338</v>
      </c>
      <c r="B475" s="179">
        <f t="shared" si="14"/>
        <v>462099.73000000045</v>
      </c>
      <c r="C475" s="179">
        <f>E203</f>
        <v>462099.73000000045</v>
      </c>
      <c r="D475" s="179"/>
    </row>
    <row r="476" spans="1:7" ht="12.6" customHeight="1" x14ac:dyDescent="0.25">
      <c r="A476" s="179" t="s">
        <v>203</v>
      </c>
      <c r="B476" s="179">
        <f>D275</f>
        <v>254483031.42999995</v>
      </c>
      <c r="C476" s="179">
        <f>E204</f>
        <v>254483031.42999995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494</v>
      </c>
      <c r="B478" s="179">
        <f>C276</f>
        <v>161938206.72</v>
      </c>
      <c r="C478" s="179">
        <f>E217</f>
        <v>161938206.72000003</v>
      </c>
      <c r="D478" s="179"/>
    </row>
    <row r="480" spans="1:7" ht="12.6" customHeight="1" x14ac:dyDescent="0.25">
      <c r="A480" s="180" t="s">
        <v>495</v>
      </c>
    </row>
    <row r="481" spans="1:12" ht="12.6" customHeight="1" x14ac:dyDescent="0.25">
      <c r="A481" s="180" t="s">
        <v>496</v>
      </c>
      <c r="C481" s="180">
        <f>D341</f>
        <v>274344883.30000019</v>
      </c>
    </row>
    <row r="482" spans="1:12" ht="12.6" customHeight="1" x14ac:dyDescent="0.25">
      <c r="A482" s="180" t="s">
        <v>497</v>
      </c>
      <c r="C482" s="180">
        <f>D339</f>
        <v>274344883.09000039</v>
      </c>
    </row>
    <row r="485" spans="1:12" ht="12.6" customHeight="1" x14ac:dyDescent="0.25">
      <c r="A485" s="199" t="s">
        <v>498</v>
      </c>
    </row>
    <row r="486" spans="1:12" ht="12.6" customHeight="1" x14ac:dyDescent="0.25">
      <c r="A486" s="199" t="s">
        <v>499</v>
      </c>
    </row>
    <row r="487" spans="1:12" ht="12.6" customHeight="1" x14ac:dyDescent="0.25">
      <c r="A487" s="199" t="s">
        <v>500</v>
      </c>
    </row>
    <row r="488" spans="1:12" ht="12.6" customHeight="1" x14ac:dyDescent="0.25">
      <c r="A488" s="199"/>
    </row>
    <row r="489" spans="1:12" ht="12.6" customHeight="1" x14ac:dyDescent="0.25">
      <c r="A489" s="198" t="s">
        <v>501</v>
      </c>
    </row>
    <row r="490" spans="1:12" ht="12.6" customHeight="1" x14ac:dyDescent="0.25">
      <c r="A490" s="199" t="s">
        <v>502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"&amp;"H-"&amp;FIXED(C83,0,TRUE)&amp;"     FYE "&amp;C82</f>
        <v>PeaceHealth St John Medical Center   H-0     FYE 06/30/2017</v>
      </c>
      <c r="B493" s="261" t="s">
        <v>1265</v>
      </c>
      <c r="C493" s="261" t="str">
        <f>RIGHT(C82,4)</f>
        <v>2017</v>
      </c>
      <c r="D493" s="261" t="s">
        <v>1265</v>
      </c>
      <c r="E493" s="261" t="str">
        <f>RIGHT(C82,4)</f>
        <v>2017</v>
      </c>
      <c r="F493" s="261" t="s">
        <v>1265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503</v>
      </c>
      <c r="C494" s="181" t="s">
        <v>503</v>
      </c>
      <c r="D494" s="262" t="s">
        <v>504</v>
      </c>
      <c r="E494" s="262" t="s">
        <v>504</v>
      </c>
      <c r="F494" s="261" t="s">
        <v>505</v>
      </c>
      <c r="G494" s="261" t="s">
        <v>505</v>
      </c>
      <c r="H494" s="261" t="s">
        <v>506</v>
      </c>
      <c r="K494" s="261"/>
      <c r="L494" s="261"/>
    </row>
    <row r="495" spans="1:12" ht="12.6" customHeight="1" x14ac:dyDescent="0.25">
      <c r="B495" s="181" t="s">
        <v>301</v>
      </c>
      <c r="C495" s="181" t="s">
        <v>301</v>
      </c>
      <c r="D495" s="181" t="s">
        <v>507</v>
      </c>
      <c r="E495" s="181" t="s">
        <v>507</v>
      </c>
      <c r="F495" s="261" t="s">
        <v>508</v>
      </c>
      <c r="G495" s="261" t="s">
        <v>508</v>
      </c>
      <c r="H495" s="261" t="s">
        <v>509</v>
      </c>
      <c r="K495" s="261"/>
      <c r="L495" s="261"/>
    </row>
    <row r="496" spans="1:12" ht="12.6" customHeight="1" x14ac:dyDescent="0.25">
      <c r="A496" s="180" t="s">
        <v>510</v>
      </c>
      <c r="B496" s="240">
        <v>10299347.009999998</v>
      </c>
      <c r="C496" s="240">
        <f>C71</f>
        <v>9936320.870000001</v>
      </c>
      <c r="D496" s="240">
        <v>8791</v>
      </c>
      <c r="E496" s="180">
        <f>C59</f>
        <v>9439</v>
      </c>
      <c r="F496" s="263">
        <f t="shared" ref="F496:G511" si="15">IF(B496=0,"",IF(D496=0,"",B496/D496))</f>
        <v>1171.5785473779999</v>
      </c>
      <c r="G496" s="264">
        <f t="shared" si="15"/>
        <v>1052.6878768937388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511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512</v>
      </c>
      <c r="B498" s="240">
        <v>15179447.829113008</v>
      </c>
      <c r="C498" s="240">
        <f>E71</f>
        <v>15530428.483298</v>
      </c>
      <c r="D498" s="240">
        <v>15465</v>
      </c>
      <c r="E498" s="180">
        <f>E59</f>
        <v>15589</v>
      </c>
      <c r="F498" s="263">
        <f t="shared" si="15"/>
        <v>981.53558545832584</v>
      </c>
      <c r="G498" s="263">
        <f t="shared" si="15"/>
        <v>996.24276626454548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513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514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515</v>
      </c>
      <c r="B501" s="240">
        <v>4539836.09</v>
      </c>
      <c r="C501" s="240">
        <f>H71</f>
        <v>4542683.4100000011</v>
      </c>
      <c r="D501" s="240">
        <v>5648</v>
      </c>
      <c r="E501" s="180">
        <f>H59</f>
        <v>5108</v>
      </c>
      <c r="F501" s="263">
        <f t="shared" si="15"/>
        <v>803.79534171388104</v>
      </c>
      <c r="G501" s="263">
        <f t="shared" si="15"/>
        <v>889.32721417384516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516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517</v>
      </c>
      <c r="B503" s="240">
        <v>381307.17088699969</v>
      </c>
      <c r="C503" s="240">
        <f>J71</f>
        <v>394976.85670200014</v>
      </c>
      <c r="D503" s="240">
        <v>1709</v>
      </c>
      <c r="E503" s="180">
        <f>J59</f>
        <v>1741</v>
      </c>
      <c r="F503" s="263">
        <f t="shared" si="15"/>
        <v>223.11712749385589</v>
      </c>
      <c r="G503" s="263">
        <f t="shared" si="15"/>
        <v>226.86780970821374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518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519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520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521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522</v>
      </c>
      <c r="B508" s="240">
        <v>0</v>
      </c>
      <c r="C508" s="240">
        <f>O71</f>
        <v>0</v>
      </c>
      <c r="D508" s="240">
        <v>857</v>
      </c>
      <c r="E508" s="180">
        <f>O59</f>
        <v>822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523</v>
      </c>
      <c r="B509" s="240">
        <v>11141206.490000004</v>
      </c>
      <c r="C509" s="240">
        <f>P71</f>
        <v>11415910.369999999</v>
      </c>
      <c r="D509" s="240">
        <v>315975</v>
      </c>
      <c r="E509" s="180">
        <f>P59</f>
        <v>312352</v>
      </c>
      <c r="F509" s="263">
        <f t="shared" si="15"/>
        <v>35.259772102223288</v>
      </c>
      <c r="G509" s="263">
        <f t="shared" si="15"/>
        <v>36.548222422139119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524</v>
      </c>
      <c r="B510" s="240">
        <v>931402.05</v>
      </c>
      <c r="C510" s="240">
        <f>Q71</f>
        <v>970998.89999999991</v>
      </c>
      <c r="D510" s="240">
        <v>300045</v>
      </c>
      <c r="E510" s="180">
        <f>Q59</f>
        <v>288030</v>
      </c>
      <c r="F510" s="263">
        <f t="shared" si="15"/>
        <v>3.1042078688196773</v>
      </c>
      <c r="G510" s="263">
        <f t="shared" si="15"/>
        <v>3.3711727945005725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525</v>
      </c>
      <c r="B511" s="240">
        <v>4504622.37</v>
      </c>
      <c r="C511" s="240">
        <f>R71</f>
        <v>4301763.24</v>
      </c>
      <c r="D511" s="240">
        <v>315975</v>
      </c>
      <c r="E511" s="180">
        <f>R59</f>
        <v>312352</v>
      </c>
      <c r="F511" s="263">
        <f t="shared" si="15"/>
        <v>14.256261951103728</v>
      </c>
      <c r="G511" s="263">
        <f t="shared" si="15"/>
        <v>13.772164865280198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526</v>
      </c>
      <c r="B512" s="240">
        <v>1485466.3599999999</v>
      </c>
      <c r="C512" s="240">
        <f>S71</f>
        <v>1572370.0600000003</v>
      </c>
      <c r="D512" s="181" t="s">
        <v>527</v>
      </c>
      <c r="E512" s="181" t="s">
        <v>527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1244</v>
      </c>
      <c r="B513" s="240">
        <v>231724.68</v>
      </c>
      <c r="C513" s="240">
        <f>T71</f>
        <v>249019.73</v>
      </c>
      <c r="D513" s="181" t="s">
        <v>527</v>
      </c>
      <c r="E513" s="181" t="s">
        <v>527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528</v>
      </c>
      <c r="B514" s="240">
        <v>8104515.3799999999</v>
      </c>
      <c r="C514" s="240">
        <f>U71</f>
        <v>7366382.7400000002</v>
      </c>
      <c r="D514" s="240">
        <v>361518</v>
      </c>
      <c r="E514" s="180">
        <f>U59</f>
        <v>356629</v>
      </c>
      <c r="F514" s="263">
        <f t="shared" si="17"/>
        <v>22.41801343224957</v>
      </c>
      <c r="G514" s="263">
        <f t="shared" si="17"/>
        <v>20.655590936239062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529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530</v>
      </c>
      <c r="B516" s="240">
        <v>599078.5</v>
      </c>
      <c r="C516" s="240">
        <f>W71</f>
        <v>585179.8600000001</v>
      </c>
      <c r="D516" s="240">
        <v>4500</v>
      </c>
      <c r="E516" s="180">
        <f>W59</f>
        <v>4353</v>
      </c>
      <c r="F516" s="263">
        <f t="shared" si="17"/>
        <v>133.12855555555555</v>
      </c>
      <c r="G516" s="263">
        <f t="shared" si="17"/>
        <v>134.43139444061569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531</v>
      </c>
      <c r="B517" s="240">
        <v>1050885.29</v>
      </c>
      <c r="C517" s="240">
        <f>X71</f>
        <v>1058573.52</v>
      </c>
      <c r="D517" s="240">
        <v>15500</v>
      </c>
      <c r="E517" s="180">
        <f>X59</f>
        <v>16178</v>
      </c>
      <c r="F517" s="263">
        <f t="shared" si="17"/>
        <v>67.799050967741934</v>
      </c>
      <c r="G517" s="263">
        <f t="shared" si="17"/>
        <v>65.432903943627153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532</v>
      </c>
      <c r="B518" s="240">
        <v>8884359.1599999964</v>
      </c>
      <c r="C518" s="240">
        <f>Y71</f>
        <v>8542575.8499999996</v>
      </c>
      <c r="D518" s="240">
        <v>74398</v>
      </c>
      <c r="E518" s="180">
        <f>Y59</f>
        <v>76301</v>
      </c>
      <c r="F518" s="263">
        <f t="shared" si="17"/>
        <v>119.4166396946154</v>
      </c>
      <c r="G518" s="263">
        <f t="shared" si="17"/>
        <v>111.95889765533872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533</v>
      </c>
      <c r="B519" s="240">
        <v>1453418.2</v>
      </c>
      <c r="C519" s="240">
        <f>Z71</f>
        <v>1799460.3300000003</v>
      </c>
      <c r="D519" s="240">
        <v>10770</v>
      </c>
      <c r="E519" s="180">
        <f>Z59</f>
        <v>13134</v>
      </c>
      <c r="F519" s="263">
        <f t="shared" si="17"/>
        <v>134.95062209842155</v>
      </c>
      <c r="G519" s="263">
        <f t="shared" si="17"/>
        <v>137.00779122887167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534</v>
      </c>
      <c r="B520" s="240">
        <v>1188884.3900000001</v>
      </c>
      <c r="C520" s="240">
        <f>AA71</f>
        <v>1021554.2899999999</v>
      </c>
      <c r="D520" s="240">
        <v>1311</v>
      </c>
      <c r="E520" s="180">
        <f>AA59</f>
        <v>1055</v>
      </c>
      <c r="F520" s="263">
        <f t="shared" si="17"/>
        <v>906.85308161708633</v>
      </c>
      <c r="G520" s="263">
        <f t="shared" si="17"/>
        <v>968.29790521327004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535</v>
      </c>
      <c r="B521" s="240">
        <v>16630443.849999996</v>
      </c>
      <c r="C521" s="240">
        <f>AB71</f>
        <v>16858865.400000002</v>
      </c>
      <c r="D521" s="181" t="s">
        <v>527</v>
      </c>
      <c r="E521" s="181" t="s">
        <v>527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536</v>
      </c>
      <c r="B522" s="240">
        <v>1708137.6800000002</v>
      </c>
      <c r="C522" s="240">
        <f>AC71</f>
        <v>1702172.2300000002</v>
      </c>
      <c r="D522" s="240">
        <v>28357</v>
      </c>
      <c r="E522" s="180">
        <f>AC59</f>
        <v>34049</v>
      </c>
      <c r="F522" s="263">
        <f t="shared" si="17"/>
        <v>60.236896709807105</v>
      </c>
      <c r="G522" s="263">
        <f t="shared" si="17"/>
        <v>49.991842051161569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537</v>
      </c>
      <c r="B523" s="240">
        <v>4077283.25</v>
      </c>
      <c r="C523" s="240">
        <f>AD71</f>
        <v>4394735.1499999994</v>
      </c>
      <c r="D523" s="240">
        <v>22991</v>
      </c>
      <c r="E523" s="180">
        <f>AD59</f>
        <v>24008</v>
      </c>
      <c r="F523" s="263">
        <f t="shared" si="17"/>
        <v>177.342579705102</v>
      </c>
      <c r="G523" s="263">
        <f t="shared" si="17"/>
        <v>183.05294693435519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538</v>
      </c>
      <c r="B524" s="240">
        <v>1420584.4100000001</v>
      </c>
      <c r="C524" s="240">
        <f>AE71</f>
        <v>1174819.3299999998</v>
      </c>
      <c r="D524" s="240">
        <v>44475</v>
      </c>
      <c r="E524" s="180">
        <f>AE59</f>
        <v>22914</v>
      </c>
      <c r="F524" s="263">
        <f t="shared" si="17"/>
        <v>31.941189657110741</v>
      </c>
      <c r="G524" s="263">
        <f t="shared" si="17"/>
        <v>51.270809548747486</v>
      </c>
      <c r="H524" s="265">
        <f t="shared" si="16"/>
        <v>0.60516280386361854</v>
      </c>
      <c r="I524" s="267"/>
      <c r="K524" s="261"/>
      <c r="L524" s="261"/>
    </row>
    <row r="525" spans="1:12" ht="12.6" customHeight="1" x14ac:dyDescent="0.25">
      <c r="A525" s="180" t="s">
        <v>539</v>
      </c>
      <c r="B525" s="240">
        <v>2936220.05</v>
      </c>
      <c r="C525" s="240">
        <f>AF71</f>
        <v>3033997.1300000004</v>
      </c>
      <c r="D525" s="240">
        <v>9451</v>
      </c>
      <c r="E525" s="180">
        <f>AF59</f>
        <v>10238</v>
      </c>
      <c r="F525" s="263">
        <f t="shared" si="17"/>
        <v>310.67824039784148</v>
      </c>
      <c r="G525" s="263">
        <f t="shared" si="17"/>
        <v>296.34666243406917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540</v>
      </c>
      <c r="B526" s="240">
        <v>10245581.540000001</v>
      </c>
      <c r="C526" s="240">
        <f>AG71</f>
        <v>10712792.900000002</v>
      </c>
      <c r="D526" s="240">
        <v>55180</v>
      </c>
      <c r="E526" s="180">
        <f>AG59</f>
        <v>55053</v>
      </c>
      <c r="F526" s="263">
        <f t="shared" si="17"/>
        <v>185.67563501268577</v>
      </c>
      <c r="G526" s="263">
        <f t="shared" si="17"/>
        <v>194.59053820863537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541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542</v>
      </c>
      <c r="B528" s="240">
        <v>5499900.5</v>
      </c>
      <c r="C528" s="240">
        <f>AI71</f>
        <v>5048114.1799999988</v>
      </c>
      <c r="D528" s="240">
        <v>14447</v>
      </c>
      <c r="E528" s="180">
        <f>AI59</f>
        <v>13971</v>
      </c>
      <c r="F528" s="263">
        <f t="shared" ref="F528:G540" si="18">IF(B528=0,"",IF(D528=0,"",B528/D528))</f>
        <v>380.69498857894371</v>
      </c>
      <c r="G528" s="263">
        <f t="shared" si="18"/>
        <v>361.32804953117164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543</v>
      </c>
      <c r="B529" s="240">
        <v>50808282.95000001</v>
      </c>
      <c r="C529" s="240">
        <f>AJ71</f>
        <v>48814831.179999992</v>
      </c>
      <c r="D529" s="240">
        <v>210528</v>
      </c>
      <c r="E529" s="180">
        <f>AJ59</f>
        <v>193960</v>
      </c>
      <c r="F529" s="263">
        <f t="shared" si="18"/>
        <v>241.33741331319354</v>
      </c>
      <c r="G529" s="263">
        <f t="shared" si="18"/>
        <v>251.67473283151162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544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545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546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1245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547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548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549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550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551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552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553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554</v>
      </c>
      <c r="B541" s="240">
        <v>0</v>
      </c>
      <c r="C541" s="240">
        <f>AV71</f>
        <v>0</v>
      </c>
      <c r="D541" s="181" t="s">
        <v>527</v>
      </c>
      <c r="E541" s="181" t="s">
        <v>527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1246</v>
      </c>
      <c r="B542" s="240">
        <v>0</v>
      </c>
      <c r="C542" s="240">
        <f>AW71</f>
        <v>0</v>
      </c>
      <c r="D542" s="181" t="s">
        <v>527</v>
      </c>
      <c r="E542" s="181" t="s">
        <v>527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555</v>
      </c>
      <c r="B543" s="240">
        <v>0</v>
      </c>
      <c r="C543" s="240">
        <f>AX71</f>
        <v>0</v>
      </c>
      <c r="D543" s="181" t="s">
        <v>527</v>
      </c>
      <c r="E543" s="181" t="s">
        <v>527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556</v>
      </c>
      <c r="B544" s="240">
        <v>1645962.0499999998</v>
      </c>
      <c r="C544" s="240">
        <f>AY71</f>
        <v>1642467.74</v>
      </c>
      <c r="D544" s="240">
        <v>139851</v>
      </c>
      <c r="E544" s="180">
        <f>AY59</f>
        <v>104927</v>
      </c>
      <c r="F544" s="263">
        <f t="shared" ref="F544:G550" si="19">IF(B544=0,"",IF(D544=0,"",B544/D544))</f>
        <v>11.769397787645421</v>
      </c>
      <c r="G544" s="263">
        <f t="shared" si="19"/>
        <v>15.653432767543149</v>
      </c>
      <c r="H544" s="265">
        <f t="shared" si="16"/>
        <v>0.33001136081702342</v>
      </c>
      <c r="I544" s="267"/>
      <c r="K544" s="261"/>
      <c r="L544" s="261"/>
    </row>
    <row r="545" spans="1:13" ht="12.6" customHeight="1" x14ac:dyDescent="0.25">
      <c r="A545" s="180" t="s">
        <v>557</v>
      </c>
      <c r="B545" s="240">
        <v>204748.89999999991</v>
      </c>
      <c r="C545" s="240">
        <f>AZ71</f>
        <v>179261.16000000015</v>
      </c>
      <c r="D545" s="240">
        <v>312009.77</v>
      </c>
      <c r="E545" s="180">
        <f>AZ59</f>
        <v>298762</v>
      </c>
      <c r="F545" s="263">
        <f t="shared" si="19"/>
        <v>0.65622592523304601</v>
      </c>
      <c r="G545" s="263">
        <f t="shared" si="19"/>
        <v>0.60001325469771971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558</v>
      </c>
      <c r="B546" s="240">
        <v>562649.26</v>
      </c>
      <c r="C546" s="240">
        <f>BA71</f>
        <v>579706.74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559</v>
      </c>
      <c r="B547" s="240">
        <v>2023012.05</v>
      </c>
      <c r="C547" s="240">
        <f>BB71</f>
        <v>2339192.8200000003</v>
      </c>
      <c r="D547" s="181" t="s">
        <v>527</v>
      </c>
      <c r="E547" s="181" t="s">
        <v>527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560</v>
      </c>
      <c r="B548" s="240">
        <v>623970.26</v>
      </c>
      <c r="C548" s="240">
        <f>BC71</f>
        <v>377177.55</v>
      </c>
      <c r="D548" s="181" t="s">
        <v>527</v>
      </c>
      <c r="E548" s="181" t="s">
        <v>527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561</v>
      </c>
      <c r="B549" s="240">
        <v>29987</v>
      </c>
      <c r="C549" s="240">
        <f>BD71</f>
        <v>30190.11</v>
      </c>
      <c r="D549" s="181" t="s">
        <v>527</v>
      </c>
      <c r="E549" s="181" t="s">
        <v>527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562</v>
      </c>
      <c r="B550" s="240">
        <v>12355356.040000001</v>
      </c>
      <c r="C550" s="240">
        <f>BE71</f>
        <v>12231944.349999998</v>
      </c>
      <c r="D550" s="240">
        <v>807807</v>
      </c>
      <c r="E550" s="180">
        <f>BE59</f>
        <v>809833</v>
      </c>
      <c r="F550" s="263">
        <f t="shared" si="19"/>
        <v>15.294935597240432</v>
      </c>
      <c r="G550" s="263">
        <f t="shared" si="19"/>
        <v>15.104279956484852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563</v>
      </c>
      <c r="B551" s="240">
        <v>3320496.99</v>
      </c>
      <c r="C551" s="240">
        <f>BF71</f>
        <v>3629258.6600000006</v>
      </c>
      <c r="D551" s="181" t="s">
        <v>527</v>
      </c>
      <c r="E551" s="181" t="s">
        <v>527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564</v>
      </c>
      <c r="B552" s="240">
        <v>1014006.76</v>
      </c>
      <c r="C552" s="240">
        <f>BG71</f>
        <v>1012766.92</v>
      </c>
      <c r="D552" s="181" t="s">
        <v>527</v>
      </c>
      <c r="E552" s="181" t="s">
        <v>527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565</v>
      </c>
      <c r="B553" s="240">
        <v>480421.41000000003</v>
      </c>
      <c r="C553" s="240">
        <f>BH71</f>
        <v>220965.54</v>
      </c>
      <c r="D553" s="181" t="s">
        <v>527</v>
      </c>
      <c r="E553" s="181" t="s">
        <v>527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566</v>
      </c>
      <c r="B554" s="240">
        <v>0</v>
      </c>
      <c r="C554" s="240">
        <f>BI71</f>
        <v>0</v>
      </c>
      <c r="D554" s="181" t="s">
        <v>527</v>
      </c>
      <c r="E554" s="181" t="s">
        <v>527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567</v>
      </c>
      <c r="B555" s="240">
        <v>0</v>
      </c>
      <c r="C555" s="240">
        <f>BJ71</f>
        <v>0</v>
      </c>
      <c r="D555" s="181" t="s">
        <v>527</v>
      </c>
      <c r="E555" s="181" t="s">
        <v>527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568</v>
      </c>
      <c r="B556" s="240">
        <v>-331703.7</v>
      </c>
      <c r="C556" s="240">
        <f>BK71</f>
        <v>196280.13999999998</v>
      </c>
      <c r="D556" s="181" t="s">
        <v>527</v>
      </c>
      <c r="E556" s="181" t="s">
        <v>527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569</v>
      </c>
      <c r="B557" s="240">
        <v>1358708.7999999998</v>
      </c>
      <c r="C557" s="240">
        <f>BL71</f>
        <v>4393903.6599999992</v>
      </c>
      <c r="D557" s="181" t="s">
        <v>527</v>
      </c>
      <c r="E557" s="181" t="s">
        <v>527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570</v>
      </c>
      <c r="B558" s="240">
        <v>5439</v>
      </c>
      <c r="C558" s="240">
        <f>BM71</f>
        <v>0</v>
      </c>
      <c r="D558" s="181" t="s">
        <v>527</v>
      </c>
      <c r="E558" s="181" t="s">
        <v>527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571</v>
      </c>
      <c r="B559" s="240">
        <v>43735460.819999993</v>
      </c>
      <c r="C559" s="240">
        <f>BN71</f>
        <v>36826867.029999994</v>
      </c>
      <c r="D559" s="181" t="s">
        <v>527</v>
      </c>
      <c r="E559" s="181" t="s">
        <v>527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572</v>
      </c>
      <c r="B560" s="240">
        <v>415918.23</v>
      </c>
      <c r="C560" s="240">
        <f>BO71</f>
        <v>421604.23000000004</v>
      </c>
      <c r="D560" s="181" t="s">
        <v>527</v>
      </c>
      <c r="E560" s="181" t="s">
        <v>527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573</v>
      </c>
      <c r="B561" s="240">
        <v>6987.29</v>
      </c>
      <c r="C561" s="240">
        <f>BP71</f>
        <v>0</v>
      </c>
      <c r="D561" s="181" t="s">
        <v>527</v>
      </c>
      <c r="E561" s="181" t="s">
        <v>527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574</v>
      </c>
      <c r="B562" s="240">
        <v>0</v>
      </c>
      <c r="C562" s="240">
        <f>BQ71</f>
        <v>0</v>
      </c>
      <c r="D562" s="181" t="s">
        <v>527</v>
      </c>
      <c r="E562" s="181" t="s">
        <v>527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575</v>
      </c>
      <c r="B563" s="240">
        <v>35484.47</v>
      </c>
      <c r="C563" s="240">
        <f>BR71</f>
        <v>123577.92999999998</v>
      </c>
      <c r="D563" s="181" t="s">
        <v>527</v>
      </c>
      <c r="E563" s="181" t="s">
        <v>527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1247</v>
      </c>
      <c r="B564" s="240">
        <v>376876.80999999994</v>
      </c>
      <c r="C564" s="240">
        <f>BS71</f>
        <v>381205.69000000006</v>
      </c>
      <c r="D564" s="181" t="s">
        <v>527</v>
      </c>
      <c r="E564" s="181" t="s">
        <v>527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576</v>
      </c>
      <c r="B565" s="240">
        <v>623214.30000000005</v>
      </c>
      <c r="C565" s="240">
        <f>BT71</f>
        <v>596261.4</v>
      </c>
      <c r="D565" s="181" t="s">
        <v>527</v>
      </c>
      <c r="E565" s="181" t="s">
        <v>527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577</v>
      </c>
      <c r="B566" s="240">
        <v>182105.74</v>
      </c>
      <c r="C566" s="240">
        <f>BU71</f>
        <v>187529.69</v>
      </c>
      <c r="D566" s="181" t="s">
        <v>527</v>
      </c>
      <c r="E566" s="181" t="s">
        <v>527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578</v>
      </c>
      <c r="B567" s="240">
        <v>299647.45</v>
      </c>
      <c r="C567" s="240">
        <f>BV71</f>
        <v>356613.08000000007</v>
      </c>
      <c r="D567" s="181" t="s">
        <v>527</v>
      </c>
      <c r="E567" s="181" t="s">
        <v>527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579</v>
      </c>
      <c r="B568" s="240">
        <v>382072.51</v>
      </c>
      <c r="C568" s="240">
        <f>BW71</f>
        <v>416349.99</v>
      </c>
      <c r="D568" s="181" t="s">
        <v>527</v>
      </c>
      <c r="E568" s="181" t="s">
        <v>527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580</v>
      </c>
      <c r="B569" s="240">
        <v>18634</v>
      </c>
      <c r="C569" s="240">
        <f>BX71</f>
        <v>18703</v>
      </c>
      <c r="D569" s="181" t="s">
        <v>527</v>
      </c>
      <c r="E569" s="181" t="s">
        <v>527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581</v>
      </c>
      <c r="B570" s="240">
        <v>1584836.93</v>
      </c>
      <c r="C570" s="240">
        <f>BY71</f>
        <v>614251.63</v>
      </c>
      <c r="D570" s="181" t="s">
        <v>527</v>
      </c>
      <c r="E570" s="181" t="s">
        <v>527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582</v>
      </c>
      <c r="B571" s="240">
        <v>865323.44</v>
      </c>
      <c r="C571" s="240">
        <f>BZ71</f>
        <v>1543529.46</v>
      </c>
      <c r="D571" s="181" t="s">
        <v>527</v>
      </c>
      <c r="E571" s="181" t="s">
        <v>527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583</v>
      </c>
      <c r="B572" s="240">
        <v>93483</v>
      </c>
      <c r="C572" s="240">
        <f>CA71</f>
        <v>93829</v>
      </c>
      <c r="D572" s="181" t="s">
        <v>527</v>
      </c>
      <c r="E572" s="181" t="s">
        <v>527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584</v>
      </c>
      <c r="B573" s="240">
        <v>0</v>
      </c>
      <c r="C573" s="240">
        <f>CB71</f>
        <v>0</v>
      </c>
      <c r="D573" s="181" t="s">
        <v>527</v>
      </c>
      <c r="E573" s="181" t="s">
        <v>527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585</v>
      </c>
      <c r="B574" s="240">
        <v>16104254.729999997</v>
      </c>
      <c r="C574" s="240">
        <f>CC71</f>
        <v>15710392.559999999</v>
      </c>
      <c r="D574" s="181" t="s">
        <v>527</v>
      </c>
      <c r="E574" s="181" t="s">
        <v>527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586</v>
      </c>
      <c r="B575" s="240">
        <v>8522963.3399999999</v>
      </c>
      <c r="C575" s="240">
        <f>CD71</f>
        <v>7209004.4500000002</v>
      </c>
      <c r="D575" s="181" t="s">
        <v>527</v>
      </c>
      <c r="E575" s="181" t="s">
        <v>527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587</v>
      </c>
      <c r="D612" s="180">
        <f>CE76-(BE76+CD76)</f>
        <v>518082.91400000005</v>
      </c>
      <c r="E612" s="180">
        <f>SUM(C624:D647)+SUM(C668:D713)</f>
        <v>194226460.98446992</v>
      </c>
      <c r="F612" s="180">
        <f>CE64-(AX64+BD64+BE64+BG64+BJ64+BN64+BP64+BQ64+CB64+CC64+CD64)</f>
        <v>30200143.990000006</v>
      </c>
      <c r="G612" s="180">
        <f>CE77-(AX77+AY77+BD77+BE77+BG77+BJ77+BN77+BP77+BQ77+CB77+CC77+CD77)</f>
        <v>104927</v>
      </c>
      <c r="H612" s="197">
        <f>CE60-(AX60+AY60+AZ60+BD60+BE60+BG60+BJ60+BN60+BO60+BP60+BQ60+BR60+CB60+CC60+CD60)</f>
        <v>1115.6926595471634</v>
      </c>
      <c r="I612" s="180">
        <f>CE78-(AX78+AY78+AZ78+BD78+BE78+BF78+BG78+BJ78+BN78+BO78+BP78+BQ78+BR78+CB78+CC78+CD78)</f>
        <v>368111.9</v>
      </c>
      <c r="J612" s="180">
        <f>CE79-(AX79+AY79+AZ79+BA79+BD79+BE79+BF79+BG79+BJ79+BN79+BO79+BP79+BQ79+BR79+CB79+CC79+CD79)</f>
        <v>976100.00000000023</v>
      </c>
      <c r="K612" s="180">
        <f>CE75-(AW75+AX75+AY75+AZ75+BA75+BB75+BC75+BD75+BE75+BF75+BG75+BH75+BI75+BJ75+BK75+BL75+BM75+BN75+BO75+BP75+BQ75+BR75+BS75+BT75+BU75+BV75+BW75+BX75+CB75+CC75+CD75)</f>
        <v>717656940.67000008</v>
      </c>
      <c r="L612" s="197">
        <f>CE80-(AW80+AX80+AY80+AZ80+BA80+BB80+BC80+BD80+BE80+BF80+BG80+BH80+BI80+BJ80+BK80+BL80+BM80+BN80+BO80+BP80+BQ80+BR80+BS80+BT80+BU80+BV80+BW80+BX80+BY80+BZ80+CA80+CB80+CC80+CD80)</f>
        <v>225.37089316373667</v>
      </c>
    </row>
    <row r="613" spans="1:14" ht="12.6" customHeight="1" x14ac:dyDescent="0.25">
      <c r="A613" s="196"/>
      <c r="C613" s="181" t="s">
        <v>588</v>
      </c>
      <c r="D613" s="181" t="s">
        <v>589</v>
      </c>
      <c r="E613" s="198" t="s">
        <v>590</v>
      </c>
      <c r="F613" s="181" t="s">
        <v>591</v>
      </c>
      <c r="G613" s="181" t="s">
        <v>592</v>
      </c>
      <c r="H613" s="181" t="s">
        <v>593</v>
      </c>
      <c r="I613" s="181" t="s">
        <v>594</v>
      </c>
      <c r="J613" s="181" t="s">
        <v>595</v>
      </c>
      <c r="K613" s="181" t="s">
        <v>596</v>
      </c>
      <c r="L613" s="198" t="s">
        <v>597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12231944.349999998</v>
      </c>
      <c r="N614" s="199" t="s">
        <v>598</v>
      </c>
    </row>
    <row r="615" spans="1:14" ht="12.6" customHeight="1" x14ac:dyDescent="0.25">
      <c r="A615" s="196"/>
      <c r="B615" s="198" t="s">
        <v>599</v>
      </c>
      <c r="C615" s="273">
        <f>CD69-CD70</f>
        <v>7209004.4500000002</v>
      </c>
      <c r="D615" s="266">
        <f>SUM(C614:C615)</f>
        <v>19440948.799999997</v>
      </c>
      <c r="N615" s="199" t="s">
        <v>600</v>
      </c>
    </row>
    <row r="616" spans="1:14" ht="12.6" customHeight="1" x14ac:dyDescent="0.25">
      <c r="A616" s="196">
        <v>8310</v>
      </c>
      <c r="B616" s="200" t="s">
        <v>601</v>
      </c>
      <c r="C616" s="180">
        <f>AX71</f>
        <v>0</v>
      </c>
      <c r="D616" s="180">
        <f>(D615/D612)*AX76</f>
        <v>0</v>
      </c>
      <c r="N616" s="199" t="s">
        <v>602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603</v>
      </c>
    </row>
    <row r="618" spans="1:14" ht="12.6" customHeight="1" x14ac:dyDescent="0.25">
      <c r="A618" s="196">
        <v>8470</v>
      </c>
      <c r="B618" s="200" t="s">
        <v>604</v>
      </c>
      <c r="C618" s="180">
        <f>BG71</f>
        <v>1012766.92</v>
      </c>
      <c r="D618" s="180">
        <f>(D615/D612)*BG76</f>
        <v>61004.789830100432</v>
      </c>
      <c r="N618" s="199" t="s">
        <v>605</v>
      </c>
    </row>
    <row r="619" spans="1:14" ht="12.6" customHeight="1" x14ac:dyDescent="0.25">
      <c r="A619" s="196">
        <v>8610</v>
      </c>
      <c r="B619" s="200" t="s">
        <v>606</v>
      </c>
      <c r="C619" s="180">
        <f>BN71</f>
        <v>36826867.029999994</v>
      </c>
      <c r="D619" s="180">
        <f>(D615/D612)*BN76</f>
        <v>215373.86590418997</v>
      </c>
      <c r="N619" s="199" t="s">
        <v>607</v>
      </c>
    </row>
    <row r="620" spans="1:14" ht="12.6" customHeight="1" x14ac:dyDescent="0.25">
      <c r="A620" s="196">
        <v>8790</v>
      </c>
      <c r="B620" s="200" t="s">
        <v>608</v>
      </c>
      <c r="C620" s="180">
        <f>CC71</f>
        <v>15710392.559999999</v>
      </c>
      <c r="D620" s="180">
        <f>(D615/D612)*CC76</f>
        <v>4308494.3897957513</v>
      </c>
      <c r="N620" s="199" t="s">
        <v>609</v>
      </c>
    </row>
    <row r="621" spans="1:14" ht="12.6" customHeight="1" x14ac:dyDescent="0.25">
      <c r="A621" s="196">
        <v>8630</v>
      </c>
      <c r="B621" s="200" t="s">
        <v>610</v>
      </c>
      <c r="C621" s="180">
        <f>BP71</f>
        <v>0</v>
      </c>
      <c r="D621" s="180">
        <f>(D615/D612)*BP76</f>
        <v>0</v>
      </c>
      <c r="N621" s="199" t="s">
        <v>611</v>
      </c>
    </row>
    <row r="622" spans="1:14" ht="12.6" customHeight="1" x14ac:dyDescent="0.25">
      <c r="A622" s="196">
        <v>8770</v>
      </c>
      <c r="B622" s="198" t="s">
        <v>612</v>
      </c>
      <c r="C622" s="180">
        <f>CB71</f>
        <v>0</v>
      </c>
      <c r="D622" s="180">
        <f>(D615/D612)*CB76</f>
        <v>0</v>
      </c>
      <c r="N622" s="199" t="s">
        <v>613</v>
      </c>
    </row>
    <row r="623" spans="1:14" ht="12.6" customHeight="1" x14ac:dyDescent="0.25">
      <c r="A623" s="196">
        <v>8640</v>
      </c>
      <c r="B623" s="200" t="s">
        <v>614</v>
      </c>
      <c r="C623" s="180">
        <f>BQ71</f>
        <v>0</v>
      </c>
      <c r="D623" s="180">
        <f>(D615/D612)*BQ76</f>
        <v>0</v>
      </c>
      <c r="E623" s="180">
        <f>SUM(C616:D623)</f>
        <v>58134899.555530027</v>
      </c>
      <c r="N623" s="199" t="s">
        <v>615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30190.11</v>
      </c>
      <c r="D624" s="180">
        <f>(D615/D612)*BD76</f>
        <v>137020.99375588362</v>
      </c>
      <c r="E624" s="180">
        <f>(E623/E612)*SUM(C624:D624)</f>
        <v>50048.797018418962</v>
      </c>
      <c r="F624" s="180">
        <f>SUM(C624:E624)</f>
        <v>217259.9007743026</v>
      </c>
      <c r="N624" s="199" t="s">
        <v>616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1642467.74</v>
      </c>
      <c r="D625" s="180">
        <f>(D615/D612)*AY76</f>
        <v>455083.30392449879</v>
      </c>
      <c r="E625" s="180">
        <f>(E623/E612)*SUM(C625:D625)</f>
        <v>627828.5596775515</v>
      </c>
      <c r="F625" s="180">
        <f>(F624/F612)*AY64</f>
        <v>1822.8482779082019</v>
      </c>
      <c r="G625" s="180">
        <f>SUM(C625:F625)</f>
        <v>2727202.4518799586</v>
      </c>
      <c r="N625" s="199" t="s">
        <v>617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123577.92999999998</v>
      </c>
      <c r="D626" s="180">
        <f>(D615/D612)*BR76</f>
        <v>161827.50189565215</v>
      </c>
      <c r="E626" s="180">
        <f>(E623/E612)*SUM(C626:D626)</f>
        <v>85426.136231679979</v>
      </c>
      <c r="F626" s="180">
        <f>(F624/F612)*BR64</f>
        <v>127.20636032515272</v>
      </c>
      <c r="G626" s="180">
        <f>(G625/G612)*BR77</f>
        <v>0</v>
      </c>
      <c r="N626" s="199" t="s">
        <v>618</v>
      </c>
    </row>
    <row r="627" spans="1:14" ht="12.6" customHeight="1" x14ac:dyDescent="0.25">
      <c r="A627" s="196">
        <v>8620</v>
      </c>
      <c r="B627" s="198" t="s">
        <v>619</v>
      </c>
      <c r="C627" s="180">
        <f>BO71</f>
        <v>421604.23000000004</v>
      </c>
      <c r="D627" s="180">
        <f>(D615/D612)*BO76</f>
        <v>176366.47897637478</v>
      </c>
      <c r="E627" s="180">
        <f>(E623/E612)*SUM(C627:D627)</f>
        <v>178981.62241791672</v>
      </c>
      <c r="F627" s="180">
        <f>(F624/F612)*BO64</f>
        <v>239.178629758851</v>
      </c>
      <c r="G627" s="180">
        <f>(G625/G612)*BO77</f>
        <v>0</v>
      </c>
      <c r="N627" s="199" t="s">
        <v>620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179261.16000000015</v>
      </c>
      <c r="D628" s="180">
        <f>(D615/D612)*AZ76</f>
        <v>0</v>
      </c>
      <c r="E628" s="180">
        <f>(E623/E612)*SUM(C628:D628)</f>
        <v>53655.559999319979</v>
      </c>
      <c r="F628" s="180">
        <f>(F624/F612)*AZ64</f>
        <v>3509.9019237853522</v>
      </c>
      <c r="G628" s="180">
        <f>(G625/G612)*AZ77</f>
        <v>0</v>
      </c>
      <c r="H628" s="180">
        <f>SUM(C626:G628)</f>
        <v>1384576.9064348133</v>
      </c>
      <c r="N628" s="199" t="s">
        <v>621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3629258.6600000006</v>
      </c>
      <c r="D629" s="180">
        <f>(D615/D612)*BF76</f>
        <v>112458.39670406113</v>
      </c>
      <c r="E629" s="180">
        <f>(E623/E612)*SUM(C629:D629)</f>
        <v>1119952.1638511296</v>
      </c>
      <c r="F629" s="180">
        <f>(F624/F612)*BF64</f>
        <v>2463.8186181294418</v>
      </c>
      <c r="G629" s="180">
        <f>(G625/G612)*BF77</f>
        <v>0</v>
      </c>
      <c r="H629" s="180">
        <f>(H628/H612)*BF60</f>
        <v>63926.962358523037</v>
      </c>
      <c r="I629" s="180">
        <f>SUM(C629:H629)</f>
        <v>4928060.0015318431</v>
      </c>
      <c r="N629" s="199" t="s">
        <v>622</v>
      </c>
    </row>
    <row r="630" spans="1:14" ht="12.6" customHeight="1" x14ac:dyDescent="0.25">
      <c r="A630" s="196">
        <v>8350</v>
      </c>
      <c r="B630" s="200" t="s">
        <v>623</v>
      </c>
      <c r="C630" s="180">
        <f>BA71</f>
        <v>579706.74</v>
      </c>
      <c r="D630" s="180">
        <f>(D615/D612)*BA76</f>
        <v>41563.575129489793</v>
      </c>
      <c r="E630" s="180">
        <f>(E623/E612)*SUM(C630:D630)</f>
        <v>185955.54479970306</v>
      </c>
      <c r="F630" s="180">
        <f>(F624/F612)*BA64</f>
        <v>581.58931992010798</v>
      </c>
      <c r="G630" s="180">
        <f>(G625/G612)*BA77</f>
        <v>0</v>
      </c>
      <c r="H630" s="180">
        <f>(H628/H612)*BA60</f>
        <v>1247.7355621236379</v>
      </c>
      <c r="I630" s="180">
        <f>(I629/I612)*BA78</f>
        <v>14828.282105242226</v>
      </c>
      <c r="J630" s="180">
        <f>SUM(C630:I630)</f>
        <v>823883.4669164787</v>
      </c>
      <c r="N630" s="199" t="s">
        <v>624</v>
      </c>
    </row>
    <row r="631" spans="1:14" ht="12.6" customHeight="1" x14ac:dyDescent="0.25">
      <c r="A631" s="196">
        <v>8200</v>
      </c>
      <c r="B631" s="200" t="s">
        <v>625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626</v>
      </c>
    </row>
    <row r="632" spans="1:14" ht="12.6" customHeight="1" x14ac:dyDescent="0.25">
      <c r="A632" s="196">
        <v>8360</v>
      </c>
      <c r="B632" s="200" t="s">
        <v>627</v>
      </c>
      <c r="C632" s="180">
        <f>BB71</f>
        <v>2339192.8200000003</v>
      </c>
      <c r="D632" s="180">
        <f>(D615/D612)*BB76</f>
        <v>143942.06468830971</v>
      </c>
      <c r="E632" s="180">
        <f>(E623/E612)*SUM(C632:D632)</f>
        <v>743239.59965336602</v>
      </c>
      <c r="F632" s="180">
        <f>(F624/F612)*BB64</f>
        <v>9.9276510260615414</v>
      </c>
      <c r="G632" s="180">
        <f>(G625/G612)*BB77</f>
        <v>0</v>
      </c>
      <c r="H632" s="180">
        <f>(H628/H612)*BB60</f>
        <v>22095.058779911338</v>
      </c>
      <c r="I632" s="180">
        <f>(I629/I612)*BB78</f>
        <v>51352.982397678607</v>
      </c>
      <c r="J632" s="180">
        <f>(J630/J612)*BB79</f>
        <v>0</v>
      </c>
      <c r="N632" s="199" t="s">
        <v>628</v>
      </c>
    </row>
    <row r="633" spans="1:14" ht="12.6" customHeight="1" x14ac:dyDescent="0.25">
      <c r="A633" s="196">
        <v>8370</v>
      </c>
      <c r="B633" s="200" t="s">
        <v>629</v>
      </c>
      <c r="C633" s="180">
        <f>BC71</f>
        <v>377177.55</v>
      </c>
      <c r="D633" s="180">
        <f>(D615/D612)*BC76</f>
        <v>0</v>
      </c>
      <c r="E633" s="180">
        <f>(E623/E612)*SUM(C633:D633)</f>
        <v>112894.91077945437</v>
      </c>
      <c r="F633" s="180">
        <f>(F624/F612)*BC64</f>
        <v>27.95366221165159</v>
      </c>
      <c r="G633" s="180">
        <f>(G625/G612)*BC77</f>
        <v>0</v>
      </c>
      <c r="H633" s="180">
        <f>(H628/H612)*BC60</f>
        <v>7908.810879141397</v>
      </c>
      <c r="I633" s="180">
        <f>(I629/I612)*BC78</f>
        <v>0</v>
      </c>
      <c r="J633" s="180">
        <f>(J630/J612)*BC79</f>
        <v>0</v>
      </c>
      <c r="N633" s="199" t="s">
        <v>630</v>
      </c>
    </row>
    <row r="634" spans="1:14" ht="12.6" customHeight="1" x14ac:dyDescent="0.25">
      <c r="A634" s="196">
        <v>8490</v>
      </c>
      <c r="B634" s="200" t="s">
        <v>631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632</v>
      </c>
    </row>
    <row r="635" spans="1:14" ht="12.6" customHeight="1" x14ac:dyDescent="0.25">
      <c r="A635" s="196">
        <v>8530</v>
      </c>
      <c r="B635" s="200" t="s">
        <v>633</v>
      </c>
      <c r="C635" s="180">
        <f>BK71</f>
        <v>196280.13999999998</v>
      </c>
      <c r="D635" s="180">
        <f>(D615/D612)*BK76</f>
        <v>108397.46471367321</v>
      </c>
      <c r="E635" s="180">
        <f>(E623/E612)*SUM(C635:D635)</f>
        <v>91194.587272354882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38672.038708406384</v>
      </c>
      <c r="J635" s="180">
        <f>(J630/J612)*BK79</f>
        <v>0</v>
      </c>
      <c r="N635" s="199" t="s">
        <v>634</v>
      </c>
    </row>
    <row r="636" spans="1:14" ht="12.6" customHeight="1" x14ac:dyDescent="0.25">
      <c r="A636" s="196">
        <v>8480</v>
      </c>
      <c r="B636" s="200" t="s">
        <v>635</v>
      </c>
      <c r="C636" s="180">
        <f>BH71</f>
        <v>220965.54</v>
      </c>
      <c r="D636" s="180">
        <f>(D615/D612)*BH76</f>
        <v>129118.64975425921</v>
      </c>
      <c r="E636" s="180">
        <f>(E623/E612)*SUM(C636:D636)</f>
        <v>104785.46076669903</v>
      </c>
      <c r="F636" s="180">
        <f>(F624/F612)*BH64</f>
        <v>0.33480886003007565</v>
      </c>
      <c r="G636" s="180">
        <f>(G625/G612)*BH77</f>
        <v>0</v>
      </c>
      <c r="H636" s="180">
        <f>(H628/H612)*BH60</f>
        <v>0</v>
      </c>
      <c r="I636" s="180">
        <f>(I629/I612)*BH78</f>
        <v>46064.559115505108</v>
      </c>
      <c r="J636" s="180">
        <f>(J630/J612)*BH79</f>
        <v>0</v>
      </c>
      <c r="N636" s="199" t="s">
        <v>636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4393903.6599999992</v>
      </c>
      <c r="D637" s="180">
        <f>(D615/D612)*BL76</f>
        <v>0</v>
      </c>
      <c r="E637" s="180">
        <f>(E623/E612)*SUM(C637:D637)</f>
        <v>1315161.4184598683</v>
      </c>
      <c r="F637" s="180">
        <f>(F624/F612)*BL64</f>
        <v>68.808112657642098</v>
      </c>
      <c r="G637" s="180">
        <f>(G625/G612)*BL77</f>
        <v>0</v>
      </c>
      <c r="H637" s="180">
        <f>(H628/H612)*BL60</f>
        <v>72374.184631339012</v>
      </c>
      <c r="I637" s="180">
        <f>(I629/I612)*BL78</f>
        <v>0</v>
      </c>
      <c r="J637" s="180">
        <f>(J630/J612)*BL79</f>
        <v>0</v>
      </c>
      <c r="N637" s="199" t="s">
        <v>637</v>
      </c>
    </row>
    <row r="638" spans="1:14" ht="12.6" customHeight="1" x14ac:dyDescent="0.25">
      <c r="A638" s="196">
        <v>8590</v>
      </c>
      <c r="B638" s="200" t="s">
        <v>638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639</v>
      </c>
    </row>
    <row r="639" spans="1:14" ht="12.6" customHeight="1" x14ac:dyDescent="0.25">
      <c r="A639" s="196">
        <v>8660</v>
      </c>
      <c r="B639" s="200" t="s">
        <v>640</v>
      </c>
      <c r="C639" s="180">
        <f>BS71</f>
        <v>381205.69000000006</v>
      </c>
      <c r="D639" s="180">
        <f>(D615/D612)*BS76</f>
        <v>70594.248064656291</v>
      </c>
      <c r="E639" s="180">
        <f>(E623/E612)*SUM(C639:D639)</f>
        <v>135230.51331653324</v>
      </c>
      <c r="F639" s="180">
        <f>(F624/F612)*BS64</f>
        <v>237.35725229468224</v>
      </c>
      <c r="G639" s="180">
        <f>(G625/G612)*BS77</f>
        <v>0</v>
      </c>
      <c r="H639" s="180">
        <f>(H628/H612)*BS60</f>
        <v>9247.9376660179823</v>
      </c>
      <c r="I639" s="180">
        <f>(I629/I612)*BS78</f>
        <v>25185.307617281076</v>
      </c>
      <c r="J639" s="180">
        <f>(J630/J612)*BS79</f>
        <v>0</v>
      </c>
      <c r="N639" s="199" t="s">
        <v>641</v>
      </c>
    </row>
    <row r="640" spans="1:14" ht="12.6" customHeight="1" x14ac:dyDescent="0.25">
      <c r="A640" s="196">
        <v>8670</v>
      </c>
      <c r="B640" s="200" t="s">
        <v>642</v>
      </c>
      <c r="C640" s="180">
        <f>BT71</f>
        <v>596261.4</v>
      </c>
      <c r="D640" s="180">
        <f>(D615/D612)*BT76</f>
        <v>81055.031754920972</v>
      </c>
      <c r="E640" s="180">
        <f>(E623/E612)*SUM(C640:D640)</f>
        <v>202730.99004018184</v>
      </c>
      <c r="F640" s="180">
        <f>(F624/F612)*BT64</f>
        <v>15.004458342847624</v>
      </c>
      <c r="G640" s="180">
        <f>(G625/G612)*BT77</f>
        <v>0</v>
      </c>
      <c r="H640" s="180">
        <f>(H628/H612)*BT60</f>
        <v>6592.2869135309502</v>
      </c>
      <c r="I640" s="180">
        <f>(I629/I612)*BT78</f>
        <v>28917.312169774577</v>
      </c>
      <c r="J640" s="180">
        <f>(J630/J612)*BT79</f>
        <v>0</v>
      </c>
      <c r="N640" s="199" t="s">
        <v>643</v>
      </c>
    </row>
    <row r="641" spans="1:14" ht="12.6" customHeight="1" x14ac:dyDescent="0.25">
      <c r="A641" s="196">
        <v>8680</v>
      </c>
      <c r="B641" s="200" t="s">
        <v>644</v>
      </c>
      <c r="C641" s="180">
        <f>BU71</f>
        <v>187529.69</v>
      </c>
      <c r="D641" s="180">
        <f>(D615/D612)*BU76</f>
        <v>31928.336659965586</v>
      </c>
      <c r="E641" s="180">
        <f>(E623/E612)*SUM(C641:D641)</f>
        <v>65687.086465278568</v>
      </c>
      <c r="F641" s="180">
        <f>(F624/F612)*BU64</f>
        <v>1.0799636026582502</v>
      </c>
      <c r="G641" s="180">
        <f>(G625/G612)*BU77</f>
        <v>0</v>
      </c>
      <c r="H641" s="180">
        <f>(H628/H612)*BU60</f>
        <v>1244.411490332802</v>
      </c>
      <c r="I641" s="180">
        <f>(I629/I612)*BU78</f>
        <v>11390.800278131144</v>
      </c>
      <c r="J641" s="180">
        <f>(J630/J612)*BU79</f>
        <v>0</v>
      </c>
      <c r="N641" s="199" t="s">
        <v>645</v>
      </c>
    </row>
    <row r="642" spans="1:14" ht="12.6" customHeight="1" x14ac:dyDescent="0.25">
      <c r="A642" s="196">
        <v>8690</v>
      </c>
      <c r="B642" s="200" t="s">
        <v>646</v>
      </c>
      <c r="C642" s="180">
        <f>BV71</f>
        <v>356613.08000000007</v>
      </c>
      <c r="D642" s="180">
        <f>(D615/D612)*BV76</f>
        <v>227856.48488961358</v>
      </c>
      <c r="E642" s="180">
        <f>(E623/E612)*SUM(C642:D642)</f>
        <v>174940.52703168427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81290.414189005009</v>
      </c>
      <c r="J642" s="180">
        <f>(J630/J612)*BV79</f>
        <v>0</v>
      </c>
      <c r="N642" s="199" t="s">
        <v>647</v>
      </c>
    </row>
    <row r="643" spans="1:14" ht="12.6" customHeight="1" x14ac:dyDescent="0.25">
      <c r="A643" s="196">
        <v>8700</v>
      </c>
      <c r="B643" s="200" t="s">
        <v>648</v>
      </c>
      <c r="C643" s="180">
        <f>BW71</f>
        <v>416349.99</v>
      </c>
      <c r="D643" s="180">
        <f>(D615/D612)*BW76</f>
        <v>15760.408759590939</v>
      </c>
      <c r="E643" s="180">
        <f>(E623/E612)*SUM(C643:D643)</f>
        <v>129337.13821206609</v>
      </c>
      <c r="F643" s="180">
        <f>(F624/F612)*BW64</f>
        <v>194.57977313415284</v>
      </c>
      <c r="G643" s="180">
        <f>(G625/G612)*BW77</f>
        <v>0</v>
      </c>
      <c r="H643" s="180">
        <f>(H628/H612)*BW60</f>
        <v>2945.2279846563411</v>
      </c>
      <c r="I643" s="180">
        <f>(I629/I612)*BW78</f>
        <v>5622.706575482548</v>
      </c>
      <c r="J643" s="180">
        <f>(J630/J612)*BW79</f>
        <v>0</v>
      </c>
      <c r="N643" s="199" t="s">
        <v>649</v>
      </c>
    </row>
    <row r="644" spans="1:14" ht="12.6" customHeight="1" x14ac:dyDescent="0.25">
      <c r="A644" s="196">
        <v>8710</v>
      </c>
      <c r="B644" s="200" t="s">
        <v>650</v>
      </c>
      <c r="C644" s="180">
        <f>BX71</f>
        <v>18703</v>
      </c>
      <c r="D644" s="180">
        <f>(D615/D612)*BX76</f>
        <v>85143.732084552001</v>
      </c>
      <c r="E644" s="180">
        <f>(E623/E612)*SUM(C644:D644)</f>
        <v>31082.888028259898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30376.002904214049</v>
      </c>
      <c r="J644" s="180">
        <f>(J630/J612)*BX79</f>
        <v>0</v>
      </c>
      <c r="K644" s="180">
        <f>SUM(C631:J644)</f>
        <v>13926099.18937782</v>
      </c>
      <c r="N644" s="199" t="s">
        <v>651</v>
      </c>
    </row>
    <row r="645" spans="1:14" ht="12.6" customHeight="1" x14ac:dyDescent="0.25">
      <c r="A645" s="196">
        <v>8720</v>
      </c>
      <c r="B645" s="200" t="s">
        <v>652</v>
      </c>
      <c r="C645" s="180">
        <f>BY71</f>
        <v>614251.63</v>
      </c>
      <c r="D645" s="180">
        <f>(D615/D612)*BY76</f>
        <v>97652.993665735892</v>
      </c>
      <c r="E645" s="180">
        <f>(E623/E612)*SUM(C645:D645)</f>
        <v>213083.75583919112</v>
      </c>
      <c r="F645" s="180">
        <f>(F624/F612)*BY64</f>
        <v>38.510644545736994</v>
      </c>
      <c r="G645" s="180">
        <f>(G625/G612)*BY77</f>
        <v>0</v>
      </c>
      <c r="H645" s="180">
        <f>(H628/H612)*BY60</f>
        <v>3614.5892357114453</v>
      </c>
      <c r="I645" s="180">
        <f>(I629/I612)*BY78</f>
        <v>34838.825437554202</v>
      </c>
      <c r="J645" s="180">
        <f>(J630/J612)*BY79</f>
        <v>0</v>
      </c>
      <c r="K645" s="180">
        <v>0</v>
      </c>
      <c r="N645" s="199" t="s">
        <v>653</v>
      </c>
    </row>
    <row r="646" spans="1:14" ht="12.6" customHeight="1" x14ac:dyDescent="0.25">
      <c r="A646" s="196">
        <v>8730</v>
      </c>
      <c r="B646" s="200" t="s">
        <v>654</v>
      </c>
      <c r="C646" s="180">
        <f>BZ71</f>
        <v>1543529.46</v>
      </c>
      <c r="D646" s="180">
        <f>(D615/D612)*BZ76</f>
        <v>0</v>
      </c>
      <c r="E646" s="180">
        <f>(E623/E612)*SUM(C646:D646)</f>
        <v>462001.57106953836</v>
      </c>
      <c r="F646" s="180">
        <f>(F624/F612)*BZ64</f>
        <v>11.685433511230185</v>
      </c>
      <c r="G646" s="180">
        <f>(G625/G612)*BZ77</f>
        <v>0</v>
      </c>
      <c r="H646" s="180">
        <f>(H628/H612)*BZ60</f>
        <v>14101.820098264247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655</v>
      </c>
    </row>
    <row r="647" spans="1:14" ht="12.6" customHeight="1" x14ac:dyDescent="0.25">
      <c r="A647" s="196">
        <v>8740</v>
      </c>
      <c r="B647" s="200" t="s">
        <v>656</v>
      </c>
      <c r="C647" s="180">
        <f>CA71</f>
        <v>93829</v>
      </c>
      <c r="D647" s="180">
        <f>(D615/D612)*CA76</f>
        <v>427159.61208077968</v>
      </c>
      <c r="E647" s="180">
        <f>(E623/E612)*SUM(C647:D647)</f>
        <v>155939.72355452063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152394.09055082864</v>
      </c>
      <c r="J647" s="180">
        <f>(J630/J612)*CA79</f>
        <v>0</v>
      </c>
      <c r="K647" s="180">
        <v>0</v>
      </c>
      <c r="L647" s="180">
        <f>SUM(C645:K647)</f>
        <v>3812447.2676101811</v>
      </c>
      <c r="N647" s="199" t="s">
        <v>657</v>
      </c>
    </row>
    <row r="648" spans="1:14" ht="12.6" customHeight="1" x14ac:dyDescent="0.25">
      <c r="A648" s="196"/>
      <c r="B648" s="196"/>
      <c r="C648" s="180">
        <f>SUM(C614:C647)</f>
        <v>91332834.529999971</v>
      </c>
      <c r="L648" s="266"/>
    </row>
    <row r="666" spans="1:14" ht="12.6" customHeight="1" x14ac:dyDescent="0.25">
      <c r="C666" s="181" t="s">
        <v>658</v>
      </c>
      <c r="M666" s="181" t="s">
        <v>659</v>
      </c>
    </row>
    <row r="667" spans="1:14" ht="12.6" customHeight="1" x14ac:dyDescent="0.25">
      <c r="C667" s="181" t="s">
        <v>588</v>
      </c>
      <c r="D667" s="181" t="s">
        <v>589</v>
      </c>
      <c r="E667" s="198" t="s">
        <v>590</v>
      </c>
      <c r="F667" s="181" t="s">
        <v>591</v>
      </c>
      <c r="G667" s="181" t="s">
        <v>592</v>
      </c>
      <c r="H667" s="181" t="s">
        <v>593</v>
      </c>
      <c r="I667" s="181" t="s">
        <v>594</v>
      </c>
      <c r="J667" s="181" t="s">
        <v>595</v>
      </c>
      <c r="K667" s="181" t="s">
        <v>596</v>
      </c>
      <c r="L667" s="198" t="s">
        <v>597</v>
      </c>
      <c r="M667" s="181" t="s">
        <v>660</v>
      </c>
    </row>
    <row r="668" spans="1:14" ht="12.6" customHeight="1" x14ac:dyDescent="0.25">
      <c r="A668" s="196">
        <v>6010</v>
      </c>
      <c r="B668" s="198" t="s">
        <v>281</v>
      </c>
      <c r="C668" s="180">
        <f>C71</f>
        <v>9936320.870000001</v>
      </c>
      <c r="D668" s="180">
        <f>(D615/D612)*C76</f>
        <v>863949.95965715242</v>
      </c>
      <c r="E668" s="180">
        <f>(E623/E612)*SUM(C668:D668)</f>
        <v>3232683.4184804689</v>
      </c>
      <c r="F668" s="180">
        <f>(F624/F612)*C64</f>
        <v>4499.1182251312393</v>
      </c>
      <c r="G668" s="180">
        <f>(G625/G612)*C77</f>
        <v>701872.49240487581</v>
      </c>
      <c r="H668" s="180">
        <f>(H628/H612)*C60</f>
        <v>99121.190663085479</v>
      </c>
      <c r="I668" s="180">
        <f>(I629/I612)*C78</f>
        <v>308224.0564411754</v>
      </c>
      <c r="J668" s="180">
        <f>(J630/J612)*C79</f>
        <v>156075.50012275437</v>
      </c>
      <c r="K668" s="180">
        <f>(K644/K612)*C75</f>
        <v>824505.17007496126</v>
      </c>
      <c r="L668" s="180">
        <f>(L647/L612)*C80</f>
        <v>722225.45769838686</v>
      </c>
      <c r="M668" s="180">
        <f t="shared" ref="M668:M713" si="20">ROUND(SUM(D668:L668),0)</f>
        <v>6913156</v>
      </c>
      <c r="N668" s="198" t="s">
        <v>661</v>
      </c>
    </row>
    <row r="669" spans="1:14" ht="12.6" customHeight="1" x14ac:dyDescent="0.25">
      <c r="A669" s="196">
        <v>6030</v>
      </c>
      <c r="B669" s="198" t="s">
        <v>282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662</v>
      </c>
    </row>
    <row r="670" spans="1:14" ht="12.6" customHeight="1" x14ac:dyDescent="0.25">
      <c r="A670" s="196">
        <v>6070</v>
      </c>
      <c r="B670" s="198" t="s">
        <v>663</v>
      </c>
      <c r="C670" s="180">
        <f>E71</f>
        <v>15530428.483298</v>
      </c>
      <c r="D670" s="180">
        <f>(D615/D612)*E76</f>
        <v>1642946.4378783507</v>
      </c>
      <c r="E670" s="180">
        <f>(E623/E612)*SUM(C670:D670)</f>
        <v>5140249.2791745514</v>
      </c>
      <c r="F670" s="180">
        <f>(F624/F612)*E64</f>
        <v>5906.459961849825</v>
      </c>
      <c r="G670" s="180">
        <f>(G625/G612)*E77</f>
        <v>1296660.3059211392</v>
      </c>
      <c r="H670" s="180">
        <f>(H628/H612)*E60</f>
        <v>160166.08822005175</v>
      </c>
      <c r="I670" s="180">
        <f>(I629/I612)*E78</f>
        <v>586139.98407894082</v>
      </c>
      <c r="J670" s="180">
        <f>(J630/J612)*E79</f>
        <v>226505.09500677706</v>
      </c>
      <c r="K670" s="180">
        <f>(K644/K612)*E75</f>
        <v>1447992.4530724161</v>
      </c>
      <c r="L670" s="180">
        <f>(L647/L612)*E80</f>
        <v>1048132.1269745945</v>
      </c>
      <c r="M670" s="180">
        <f t="shared" si="20"/>
        <v>11554698</v>
      </c>
      <c r="N670" s="198" t="s">
        <v>664</v>
      </c>
    </row>
    <row r="671" spans="1:14" ht="12.6" customHeight="1" x14ac:dyDescent="0.25">
      <c r="A671" s="196">
        <v>6100</v>
      </c>
      <c r="B671" s="198" t="s">
        <v>665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666</v>
      </c>
    </row>
    <row r="672" spans="1:14" ht="12.6" customHeight="1" x14ac:dyDescent="0.25">
      <c r="A672" s="196">
        <v>6120</v>
      </c>
      <c r="B672" s="198" t="s">
        <v>667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668</v>
      </c>
    </row>
    <row r="673" spans="1:14" ht="12.6" customHeight="1" x14ac:dyDescent="0.25">
      <c r="A673" s="196">
        <v>6140</v>
      </c>
      <c r="B673" s="198" t="s">
        <v>669</v>
      </c>
      <c r="C673" s="180">
        <f>H71</f>
        <v>4542683.4100000011</v>
      </c>
      <c r="D673" s="180">
        <f>(D615/D612)*H76</f>
        <v>380002.21758511802</v>
      </c>
      <c r="E673" s="180">
        <f>(E623/E612)*SUM(C673:D673)</f>
        <v>1473433.8104734079</v>
      </c>
      <c r="F673" s="180">
        <f>(F624/F612)*H64</f>
        <v>360.68770008183736</v>
      </c>
      <c r="G673" s="180">
        <f>(G625/G612)*H77</f>
        <v>576827.73751819762</v>
      </c>
      <c r="H673" s="180">
        <f>(H628/H612)*H60</f>
        <v>54685.787696079227</v>
      </c>
      <c r="I673" s="180">
        <f>(I629/I612)*H78</f>
        <v>135570.14923318839</v>
      </c>
      <c r="J673" s="180">
        <f>(J630/J612)*H79</f>
        <v>48902.743446212509</v>
      </c>
      <c r="K673" s="180">
        <f>(K644/K612)*H75</f>
        <v>282267.88072184852</v>
      </c>
      <c r="L673" s="180">
        <f>(L647/L612)*H80</f>
        <v>226293.08405463476</v>
      </c>
      <c r="M673" s="180">
        <f t="shared" si="20"/>
        <v>3178344</v>
      </c>
      <c r="N673" s="198" t="s">
        <v>670</v>
      </c>
    </row>
    <row r="674" spans="1:14" ht="12.6" customHeight="1" x14ac:dyDescent="0.25">
      <c r="A674" s="196">
        <v>6150</v>
      </c>
      <c r="B674" s="198" t="s">
        <v>671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672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394976.85670200014</v>
      </c>
      <c r="D675" s="180">
        <f>(D615/D612)*J76</f>
        <v>0</v>
      </c>
      <c r="E675" s="180">
        <f>(E623/E612)*SUM(C675:D675)</f>
        <v>118222.51085018617</v>
      </c>
      <c r="F675" s="180">
        <f>(F624/F612)*J64</f>
        <v>179.09774613830308</v>
      </c>
      <c r="G675" s="180">
        <f>(G625/G612)*J77</f>
        <v>0</v>
      </c>
      <c r="H675" s="180">
        <f>(H628/H612)*J60</f>
        <v>3354.8665378369055</v>
      </c>
      <c r="I675" s="180">
        <f>(I629/I612)*J78</f>
        <v>0</v>
      </c>
      <c r="J675" s="180">
        <f>(J630/J612)*J79</f>
        <v>6065.5080381162352</v>
      </c>
      <c r="K675" s="180">
        <f>(K644/K612)*J75</f>
        <v>45827.995804449274</v>
      </c>
      <c r="L675" s="180">
        <f>(L647/L612)*J80</f>
        <v>28067.597512462376</v>
      </c>
      <c r="M675" s="180">
        <f t="shared" si="20"/>
        <v>201718</v>
      </c>
      <c r="N675" s="198" t="s">
        <v>673</v>
      </c>
    </row>
    <row r="676" spans="1:14" ht="12.6" customHeight="1" x14ac:dyDescent="0.25">
      <c r="A676" s="196">
        <v>6200</v>
      </c>
      <c r="B676" s="198" t="s">
        <v>286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674</v>
      </c>
    </row>
    <row r="677" spans="1:14" ht="12.6" customHeight="1" x14ac:dyDescent="0.25">
      <c r="A677" s="196">
        <v>6210</v>
      </c>
      <c r="B677" s="198" t="s">
        <v>287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675</v>
      </c>
    </row>
    <row r="678" spans="1:14" ht="12.6" customHeight="1" x14ac:dyDescent="0.25">
      <c r="A678" s="196">
        <v>6330</v>
      </c>
      <c r="B678" s="198" t="s">
        <v>676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677</v>
      </c>
    </row>
    <row r="679" spans="1:14" ht="12.6" customHeight="1" x14ac:dyDescent="0.25">
      <c r="A679" s="196">
        <v>6400</v>
      </c>
      <c r="B679" s="198" t="s">
        <v>678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679</v>
      </c>
    </row>
    <row r="680" spans="1:14" ht="12.6" customHeight="1" x14ac:dyDescent="0.25">
      <c r="A680" s="196">
        <v>7010</v>
      </c>
      <c r="B680" s="198" t="s">
        <v>680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681</v>
      </c>
    </row>
    <row r="681" spans="1:14" ht="12.6" customHeight="1" x14ac:dyDescent="0.25">
      <c r="A681" s="196">
        <v>7020</v>
      </c>
      <c r="B681" s="198" t="s">
        <v>682</v>
      </c>
      <c r="C681" s="180">
        <f>P71</f>
        <v>11415910.369999999</v>
      </c>
      <c r="D681" s="180">
        <f>(D615/D612)*P76</f>
        <v>921813.92517016281</v>
      </c>
      <c r="E681" s="180">
        <f>(E623/E612)*SUM(C681:D681)</f>
        <v>3692866.353060361</v>
      </c>
      <c r="F681" s="180">
        <f>(F624/F612)*P64</f>
        <v>38960.961239497083</v>
      </c>
      <c r="G681" s="180">
        <f>(G625/G612)*P77</f>
        <v>0</v>
      </c>
      <c r="H681" s="180">
        <f>(H628/H612)*P60</f>
        <v>49309.814968442624</v>
      </c>
      <c r="I681" s="180">
        <f>(I629/I612)*P78</f>
        <v>328867.68975909345</v>
      </c>
      <c r="J681" s="180">
        <f>(J630/J612)*P79</f>
        <v>57709.229189942715</v>
      </c>
      <c r="K681" s="180">
        <f>(K644/K612)*P75</f>
        <v>1258662.4770330219</v>
      </c>
      <c r="L681" s="180">
        <f>(L647/L612)*P80</f>
        <v>267044.31145405024</v>
      </c>
      <c r="M681" s="180">
        <f t="shared" si="20"/>
        <v>6615235</v>
      </c>
      <c r="N681" s="198" t="s">
        <v>683</v>
      </c>
    </row>
    <row r="682" spans="1:14" ht="12.6" customHeight="1" x14ac:dyDescent="0.25">
      <c r="A682" s="196">
        <v>7030</v>
      </c>
      <c r="B682" s="198" t="s">
        <v>684</v>
      </c>
      <c r="C682" s="180">
        <f>Q71</f>
        <v>970998.89999999991</v>
      </c>
      <c r="D682" s="180">
        <f>(D615/D612)*Q76</f>
        <v>93744.787541184953</v>
      </c>
      <c r="E682" s="180">
        <f>(E623/E612)*SUM(C682:D682)</f>
        <v>318693.79184405145</v>
      </c>
      <c r="F682" s="180">
        <f>(F624/F612)*Q64</f>
        <v>181.11677363184327</v>
      </c>
      <c r="G682" s="180">
        <f>(G625/G612)*Q77</f>
        <v>0</v>
      </c>
      <c r="H682" s="180">
        <f>(H628/H612)*Q60</f>
        <v>7228.9018383375787</v>
      </c>
      <c r="I682" s="180">
        <f>(I629/I612)*Q78</f>
        <v>33444.528080800606</v>
      </c>
      <c r="J682" s="180">
        <f>(J630/J612)*Q79</f>
        <v>15743.25621974521</v>
      </c>
      <c r="K682" s="180">
        <f>(K644/K612)*Q75</f>
        <v>73604.733098410419</v>
      </c>
      <c r="L682" s="180">
        <f>(L647/L612)*Q80</f>
        <v>72850.514142358923</v>
      </c>
      <c r="M682" s="180">
        <f t="shared" si="20"/>
        <v>615492</v>
      </c>
      <c r="N682" s="198" t="s">
        <v>685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4301763.24</v>
      </c>
      <c r="D683" s="180">
        <f>(D615/D612)*R76</f>
        <v>0</v>
      </c>
      <c r="E683" s="180">
        <f>(E623/E612)*SUM(C683:D683)</f>
        <v>1287582.4056180876</v>
      </c>
      <c r="F683" s="180">
        <f>(F624/F612)*R64</f>
        <v>4.4891292812068651</v>
      </c>
      <c r="G683" s="180">
        <f>(G625/G612)*R77</f>
        <v>0</v>
      </c>
      <c r="H683" s="180">
        <f>(H628/H612)*R60</f>
        <v>13958.065986104064</v>
      </c>
      <c r="I683" s="180">
        <f>(I629/I612)*R78</f>
        <v>0</v>
      </c>
      <c r="J683" s="180">
        <f>(J630/J612)*R79</f>
        <v>0</v>
      </c>
      <c r="K683" s="180">
        <f>(K644/K612)*R75</f>
        <v>121163.8278279933</v>
      </c>
      <c r="L683" s="180">
        <f>(L647/L612)*R80</f>
        <v>0</v>
      </c>
      <c r="M683" s="180">
        <f t="shared" si="20"/>
        <v>1422709</v>
      </c>
      <c r="N683" s="198" t="s">
        <v>686</v>
      </c>
    </row>
    <row r="684" spans="1:14" ht="12.6" customHeight="1" x14ac:dyDescent="0.25">
      <c r="A684" s="196">
        <v>7050</v>
      </c>
      <c r="B684" s="198" t="s">
        <v>687</v>
      </c>
      <c r="C684" s="180">
        <f>S71</f>
        <v>1572370.0600000003</v>
      </c>
      <c r="D684" s="180">
        <f>(D615/D612)*S76</f>
        <v>208686.19912053688</v>
      </c>
      <c r="E684" s="180">
        <f>(E623/E612)*SUM(C684:D684)</f>
        <v>533096.91275793535</v>
      </c>
      <c r="F684" s="180">
        <f>(F624/F612)*S64</f>
        <v>1596.0963516420484</v>
      </c>
      <c r="G684" s="180">
        <f>(G625/G612)*S77</f>
        <v>0</v>
      </c>
      <c r="H684" s="180">
        <f>(H628/H612)*S60</f>
        <v>25322.921406022182</v>
      </c>
      <c r="I684" s="180">
        <f>(I629/I612)*S78</f>
        <v>74451.194883726988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843153</v>
      </c>
      <c r="N684" s="198" t="s">
        <v>688</v>
      </c>
    </row>
    <row r="685" spans="1:14" ht="12.6" customHeight="1" x14ac:dyDescent="0.25">
      <c r="A685" s="196">
        <v>7060</v>
      </c>
      <c r="B685" s="198" t="s">
        <v>689</v>
      </c>
      <c r="C685" s="180">
        <f>T71</f>
        <v>249019.73</v>
      </c>
      <c r="D685" s="180">
        <f>(D615/D612)*T76</f>
        <v>0</v>
      </c>
      <c r="E685" s="180">
        <f>(E623/E612)*SUM(C685:D685)</f>
        <v>74535.348672458946</v>
      </c>
      <c r="F685" s="180">
        <f>(F624/F612)*T64</f>
        <v>99.939653378741156</v>
      </c>
      <c r="G685" s="180">
        <f>(G625/G612)*T77</f>
        <v>0</v>
      </c>
      <c r="H685" s="180">
        <f>(H628/H612)*T60</f>
        <v>2036.3813629160727</v>
      </c>
      <c r="I685" s="180">
        <f>(I629/I612)*T78</f>
        <v>0</v>
      </c>
      <c r="J685" s="180">
        <f>(J630/J612)*T79</f>
        <v>5245.5509951778176</v>
      </c>
      <c r="K685" s="180">
        <f>(K644/K612)*T75</f>
        <v>14231.728350106612</v>
      </c>
      <c r="L685" s="180">
        <f>(L647/L612)*T80</f>
        <v>24273.319421644472</v>
      </c>
      <c r="M685" s="180">
        <f t="shared" si="20"/>
        <v>120422</v>
      </c>
      <c r="N685" s="198" t="s">
        <v>690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7366382.7400000002</v>
      </c>
      <c r="D686" s="180">
        <f>(D615/D612)*U76</f>
        <v>256154.29881745914</v>
      </c>
      <c r="E686" s="180">
        <f>(E623/E612)*SUM(C686:D686)</f>
        <v>2281539.9243947137</v>
      </c>
      <c r="F686" s="180">
        <f>(F624/F612)*U64</f>
        <v>3784.2280740251481</v>
      </c>
      <c r="G686" s="180">
        <f>(G625/G612)*U77</f>
        <v>0</v>
      </c>
      <c r="H686" s="180">
        <f>(H628/H612)*U60</f>
        <v>0</v>
      </c>
      <c r="I686" s="180">
        <f>(I629/I612)*U78</f>
        <v>91385.983845283932</v>
      </c>
      <c r="J686" s="180">
        <f>(J630/J612)*U79</f>
        <v>0</v>
      </c>
      <c r="K686" s="180">
        <f>(K644/K612)*U75</f>
        <v>651515.79247228021</v>
      </c>
      <c r="L686" s="180">
        <f>(L647/L612)*U80</f>
        <v>0</v>
      </c>
      <c r="M686" s="180">
        <f t="shared" si="20"/>
        <v>3284380</v>
      </c>
      <c r="N686" s="198" t="s">
        <v>691</v>
      </c>
    </row>
    <row r="687" spans="1:14" ht="12.6" customHeight="1" x14ac:dyDescent="0.25">
      <c r="A687" s="196">
        <v>7110</v>
      </c>
      <c r="B687" s="198" t="s">
        <v>692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693</v>
      </c>
    </row>
    <row r="688" spans="1:14" ht="12.6" customHeight="1" x14ac:dyDescent="0.25">
      <c r="A688" s="196">
        <v>7120</v>
      </c>
      <c r="B688" s="198" t="s">
        <v>694</v>
      </c>
      <c r="C688" s="180">
        <f>W71</f>
        <v>585179.8600000001</v>
      </c>
      <c r="D688" s="180">
        <f>(D615/D612)*W76</f>
        <v>0</v>
      </c>
      <c r="E688" s="180">
        <f>(E623/E612)*SUM(C688:D688)</f>
        <v>175153.12903600335</v>
      </c>
      <c r="F688" s="180">
        <f>(F624/F612)*W64</f>
        <v>89.357060397004091</v>
      </c>
      <c r="G688" s="180">
        <f>(G625/G612)*W77</f>
        <v>0</v>
      </c>
      <c r="H688" s="180">
        <f>(H628/H612)*W60</f>
        <v>5085.232134896477</v>
      </c>
      <c r="I688" s="180">
        <f>(I629/I612)*W78</f>
        <v>0</v>
      </c>
      <c r="J688" s="180">
        <f>(J630/J612)*W79</f>
        <v>55.04988295558865</v>
      </c>
      <c r="K688" s="180">
        <f>(K644/K612)*W75</f>
        <v>214153.2396113991</v>
      </c>
      <c r="L688" s="180">
        <f>(L647/L612)*W80</f>
        <v>254.73842392029741</v>
      </c>
      <c r="M688" s="180">
        <f t="shared" si="20"/>
        <v>394791</v>
      </c>
      <c r="N688" s="198" t="s">
        <v>695</v>
      </c>
    </row>
    <row r="689" spans="1:14" ht="12.6" customHeight="1" x14ac:dyDescent="0.25">
      <c r="A689" s="196">
        <v>7130</v>
      </c>
      <c r="B689" s="198" t="s">
        <v>696</v>
      </c>
      <c r="C689" s="180">
        <f>X71</f>
        <v>1058573.52</v>
      </c>
      <c r="D689" s="180">
        <f>(D615/D612)*X76</f>
        <v>0</v>
      </c>
      <c r="E689" s="180">
        <f>(E623/E612)*SUM(C689:D689)</f>
        <v>316846.96794359299</v>
      </c>
      <c r="F689" s="180">
        <f>(F624/F612)*X64</f>
        <v>1509.9870235153619</v>
      </c>
      <c r="G689" s="180">
        <f>(G625/G612)*X77</f>
        <v>0</v>
      </c>
      <c r="H689" s="180">
        <f>(H628/H612)*X60</f>
        <v>9072.4523206504091</v>
      </c>
      <c r="I689" s="180">
        <f>(I629/I612)*X78</f>
        <v>0</v>
      </c>
      <c r="J689" s="180">
        <f>(J630/J612)*X79</f>
        <v>251.61688848035917</v>
      </c>
      <c r="K689" s="180">
        <f>(K644/K612)*X75</f>
        <v>881366.39091781736</v>
      </c>
      <c r="L689" s="180">
        <f>(L647/L612)*X80</f>
        <v>1164.33471175453</v>
      </c>
      <c r="M689" s="180">
        <f t="shared" si="20"/>
        <v>1210212</v>
      </c>
      <c r="N689" s="198" t="s">
        <v>697</v>
      </c>
    </row>
    <row r="690" spans="1:14" ht="12.6" customHeight="1" x14ac:dyDescent="0.25">
      <c r="A690" s="196">
        <v>7140</v>
      </c>
      <c r="B690" s="198" t="s">
        <v>1248</v>
      </c>
      <c r="C690" s="180">
        <f>Y71</f>
        <v>8542575.8499999996</v>
      </c>
      <c r="D690" s="180">
        <f>(D615/D612)*Y76</f>
        <v>937627.61912127433</v>
      </c>
      <c r="E690" s="180">
        <f>(E623/E612)*SUM(C690:D690)</f>
        <v>2837567.4130592342</v>
      </c>
      <c r="F690" s="180">
        <f>(F624/F612)*Y64</f>
        <v>13888.433653375492</v>
      </c>
      <c r="G690" s="180">
        <f>(G625/G612)*Y77</f>
        <v>0</v>
      </c>
      <c r="H690" s="180">
        <f>(H628/H612)*Y60</f>
        <v>69141.443209914942</v>
      </c>
      <c r="I690" s="180">
        <f>(I629/I612)*Y78</f>
        <v>334509.40643775981</v>
      </c>
      <c r="J690" s="180">
        <f>(J630/J612)*Y79</f>
        <v>15060.589435313901</v>
      </c>
      <c r="K690" s="180">
        <f>(K644/K612)*Y75</f>
        <v>1266557.0532389286</v>
      </c>
      <c r="L690" s="180">
        <f>(L647/L612)*Y80</f>
        <v>69691.534478967747</v>
      </c>
      <c r="M690" s="180">
        <f t="shared" si="20"/>
        <v>5544043</v>
      </c>
      <c r="N690" s="198" t="s">
        <v>698</v>
      </c>
    </row>
    <row r="691" spans="1:14" ht="12.6" customHeight="1" x14ac:dyDescent="0.25">
      <c r="A691" s="196">
        <v>7150</v>
      </c>
      <c r="B691" s="198" t="s">
        <v>699</v>
      </c>
      <c r="C691" s="180">
        <f>Z71</f>
        <v>1799460.3300000003</v>
      </c>
      <c r="D691" s="180">
        <f>(D615/D612)*Z76</f>
        <v>269840.71283385344</v>
      </c>
      <c r="E691" s="180">
        <f>(E623/E612)*SUM(C691:D691)</f>
        <v>619372.90967227449</v>
      </c>
      <c r="F691" s="180">
        <f>(F624/F612)*Z64</f>
        <v>267.77687456308308</v>
      </c>
      <c r="G691" s="180">
        <f>(G625/G612)*Z77</f>
        <v>0</v>
      </c>
      <c r="H691" s="180">
        <f>(H628/H612)*Z60</f>
        <v>9343.9428320774641</v>
      </c>
      <c r="I691" s="180">
        <f>(I629/I612)*Z78</f>
        <v>96268.769010226199</v>
      </c>
      <c r="J691" s="180">
        <f>(J630/J612)*Z79</f>
        <v>0</v>
      </c>
      <c r="K691" s="180">
        <f>(K644/K612)*Z75</f>
        <v>370942.28684994223</v>
      </c>
      <c r="L691" s="180">
        <f>(L647/L612)*Z80</f>
        <v>0</v>
      </c>
      <c r="M691" s="180">
        <f t="shared" si="20"/>
        <v>1366036</v>
      </c>
      <c r="N691" s="198" t="s">
        <v>700</v>
      </c>
    </row>
    <row r="692" spans="1:14" ht="12.6" customHeight="1" x14ac:dyDescent="0.25">
      <c r="A692" s="196">
        <v>7160</v>
      </c>
      <c r="B692" s="198" t="s">
        <v>701</v>
      </c>
      <c r="C692" s="180">
        <f>AA71</f>
        <v>1021554.2899999999</v>
      </c>
      <c r="D692" s="180">
        <f>(D615/D612)*AA76</f>
        <v>70992.386009749782</v>
      </c>
      <c r="E692" s="180">
        <f>(E623/E612)*SUM(C692:D692)</f>
        <v>327015.64425165317</v>
      </c>
      <c r="F692" s="180">
        <f>(F624/F612)*AA64</f>
        <v>1046.4004892106752</v>
      </c>
      <c r="G692" s="180">
        <f>(G625/G612)*AA77</f>
        <v>0</v>
      </c>
      <c r="H692" s="180">
        <f>(H628/H612)*AA60</f>
        <v>5044.8419995547592</v>
      </c>
      <c r="I692" s="180">
        <f>(I629/I612)*AA78</f>
        <v>25327.347895295054</v>
      </c>
      <c r="J692" s="180">
        <f>(J630/J612)*AA79</f>
        <v>0</v>
      </c>
      <c r="K692" s="180">
        <f>(K644/K612)*AA75</f>
        <v>66243.757200287204</v>
      </c>
      <c r="L692" s="180">
        <f>(L647/L612)*AA80</f>
        <v>0</v>
      </c>
      <c r="M692" s="180">
        <f t="shared" si="20"/>
        <v>495670</v>
      </c>
      <c r="N692" s="198" t="s">
        <v>702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16858865.400000002</v>
      </c>
      <c r="D693" s="180">
        <f>(D615/D612)*AB76</f>
        <v>122239.23133069774</v>
      </c>
      <c r="E693" s="180">
        <f>(E623/E612)*SUM(C693:D693)</f>
        <v>5082699.8910477534</v>
      </c>
      <c r="F693" s="180">
        <f>(F624/F612)*AB64</f>
        <v>93801.951384974032</v>
      </c>
      <c r="G693" s="180">
        <f>(G625/G612)*AB77</f>
        <v>0</v>
      </c>
      <c r="H693" s="180">
        <f>(H628/H612)*AB60</f>
        <v>50624.848265330103</v>
      </c>
      <c r="I693" s="180">
        <f>(I629/I612)*AB78</f>
        <v>43610.247695306971</v>
      </c>
      <c r="J693" s="180">
        <f>(J630/J612)*AB79</f>
        <v>0</v>
      </c>
      <c r="K693" s="180">
        <f>(K644/K612)*AB75</f>
        <v>1239433.4743892581</v>
      </c>
      <c r="L693" s="180">
        <f>(L647/L612)*AB80</f>
        <v>0</v>
      </c>
      <c r="M693" s="180">
        <f t="shared" si="20"/>
        <v>6632410</v>
      </c>
      <c r="N693" s="198" t="s">
        <v>703</v>
      </c>
    </row>
    <row r="694" spans="1:14" ht="12.6" customHeight="1" x14ac:dyDescent="0.25">
      <c r="A694" s="196">
        <v>7180</v>
      </c>
      <c r="B694" s="198" t="s">
        <v>704</v>
      </c>
      <c r="C694" s="180">
        <f>AC71</f>
        <v>1702172.2300000002</v>
      </c>
      <c r="D694" s="180">
        <f>(D615/D612)*AC76</f>
        <v>56437.273272439932</v>
      </c>
      <c r="E694" s="180">
        <f>(E623/E612)*SUM(C694:D694)</f>
        <v>526378.26129323628</v>
      </c>
      <c r="F694" s="180">
        <f>(F624/F612)*AC64</f>
        <v>784.51794836862928</v>
      </c>
      <c r="G694" s="180">
        <f>(G625/G612)*AC77</f>
        <v>0</v>
      </c>
      <c r="H694" s="180">
        <f>(H628/H612)*AC60</f>
        <v>19647.57411387056</v>
      </c>
      <c r="I694" s="180">
        <f>(I629/I612)*AC78</f>
        <v>20134.644498870839</v>
      </c>
      <c r="J694" s="180">
        <f>(J630/J612)*AC79</f>
        <v>0</v>
      </c>
      <c r="K694" s="180">
        <f>(K644/K612)*AC75</f>
        <v>278761.77441249281</v>
      </c>
      <c r="L694" s="180">
        <f>(L647/L612)*AC80</f>
        <v>0</v>
      </c>
      <c r="M694" s="180">
        <f t="shared" si="20"/>
        <v>902144</v>
      </c>
      <c r="N694" s="198" t="s">
        <v>705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4394735.1499999994</v>
      </c>
      <c r="D695" s="180">
        <f>(D615/D612)*AD76</f>
        <v>315489.98631035339</v>
      </c>
      <c r="E695" s="180">
        <f>(E623/E612)*SUM(C695:D695)</f>
        <v>1409841.1915420219</v>
      </c>
      <c r="F695" s="180">
        <f>(F624/F612)*AD64</f>
        <v>6860.1324662860507</v>
      </c>
      <c r="G695" s="180">
        <f>(G625/G612)*AD77</f>
        <v>0</v>
      </c>
      <c r="H695" s="180">
        <f>(H628/H612)*AD60</f>
        <v>44843.287471710923</v>
      </c>
      <c r="I695" s="180">
        <f>(I629/I612)*AD78</f>
        <v>112554.67085817923</v>
      </c>
      <c r="J695" s="180">
        <f>(J630/J612)*AD79</f>
        <v>33159.452773727426</v>
      </c>
      <c r="K695" s="180">
        <f>(K644/K612)*AD75</f>
        <v>491536.71514264721</v>
      </c>
      <c r="L695" s="180">
        <f>(L647/L612)*AD80</f>
        <v>153442.41048529468</v>
      </c>
      <c r="M695" s="180">
        <f t="shared" si="20"/>
        <v>2567728</v>
      </c>
      <c r="N695" s="198" t="s">
        <v>706</v>
      </c>
    </row>
    <row r="696" spans="1:14" ht="12.6" customHeight="1" x14ac:dyDescent="0.25">
      <c r="A696" s="196">
        <v>7200</v>
      </c>
      <c r="B696" s="198" t="s">
        <v>707</v>
      </c>
      <c r="C696" s="180">
        <f>AE71</f>
        <v>1174819.3299999998</v>
      </c>
      <c r="D696" s="180">
        <f>(D615/D612)*AE76</f>
        <v>328781.26436427503</v>
      </c>
      <c r="E696" s="180">
        <f>(E623/E612)*SUM(C696:D696)</f>
        <v>450050.26133896183</v>
      </c>
      <c r="F696" s="180">
        <f>(F624/F612)*AE64</f>
        <v>61.254913980990253</v>
      </c>
      <c r="G696" s="180">
        <f>(G625/G612)*AE77</f>
        <v>0</v>
      </c>
      <c r="H696" s="180">
        <f>(H628/H612)*AE60</f>
        <v>13234.796605315505</v>
      </c>
      <c r="I696" s="180">
        <f>(I629/I612)*AE78</f>
        <v>117296.48673683616</v>
      </c>
      <c r="J696" s="180">
        <f>(J630/J612)*AE79</f>
        <v>0</v>
      </c>
      <c r="K696" s="180">
        <f>(K644/K612)*AE75</f>
        <v>86291.90713972575</v>
      </c>
      <c r="L696" s="180">
        <f>(L647/L612)*AE80</f>
        <v>0</v>
      </c>
      <c r="M696" s="180">
        <f t="shared" si="20"/>
        <v>995716</v>
      </c>
      <c r="N696" s="198" t="s">
        <v>708</v>
      </c>
    </row>
    <row r="697" spans="1:14" ht="12.6" customHeight="1" x14ac:dyDescent="0.25">
      <c r="A697" s="196">
        <v>7220</v>
      </c>
      <c r="B697" s="198" t="s">
        <v>709</v>
      </c>
      <c r="C697" s="180">
        <f>AF71</f>
        <v>3033997.1300000004</v>
      </c>
      <c r="D697" s="180">
        <f>(D615/D612)*AF76</f>
        <v>726958.23523182224</v>
      </c>
      <c r="E697" s="180">
        <f>(E623/E612)*SUM(C697:D697)</f>
        <v>1125710.4788006519</v>
      </c>
      <c r="F697" s="180">
        <f>(F624/F612)*AF64</f>
        <v>1467.9752020035862</v>
      </c>
      <c r="G697" s="180">
        <f>(G625/G612)*AF77</f>
        <v>0</v>
      </c>
      <c r="H697" s="180">
        <f>(H628/H612)*AF60</f>
        <v>22415.079031018526</v>
      </c>
      <c r="I697" s="180">
        <f>(I629/I612)*AF78</f>
        <v>259350.68764328459</v>
      </c>
      <c r="J697" s="180">
        <f>(J630/J612)*AF79</f>
        <v>7093.5099488295436</v>
      </c>
      <c r="K697" s="180">
        <f>(K644/K612)*AF75</f>
        <v>82940.095821097959</v>
      </c>
      <c r="L697" s="180">
        <f>(L647/L612)*AF80</f>
        <v>32824.58467505865</v>
      </c>
      <c r="M697" s="180">
        <f t="shared" si="20"/>
        <v>2258761</v>
      </c>
      <c r="N697" s="198" t="s">
        <v>710</v>
      </c>
    </row>
    <row r="698" spans="1:14" ht="12.6" customHeight="1" x14ac:dyDescent="0.25">
      <c r="A698" s="196">
        <v>7230</v>
      </c>
      <c r="B698" s="198" t="s">
        <v>711</v>
      </c>
      <c r="C698" s="180">
        <f>AG71</f>
        <v>10712792.900000002</v>
      </c>
      <c r="D698" s="180">
        <f>(D615/D612)*AG76</f>
        <v>785304.76945113833</v>
      </c>
      <c r="E698" s="180">
        <f>(E623/E612)*SUM(C698:D698)</f>
        <v>3441553.4819772243</v>
      </c>
      <c r="F698" s="180">
        <f>(F624/F612)*AG64</f>
        <v>5927.6427423282366</v>
      </c>
      <c r="G698" s="180">
        <f>(G625/G612)*AG77</f>
        <v>94244.913992744769</v>
      </c>
      <c r="H698" s="180">
        <f>(H628/H612)*AG60</f>
        <v>104012.70828082366</v>
      </c>
      <c r="I698" s="180">
        <f>(I629/I612)*AG78</f>
        <v>280166.48288158531</v>
      </c>
      <c r="J698" s="180">
        <f>(J630/J612)*AG79</f>
        <v>153351.82931483377</v>
      </c>
      <c r="K698" s="180">
        <f>(K644/K612)*AG75</f>
        <v>2228292.5038246703</v>
      </c>
      <c r="L698" s="180">
        <f>(L647/L612)*AG80</f>
        <v>709621.91393704666</v>
      </c>
      <c r="M698" s="180">
        <f t="shared" si="20"/>
        <v>7802476</v>
      </c>
      <c r="N698" s="198" t="s">
        <v>712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713</v>
      </c>
    </row>
    <row r="700" spans="1:14" ht="12.6" customHeight="1" x14ac:dyDescent="0.25">
      <c r="A700" s="196">
        <v>7250</v>
      </c>
      <c r="B700" s="198" t="s">
        <v>714</v>
      </c>
      <c r="C700" s="180">
        <f>AI71</f>
        <v>5048114.1799999988</v>
      </c>
      <c r="D700" s="180">
        <f>(D615/D612)*AI76</f>
        <v>869568.17013211886</v>
      </c>
      <c r="E700" s="180">
        <f>(E623/E612)*SUM(C700:D700)</f>
        <v>1771251.2871970171</v>
      </c>
      <c r="F700" s="180">
        <f>(F624/F612)*AI64</f>
        <v>8288.586050621856</v>
      </c>
      <c r="G700" s="180">
        <f>(G625/G612)*AI77</f>
        <v>57597.002043001208</v>
      </c>
      <c r="H700" s="180">
        <f>(H628/H612)*AI60</f>
        <v>39683.945107731277</v>
      </c>
      <c r="I700" s="180">
        <f>(I629/I612)*AI78</f>
        <v>310228.41746136884</v>
      </c>
      <c r="J700" s="180">
        <f>(J630/J612)*AI79</f>
        <v>59938.128877026349</v>
      </c>
      <c r="K700" s="180">
        <f>(K644/K612)*AI75</f>
        <v>506944.62562309753</v>
      </c>
      <c r="L700" s="180">
        <f>(L647/L612)*AI80</f>
        <v>277358.34597837774</v>
      </c>
      <c r="M700" s="180">
        <f t="shared" si="20"/>
        <v>3900859</v>
      </c>
      <c r="N700" s="198" t="s">
        <v>715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48814831.179999992</v>
      </c>
      <c r="D701" s="180">
        <f>(D615/D612)*AJ76</f>
        <v>3502609.0031402498</v>
      </c>
      <c r="E701" s="180">
        <f>(E623/E612)*SUM(C701:D701)</f>
        <v>15659396.328559475</v>
      </c>
      <c r="F701" s="180">
        <f>(F624/F612)*AJ64</f>
        <v>18343.905220006516</v>
      </c>
      <c r="G701" s="180">
        <f>(G625/G612)*AJ77</f>
        <v>0</v>
      </c>
      <c r="H701" s="180">
        <f>(H628/H612)*AJ60</f>
        <v>371943.71078349056</v>
      </c>
      <c r="I701" s="180">
        <f>(I629/I612)*AJ78</f>
        <v>1249595.9320418169</v>
      </c>
      <c r="J701" s="180">
        <f>(J630/J612)*AJ79</f>
        <v>38726.406776585725</v>
      </c>
      <c r="K701" s="180">
        <f>(K644/K612)*AJ75</f>
        <v>1492863.3067509662</v>
      </c>
      <c r="L701" s="180">
        <f>(L647/L612)*AJ80</f>
        <v>179202.99366162901</v>
      </c>
      <c r="M701" s="180">
        <f t="shared" si="20"/>
        <v>22512682</v>
      </c>
      <c r="N701" s="198" t="s">
        <v>716</v>
      </c>
    </row>
    <row r="702" spans="1:14" ht="12.6" customHeight="1" x14ac:dyDescent="0.25">
      <c r="A702" s="196">
        <v>7310</v>
      </c>
      <c r="B702" s="198" t="s">
        <v>717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718</v>
      </c>
    </row>
    <row r="703" spans="1:14" ht="12.6" customHeight="1" x14ac:dyDescent="0.25">
      <c r="A703" s="196">
        <v>7320</v>
      </c>
      <c r="B703" s="198" t="s">
        <v>719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720</v>
      </c>
    </row>
    <row r="704" spans="1:14" ht="12.6" customHeight="1" x14ac:dyDescent="0.25">
      <c r="A704" s="196">
        <v>7330</v>
      </c>
      <c r="B704" s="198" t="s">
        <v>721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722</v>
      </c>
    </row>
    <row r="705" spans="1:83" ht="12.6" customHeight="1" x14ac:dyDescent="0.25">
      <c r="A705" s="196">
        <v>7340</v>
      </c>
      <c r="B705" s="198" t="s">
        <v>723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724</v>
      </c>
    </row>
    <row r="706" spans="1:83" ht="12.6" customHeight="1" x14ac:dyDescent="0.25">
      <c r="A706" s="196">
        <v>7350</v>
      </c>
      <c r="B706" s="198" t="s">
        <v>725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726</v>
      </c>
    </row>
    <row r="707" spans="1:83" ht="12.6" customHeight="1" x14ac:dyDescent="0.25">
      <c r="A707" s="196">
        <v>7380</v>
      </c>
      <c r="B707" s="198" t="s">
        <v>727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728</v>
      </c>
    </row>
    <row r="708" spans="1:83" ht="12.6" customHeight="1" x14ac:dyDescent="0.25">
      <c r="A708" s="196">
        <v>7390</v>
      </c>
      <c r="B708" s="198" t="s">
        <v>729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730</v>
      </c>
    </row>
    <row r="709" spans="1:83" ht="12.6" customHeight="1" x14ac:dyDescent="0.25">
      <c r="A709" s="196">
        <v>7400</v>
      </c>
      <c r="B709" s="198" t="s">
        <v>731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732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733</v>
      </c>
    </row>
    <row r="711" spans="1:83" ht="12.6" customHeight="1" x14ac:dyDescent="0.25">
      <c r="A711" s="196">
        <v>7420</v>
      </c>
      <c r="B711" s="198" t="s">
        <v>734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735</v>
      </c>
    </row>
    <row r="712" spans="1:83" ht="12.6" customHeight="1" x14ac:dyDescent="0.25">
      <c r="A712" s="196">
        <v>7430</v>
      </c>
      <c r="B712" s="198" t="s">
        <v>736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737</v>
      </c>
    </row>
    <row r="713" spans="1:83" ht="12.6" customHeight="1" x14ac:dyDescent="0.25">
      <c r="A713" s="196">
        <v>7490</v>
      </c>
      <c r="B713" s="198" t="s">
        <v>738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739</v>
      </c>
    </row>
    <row r="715" spans="1:83" ht="12.6" customHeight="1" x14ac:dyDescent="0.25">
      <c r="C715" s="180">
        <f>SUM(C614:C647)+SUM(C668:C713)</f>
        <v>252361360.53999999</v>
      </c>
      <c r="D715" s="180">
        <f>SUM(D616:D647)+SUM(D668:D713)</f>
        <v>19440948.799999997</v>
      </c>
      <c r="E715" s="180">
        <f>SUM(E624:E647)+SUM(E668:E713)</f>
        <v>58134899.555530034</v>
      </c>
      <c r="F715" s="180">
        <f>SUM(F625:F648)+SUM(F668:F713)</f>
        <v>217259.90077430257</v>
      </c>
      <c r="G715" s="180">
        <f>SUM(G626:G647)+SUM(G668:G713)</f>
        <v>2727202.4518799586</v>
      </c>
      <c r="H715" s="180">
        <f>SUM(H629:H647)+SUM(H668:H713)</f>
        <v>1384576.9064348135</v>
      </c>
      <c r="I715" s="180">
        <f>SUM(I630:I647)+SUM(I668:I713)</f>
        <v>4928060.0015318431</v>
      </c>
      <c r="J715" s="180">
        <f>SUM(J631:J647)+SUM(J668:J713)</f>
        <v>823883.4669164787</v>
      </c>
      <c r="K715" s="180">
        <f>SUM(K668:K713)</f>
        <v>13926099.189377816</v>
      </c>
      <c r="L715" s="180">
        <f>SUM(L668:L713)</f>
        <v>3812447.2676101816</v>
      </c>
      <c r="M715" s="180">
        <f>SUM(M668:M713)</f>
        <v>91332835</v>
      </c>
      <c r="N715" s="198" t="s">
        <v>740</v>
      </c>
    </row>
    <row r="716" spans="1:83" ht="12.6" customHeight="1" x14ac:dyDescent="0.25">
      <c r="C716" s="180">
        <f>CE71</f>
        <v>252361360.53999999</v>
      </c>
      <c r="D716" s="180">
        <f>D615</f>
        <v>19440948.799999997</v>
      </c>
      <c r="E716" s="180">
        <f>E623</f>
        <v>58134899.555530027</v>
      </c>
      <c r="F716" s="180">
        <f>F624</f>
        <v>217259.9007743026</v>
      </c>
      <c r="G716" s="180">
        <f>G625</f>
        <v>2727202.4518799586</v>
      </c>
      <c r="H716" s="180">
        <f>H628</f>
        <v>1384576.9064348133</v>
      </c>
      <c r="I716" s="180">
        <f>I629</f>
        <v>4928060.0015318431</v>
      </c>
      <c r="J716" s="180">
        <f>J630</f>
        <v>823883.4669164787</v>
      </c>
      <c r="K716" s="180">
        <f>K644</f>
        <v>13926099.18937782</v>
      </c>
      <c r="L716" s="180">
        <f>L647</f>
        <v>3812447.2676101811</v>
      </c>
      <c r="M716" s="180">
        <f>C648</f>
        <v>91332834.529999971</v>
      </c>
      <c r="N716" s="198" t="s">
        <v>741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742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743</v>
      </c>
      <c r="B721" s="203" t="s">
        <v>744</v>
      </c>
      <c r="C721" s="203" t="s">
        <v>745</v>
      </c>
      <c r="D721" s="203" t="s">
        <v>746</v>
      </c>
      <c r="E721" s="203" t="s">
        <v>747</v>
      </c>
      <c r="F721" s="203" t="s">
        <v>748</v>
      </c>
      <c r="G721" s="203" t="s">
        <v>749</v>
      </c>
      <c r="H721" s="203" t="s">
        <v>750</v>
      </c>
      <c r="I721" s="203" t="s">
        <v>751</v>
      </c>
      <c r="J721" s="203" t="s">
        <v>752</v>
      </c>
      <c r="K721" s="203" t="s">
        <v>753</v>
      </c>
      <c r="L721" s="203" t="s">
        <v>754</v>
      </c>
      <c r="M721" s="203" t="s">
        <v>755</v>
      </c>
      <c r="N721" s="203" t="s">
        <v>756</v>
      </c>
      <c r="O721" s="203" t="s">
        <v>757</v>
      </c>
      <c r="P721" s="203" t="s">
        <v>758</v>
      </c>
      <c r="Q721" s="203" t="s">
        <v>759</v>
      </c>
      <c r="R721" s="203" t="s">
        <v>760</v>
      </c>
      <c r="S721" s="203" t="s">
        <v>761</v>
      </c>
      <c r="T721" s="203" t="s">
        <v>762</v>
      </c>
      <c r="U721" s="203" t="s">
        <v>763</v>
      </c>
      <c r="V721" s="203" t="s">
        <v>764</v>
      </c>
      <c r="W721" s="203" t="s">
        <v>765</v>
      </c>
      <c r="X721" s="203" t="s">
        <v>766</v>
      </c>
      <c r="Y721" s="203" t="s">
        <v>767</v>
      </c>
      <c r="Z721" s="203" t="s">
        <v>768</v>
      </c>
      <c r="AA721" s="203" t="s">
        <v>769</v>
      </c>
      <c r="AB721" s="203" t="s">
        <v>770</v>
      </c>
      <c r="AC721" s="203" t="s">
        <v>771</v>
      </c>
      <c r="AD721" s="203" t="s">
        <v>772</v>
      </c>
      <c r="AE721" s="203" t="s">
        <v>773</v>
      </c>
      <c r="AF721" s="203" t="s">
        <v>774</v>
      </c>
      <c r="AG721" s="203" t="s">
        <v>775</v>
      </c>
      <c r="AH721" s="203" t="s">
        <v>776</v>
      </c>
      <c r="AI721" s="203" t="s">
        <v>777</v>
      </c>
      <c r="AJ721" s="203" t="s">
        <v>778</v>
      </c>
      <c r="AK721" s="203" t="s">
        <v>779</v>
      </c>
      <c r="AL721" s="203" t="s">
        <v>780</v>
      </c>
      <c r="AM721" s="203" t="s">
        <v>781</v>
      </c>
      <c r="AN721" s="203" t="s">
        <v>782</v>
      </c>
      <c r="AO721" s="203" t="s">
        <v>783</v>
      </c>
      <c r="AP721" s="203" t="s">
        <v>784</v>
      </c>
      <c r="AQ721" s="203" t="s">
        <v>785</v>
      </c>
      <c r="AR721" s="203" t="s">
        <v>786</v>
      </c>
      <c r="AS721" s="203" t="s">
        <v>787</v>
      </c>
      <c r="AT721" s="203" t="s">
        <v>788</v>
      </c>
      <c r="AU721" s="203" t="s">
        <v>789</v>
      </c>
      <c r="AV721" s="203" t="s">
        <v>790</v>
      </c>
      <c r="AW721" s="203" t="s">
        <v>791</v>
      </c>
      <c r="AX721" s="203" t="s">
        <v>792</v>
      </c>
      <c r="AY721" s="203" t="s">
        <v>793</v>
      </c>
      <c r="AZ721" s="203" t="s">
        <v>794</v>
      </c>
      <c r="BA721" s="203" t="s">
        <v>795</v>
      </c>
      <c r="BB721" s="203" t="s">
        <v>796</v>
      </c>
      <c r="BC721" s="203" t="s">
        <v>797</v>
      </c>
      <c r="BD721" s="203" t="s">
        <v>798</v>
      </c>
      <c r="BE721" s="203" t="s">
        <v>799</v>
      </c>
      <c r="BF721" s="203" t="s">
        <v>800</v>
      </c>
      <c r="BG721" s="203" t="s">
        <v>801</v>
      </c>
      <c r="BH721" s="203" t="s">
        <v>802</v>
      </c>
      <c r="BI721" s="203" t="s">
        <v>803</v>
      </c>
      <c r="BJ721" s="203" t="s">
        <v>804</v>
      </c>
      <c r="BK721" s="203" t="s">
        <v>805</v>
      </c>
      <c r="BL721" s="203" t="s">
        <v>806</v>
      </c>
      <c r="BM721" s="203" t="s">
        <v>807</v>
      </c>
      <c r="BN721" s="203" t="s">
        <v>808</v>
      </c>
      <c r="BO721" s="203" t="s">
        <v>809</v>
      </c>
      <c r="BP721" s="203" t="s">
        <v>810</v>
      </c>
      <c r="BQ721" s="203" t="s">
        <v>811</v>
      </c>
      <c r="BR721" s="203" t="s">
        <v>812</v>
      </c>
      <c r="BS721" s="203" t="s">
        <v>813</v>
      </c>
      <c r="BT721" s="203" t="s">
        <v>814</v>
      </c>
      <c r="BU721" s="203" t="s">
        <v>815</v>
      </c>
      <c r="BV721" s="203" t="s">
        <v>816</v>
      </c>
      <c r="BW721" s="203" t="s">
        <v>817</v>
      </c>
      <c r="BX721" s="203" t="s">
        <v>818</v>
      </c>
      <c r="BY721" s="203" t="s">
        <v>819</v>
      </c>
      <c r="BZ721" s="203" t="s">
        <v>820</v>
      </c>
      <c r="CA721" s="203" t="s">
        <v>821</v>
      </c>
      <c r="CB721" s="203" t="s">
        <v>822</v>
      </c>
      <c r="CC721" s="203" t="s">
        <v>823</v>
      </c>
      <c r="CD721" s="203" t="s">
        <v>1254</v>
      </c>
    </row>
    <row r="722" spans="1:84" s="201" customFormat="1" ht="12.6" customHeight="1" x14ac:dyDescent="0.25">
      <c r="A722" s="202" t="str">
        <f>RIGHT(C83,3)&amp;"*"&amp;RIGHT(C82,4)&amp;"*"&amp;"A"</f>
        <v>026*2017*A</v>
      </c>
      <c r="B722" s="276">
        <f>ROUND(C165,0)</f>
        <v>7189119</v>
      </c>
      <c r="C722" s="276">
        <f>ROUND(C166,0)</f>
        <v>277537</v>
      </c>
      <c r="D722" s="276">
        <f>ROUND(C167,0)</f>
        <v>671804</v>
      </c>
      <c r="E722" s="276">
        <f>ROUND(C168,0)</f>
        <v>12513510</v>
      </c>
      <c r="F722" s="276">
        <f>ROUND(C169,0)</f>
        <v>52780</v>
      </c>
      <c r="G722" s="276">
        <f>ROUND(C170,0)</f>
        <v>6586697</v>
      </c>
      <c r="H722" s="276">
        <f>ROUND(C171+C172,0)</f>
        <v>765016</v>
      </c>
      <c r="I722" s="276">
        <f>ROUND(C175,0)</f>
        <v>207876</v>
      </c>
      <c r="J722" s="276">
        <f>ROUND(C176,0)</f>
        <v>677625</v>
      </c>
      <c r="K722" s="276">
        <f>ROUND(C179,0)</f>
        <v>1735880</v>
      </c>
      <c r="L722" s="276">
        <f>ROUND(C180,0)</f>
        <v>581256</v>
      </c>
      <c r="M722" s="276">
        <f>ROUND(C183,0)</f>
        <v>249382</v>
      </c>
      <c r="N722" s="276">
        <f>ROUND(C184,0)</f>
        <v>6664322</v>
      </c>
      <c r="O722" s="276">
        <f>ROUND(C185,0)</f>
        <v>0</v>
      </c>
      <c r="P722" s="276">
        <f>ROUND(C188,0)</f>
        <v>0</v>
      </c>
      <c r="Q722" s="276">
        <f>ROUND(C189,0)</f>
        <v>709595</v>
      </c>
      <c r="R722" s="276">
        <f>ROUND(B195,0)</f>
        <v>3531052</v>
      </c>
      <c r="S722" s="276">
        <f>ROUND(C195,0)</f>
        <v>0</v>
      </c>
      <c r="T722" s="276">
        <f>ROUND(D195,0)</f>
        <v>0</v>
      </c>
      <c r="U722" s="276">
        <f>ROUND(B196,0)</f>
        <v>2631833</v>
      </c>
      <c r="V722" s="276">
        <f>ROUND(C196,0)</f>
        <v>73272</v>
      </c>
      <c r="W722" s="276">
        <f>ROUND(D196,0)</f>
        <v>0</v>
      </c>
      <c r="X722" s="276">
        <f>ROUND(B197,0)</f>
        <v>164110917</v>
      </c>
      <c r="Y722" s="276">
        <f>ROUND(C197,0)</f>
        <v>1290170</v>
      </c>
      <c r="Z722" s="276">
        <f>ROUND(D197,0)</f>
        <v>0</v>
      </c>
      <c r="AA722" s="276">
        <f>ROUND(B198,0)</f>
        <v>15152016</v>
      </c>
      <c r="AB722" s="276">
        <f>ROUND(C198,0)</f>
        <v>2364404</v>
      </c>
      <c r="AC722" s="276">
        <f>ROUND(D198,0)</f>
        <v>54140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63774603</v>
      </c>
      <c r="AH722" s="276">
        <f>ROUND(C200,0)</f>
        <v>2608710</v>
      </c>
      <c r="AI722" s="276">
        <f>ROUND(D200,0)</f>
        <v>1695544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233639</v>
      </c>
      <c r="AN722" s="276">
        <f>ROUND(C202,0)</f>
        <v>0</v>
      </c>
      <c r="AO722" s="276">
        <f>ROUND(D202,0)</f>
        <v>0</v>
      </c>
      <c r="AP722" s="276">
        <f>ROUND(B203,0)</f>
        <v>2591553</v>
      </c>
      <c r="AQ722" s="276">
        <f>ROUND(C203,0)</f>
        <v>-2129454</v>
      </c>
      <c r="AR722" s="276">
        <f>ROUND(D203,0)</f>
        <v>0</v>
      </c>
      <c r="AS722" s="276"/>
      <c r="AT722" s="276"/>
      <c r="AU722" s="276"/>
      <c r="AV722" s="276">
        <f>ROUND(B209,0)</f>
        <v>1955846</v>
      </c>
      <c r="AW722" s="276">
        <f>ROUND(C209,0)</f>
        <v>68104</v>
      </c>
      <c r="AX722" s="276">
        <f>ROUND(D209,0)</f>
        <v>0</v>
      </c>
      <c r="AY722" s="276">
        <f>ROUND(B210,0)</f>
        <v>93723657</v>
      </c>
      <c r="AZ722" s="276">
        <f>ROUND(C210,0)</f>
        <v>5387640</v>
      </c>
      <c r="BA722" s="276">
        <f>ROUND(D210,0)</f>
        <v>0</v>
      </c>
      <c r="BB722" s="276">
        <f>ROUND(B211,0)</f>
        <v>8095704</v>
      </c>
      <c r="BC722" s="276">
        <f>ROUND(C211,0)</f>
        <v>751079</v>
      </c>
      <c r="BD722" s="276">
        <f>ROUND(D211,0)</f>
        <v>54140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48812077</v>
      </c>
      <c r="BI722" s="276">
        <f>ROUND(C213,0)</f>
        <v>4688134</v>
      </c>
      <c r="BJ722" s="276">
        <f>ROUND(D213,0)</f>
        <v>1695544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198838</v>
      </c>
      <c r="BO722" s="276">
        <f>ROUND(C215,0)</f>
        <v>6812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255085291</v>
      </c>
      <c r="BU722" s="276">
        <f>ROUND(C224,0)</f>
        <v>146040383</v>
      </c>
      <c r="BV722" s="276">
        <f>ROUND(C225,0)</f>
        <v>0</v>
      </c>
      <c r="BW722" s="276">
        <f>ROUND(C226,0)</f>
        <v>12415372</v>
      </c>
      <c r="BX722" s="276">
        <f>ROUND(C227,0)</f>
        <v>31834206</v>
      </c>
      <c r="BY722" s="276">
        <f>ROUND(C228,0)</f>
        <v>0</v>
      </c>
      <c r="BZ722" s="276">
        <f>ROUND(C231,0)</f>
        <v>5211</v>
      </c>
      <c r="CA722" s="276">
        <f>ROUND(C233,0)</f>
        <v>1365113</v>
      </c>
      <c r="CB722" s="276">
        <f>ROUND(C234,0)</f>
        <v>4466732</v>
      </c>
      <c r="CC722" s="276">
        <f>ROUND(C238+C239,0)</f>
        <v>7534388</v>
      </c>
      <c r="CD722" s="276">
        <f>D221</f>
        <v>7568222.7599999988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743</v>
      </c>
      <c r="B725" s="203" t="s">
        <v>824</v>
      </c>
      <c r="C725" s="203" t="s">
        <v>825</v>
      </c>
      <c r="D725" s="203" t="s">
        <v>826</v>
      </c>
      <c r="E725" s="203" t="s">
        <v>827</v>
      </c>
      <c r="F725" s="203" t="s">
        <v>828</v>
      </c>
      <c r="G725" s="203" t="s">
        <v>829</v>
      </c>
      <c r="H725" s="203" t="s">
        <v>830</v>
      </c>
      <c r="I725" s="203" t="s">
        <v>831</v>
      </c>
      <c r="J725" s="203" t="s">
        <v>832</v>
      </c>
      <c r="K725" s="203" t="s">
        <v>833</v>
      </c>
      <c r="L725" s="203" t="s">
        <v>834</v>
      </c>
      <c r="M725" s="203" t="s">
        <v>835</v>
      </c>
      <c r="N725" s="203" t="s">
        <v>836</v>
      </c>
      <c r="O725" s="203" t="s">
        <v>837</v>
      </c>
      <c r="P725" s="203" t="s">
        <v>838</v>
      </c>
      <c r="Q725" s="203" t="s">
        <v>839</v>
      </c>
      <c r="R725" s="203" t="s">
        <v>840</v>
      </c>
      <c r="S725" s="203" t="s">
        <v>841</v>
      </c>
      <c r="T725" s="203" t="s">
        <v>842</v>
      </c>
      <c r="U725" s="203" t="s">
        <v>843</v>
      </c>
      <c r="V725" s="203" t="s">
        <v>844</v>
      </c>
      <c r="W725" s="203" t="s">
        <v>845</v>
      </c>
      <c r="X725" s="203" t="s">
        <v>846</v>
      </c>
      <c r="Y725" s="203" t="s">
        <v>847</v>
      </c>
      <c r="Z725" s="203" t="s">
        <v>848</v>
      </c>
      <c r="AA725" s="203" t="s">
        <v>849</v>
      </c>
      <c r="AB725" s="203" t="s">
        <v>850</v>
      </c>
      <c r="AC725" s="203" t="s">
        <v>851</v>
      </c>
      <c r="AD725" s="203" t="s">
        <v>852</v>
      </c>
      <c r="AE725" s="203" t="s">
        <v>853</v>
      </c>
      <c r="AF725" s="203" t="s">
        <v>854</v>
      </c>
      <c r="AG725" s="203" t="s">
        <v>855</v>
      </c>
      <c r="AH725" s="203" t="s">
        <v>856</v>
      </c>
      <c r="AI725" s="203" t="s">
        <v>857</v>
      </c>
      <c r="AJ725" s="203" t="s">
        <v>858</v>
      </c>
      <c r="AK725" s="203" t="s">
        <v>859</v>
      </c>
      <c r="AL725" s="203" t="s">
        <v>860</v>
      </c>
      <c r="AM725" s="203" t="s">
        <v>861</v>
      </c>
      <c r="AN725" s="203" t="s">
        <v>862</v>
      </c>
      <c r="AO725" s="203" t="s">
        <v>863</v>
      </c>
      <c r="AP725" s="203" t="s">
        <v>864</v>
      </c>
      <c r="AQ725" s="203" t="s">
        <v>865</v>
      </c>
      <c r="AR725" s="203" t="s">
        <v>866</v>
      </c>
      <c r="AS725" s="203" t="s">
        <v>867</v>
      </c>
      <c r="AT725" s="203" t="s">
        <v>868</v>
      </c>
      <c r="AU725" s="203" t="s">
        <v>869</v>
      </c>
      <c r="AV725" s="203" t="s">
        <v>870</v>
      </c>
      <c r="AW725" s="203" t="s">
        <v>871</v>
      </c>
      <c r="AX725" s="203" t="s">
        <v>872</v>
      </c>
      <c r="AY725" s="203" t="s">
        <v>873</v>
      </c>
      <c r="AZ725" s="203" t="s">
        <v>874</v>
      </c>
      <c r="BA725" s="203" t="s">
        <v>875</v>
      </c>
      <c r="BB725" s="203" t="s">
        <v>876</v>
      </c>
      <c r="BC725" s="203" t="s">
        <v>877</v>
      </c>
      <c r="BD725" s="203" t="s">
        <v>878</v>
      </c>
      <c r="BE725" s="203" t="s">
        <v>879</v>
      </c>
      <c r="BF725" s="203" t="s">
        <v>880</v>
      </c>
      <c r="BG725" s="203" t="s">
        <v>881</v>
      </c>
      <c r="BH725" s="203" t="s">
        <v>882</v>
      </c>
      <c r="BI725" s="203" t="s">
        <v>883</v>
      </c>
      <c r="BJ725" s="203" t="s">
        <v>884</v>
      </c>
      <c r="BK725" s="203" t="s">
        <v>885</v>
      </c>
      <c r="BL725" s="203" t="s">
        <v>886</v>
      </c>
      <c r="BM725" s="203" t="s">
        <v>887</v>
      </c>
      <c r="BN725" s="203" t="s">
        <v>888</v>
      </c>
      <c r="BO725" s="203" t="s">
        <v>889</v>
      </c>
      <c r="BP725" s="203" t="s">
        <v>890</v>
      </c>
      <c r="BQ725" s="203" t="s">
        <v>891</v>
      </c>
      <c r="BR725" s="203" t="s">
        <v>892</v>
      </c>
    </row>
    <row r="726" spans="1:84" s="201" customFormat="1" ht="12.6" customHeight="1" x14ac:dyDescent="0.25">
      <c r="A726" s="202" t="str">
        <f>RIGHT(C83,3)&amp;"*"&amp;RIGHT(C82,4)&amp;"*"&amp;"A"</f>
        <v>026*2017*A</v>
      </c>
      <c r="B726" s="276">
        <f>ROUND(C111,0)</f>
        <v>7222</v>
      </c>
      <c r="C726" s="276">
        <f>ROUND(C112,0)</f>
        <v>0</v>
      </c>
      <c r="D726" s="276">
        <f>ROUND(C113,0)</f>
        <v>0</v>
      </c>
      <c r="E726" s="276">
        <f>ROUND(C114,0)</f>
        <v>822</v>
      </c>
      <c r="F726" s="276">
        <f>ROUND(D111,0)</f>
        <v>30136</v>
      </c>
      <c r="G726" s="276">
        <f>ROUND(D112,0)</f>
        <v>0</v>
      </c>
      <c r="H726" s="276">
        <f>ROUND(D113,0)</f>
        <v>0</v>
      </c>
      <c r="I726" s="276">
        <f>ROUND(D114,0)</f>
        <v>1741</v>
      </c>
      <c r="J726" s="276">
        <f>ROUND(C116,0)</f>
        <v>12</v>
      </c>
      <c r="K726" s="276">
        <f>ROUND(C117,0)</f>
        <v>6</v>
      </c>
      <c r="L726" s="276">
        <f>ROUND(C118,0)</f>
        <v>126</v>
      </c>
      <c r="M726" s="276">
        <f>ROUND(C119,0)</f>
        <v>0</v>
      </c>
      <c r="N726" s="276">
        <f>ROUND(C120,0)</f>
        <v>14</v>
      </c>
      <c r="O726" s="276">
        <f>ROUND(C121,0)</f>
        <v>0</v>
      </c>
      <c r="P726" s="276">
        <f>ROUND(C122,0)</f>
        <v>22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346</v>
      </c>
      <c r="W726" s="276">
        <f>ROUND(C129,0)</f>
        <v>14</v>
      </c>
      <c r="X726" s="276">
        <f>ROUND(B138,0)</f>
        <v>4084</v>
      </c>
      <c r="Y726" s="276">
        <f>ROUND(B139,0)</f>
        <v>18389</v>
      </c>
      <c r="Z726" s="276">
        <f>ROUND(B140,0)</f>
        <v>57677</v>
      </c>
      <c r="AA726" s="276">
        <f>ROUND(B141,0)</f>
        <v>161793753</v>
      </c>
      <c r="AB726" s="276">
        <f>ROUND(B142,0)</f>
        <v>192976121</v>
      </c>
      <c r="AC726" s="276">
        <f>ROUND(C138,0)</f>
        <v>1869</v>
      </c>
      <c r="AD726" s="276">
        <f>ROUND(C139,0)</f>
        <v>7748</v>
      </c>
      <c r="AE726" s="276">
        <f>ROUND(C140,0)</f>
        <v>68524</v>
      </c>
      <c r="AF726" s="276">
        <f>ROUND(C141,0)</f>
        <v>73005794</v>
      </c>
      <c r="AG726" s="276">
        <f>ROUND(C142,0)</f>
        <v>119007176</v>
      </c>
      <c r="AH726" s="276">
        <f>ROUND(D138,0)</f>
        <v>1269</v>
      </c>
      <c r="AI726" s="276">
        <f>ROUND(D139,0)</f>
        <v>3999</v>
      </c>
      <c r="AJ726" s="276">
        <f>ROUND(D140,0)</f>
        <v>53775</v>
      </c>
      <c r="AK726" s="276">
        <f>ROUND(D141,0)</f>
        <v>49892512</v>
      </c>
      <c r="AL726" s="276">
        <f>ROUND(D142,0)</f>
        <v>120981584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36552740</v>
      </c>
      <c r="BR726" s="276">
        <f>ROUND(C157,0)</f>
        <v>59312975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893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743</v>
      </c>
      <c r="B729" s="203" t="s">
        <v>894</v>
      </c>
      <c r="C729" s="203" t="s">
        <v>895</v>
      </c>
      <c r="D729" s="203" t="s">
        <v>896</v>
      </c>
      <c r="E729" s="203" t="s">
        <v>897</v>
      </c>
      <c r="F729" s="203" t="s">
        <v>898</v>
      </c>
      <c r="G729" s="203" t="s">
        <v>899</v>
      </c>
      <c r="H729" s="203" t="s">
        <v>900</v>
      </c>
      <c r="I729" s="203" t="s">
        <v>901</v>
      </c>
      <c r="J729" s="203" t="s">
        <v>902</v>
      </c>
      <c r="K729" s="203" t="s">
        <v>903</v>
      </c>
      <c r="L729" s="203" t="s">
        <v>904</v>
      </c>
      <c r="M729" s="203" t="s">
        <v>905</v>
      </c>
      <c r="N729" s="203" t="s">
        <v>906</v>
      </c>
      <c r="O729" s="203" t="s">
        <v>907</v>
      </c>
      <c r="P729" s="203" t="s">
        <v>908</v>
      </c>
      <c r="Q729" s="203" t="s">
        <v>909</v>
      </c>
      <c r="R729" s="203" t="s">
        <v>910</v>
      </c>
      <c r="S729" s="203" t="s">
        <v>911</v>
      </c>
      <c r="T729" s="203" t="s">
        <v>912</v>
      </c>
      <c r="U729" s="203" t="s">
        <v>913</v>
      </c>
      <c r="V729" s="203" t="s">
        <v>914</v>
      </c>
      <c r="W729" s="203" t="s">
        <v>915</v>
      </c>
      <c r="X729" s="203" t="s">
        <v>916</v>
      </c>
      <c r="Y729" s="203" t="s">
        <v>917</v>
      </c>
      <c r="Z729" s="203" t="s">
        <v>918</v>
      </c>
      <c r="AA729" s="203" t="s">
        <v>919</v>
      </c>
      <c r="AB729" s="203" t="s">
        <v>920</v>
      </c>
      <c r="AC729" s="203" t="s">
        <v>921</v>
      </c>
      <c r="AD729" s="203" t="s">
        <v>922</v>
      </c>
      <c r="AE729" s="203" t="s">
        <v>923</v>
      </c>
      <c r="AF729" s="203" t="s">
        <v>924</v>
      </c>
      <c r="AG729" s="203" t="s">
        <v>925</v>
      </c>
      <c r="AH729" s="203" t="s">
        <v>926</v>
      </c>
      <c r="AI729" s="203" t="s">
        <v>927</v>
      </c>
      <c r="AJ729" s="203" t="s">
        <v>928</v>
      </c>
      <c r="AK729" s="203" t="s">
        <v>929</v>
      </c>
      <c r="AL729" s="203" t="s">
        <v>930</v>
      </c>
      <c r="AM729" s="203" t="s">
        <v>931</v>
      </c>
      <c r="AN729" s="203" t="s">
        <v>932</v>
      </c>
      <c r="AO729" s="203" t="s">
        <v>933</v>
      </c>
      <c r="AP729" s="203" t="s">
        <v>934</v>
      </c>
      <c r="AQ729" s="203" t="s">
        <v>935</v>
      </c>
      <c r="AR729" s="203" t="s">
        <v>936</v>
      </c>
      <c r="AS729" s="203" t="s">
        <v>937</v>
      </c>
      <c r="AT729" s="203" t="s">
        <v>938</v>
      </c>
      <c r="AU729" s="203" t="s">
        <v>939</v>
      </c>
      <c r="AV729" s="203" t="s">
        <v>940</v>
      </c>
      <c r="AW729" s="203" t="s">
        <v>941</v>
      </c>
      <c r="AX729" s="203" t="s">
        <v>942</v>
      </c>
      <c r="AY729" s="203" t="s">
        <v>943</v>
      </c>
      <c r="AZ729" s="203" t="s">
        <v>944</v>
      </c>
      <c r="BA729" s="203" t="s">
        <v>945</v>
      </c>
      <c r="BB729" s="203" t="s">
        <v>946</v>
      </c>
      <c r="BC729" s="203" t="s">
        <v>947</v>
      </c>
      <c r="BD729" s="203" t="s">
        <v>948</v>
      </c>
      <c r="BE729" s="203" t="s">
        <v>949</v>
      </c>
      <c r="BF729" s="203" t="s">
        <v>950</v>
      </c>
      <c r="BG729" s="203" t="s">
        <v>951</v>
      </c>
      <c r="BH729" s="203" t="s">
        <v>952</v>
      </c>
      <c r="BI729" s="203" t="s">
        <v>953</v>
      </c>
      <c r="BJ729" s="203" t="s">
        <v>954</v>
      </c>
      <c r="BK729" s="203" t="s">
        <v>955</v>
      </c>
      <c r="BL729" s="203" t="s">
        <v>956</v>
      </c>
      <c r="BM729" s="203" t="s">
        <v>957</v>
      </c>
      <c r="BN729" s="203" t="s">
        <v>958</v>
      </c>
      <c r="BO729" s="203" t="s">
        <v>959</v>
      </c>
      <c r="BP729" s="203" t="s">
        <v>960</v>
      </c>
      <c r="BQ729" s="203" t="s">
        <v>961</v>
      </c>
      <c r="BR729" s="203" t="s">
        <v>962</v>
      </c>
      <c r="BS729" s="203" t="s">
        <v>963</v>
      </c>
      <c r="BT729" s="203" t="s">
        <v>964</v>
      </c>
      <c r="BU729" s="203" t="s">
        <v>965</v>
      </c>
      <c r="BV729" s="203" t="s">
        <v>966</v>
      </c>
      <c r="BW729" s="203" t="s">
        <v>967</v>
      </c>
      <c r="BX729" s="203" t="s">
        <v>968</v>
      </c>
      <c r="BY729" s="203" t="s">
        <v>969</v>
      </c>
      <c r="BZ729" s="203" t="s">
        <v>970</v>
      </c>
      <c r="CA729" s="203" t="s">
        <v>971</v>
      </c>
      <c r="CB729" s="203" t="s">
        <v>972</v>
      </c>
      <c r="CC729" s="203" t="s">
        <v>973</v>
      </c>
      <c r="CD729" s="203" t="s">
        <v>974</v>
      </c>
      <c r="CE729" s="203" t="s">
        <v>975</v>
      </c>
      <c r="CF729" s="203" t="s">
        <v>976</v>
      </c>
    </row>
    <row r="730" spans="1:84" s="201" customFormat="1" ht="12.6" customHeight="1" x14ac:dyDescent="0.25">
      <c r="A730" s="202" t="str">
        <f>RIGHT(C83,3)&amp;"*"&amp;RIGHT(C82,4)&amp;"*"&amp;"A"</f>
        <v>026*2017*A</v>
      </c>
      <c r="B730" s="276">
        <f>ROUND(C250,0)</f>
        <v>49157257</v>
      </c>
      <c r="C730" s="276">
        <f>ROUND(C251,0)</f>
        <v>0</v>
      </c>
      <c r="D730" s="276">
        <f>ROUND(C252,0)</f>
        <v>93993298</v>
      </c>
      <c r="E730" s="276">
        <f>ROUND(C253,0)</f>
        <v>63424222</v>
      </c>
      <c r="F730" s="276">
        <f>ROUND(C254,0)</f>
        <v>0</v>
      </c>
      <c r="G730" s="276">
        <f>ROUND(C255,0)</f>
        <v>13461415</v>
      </c>
      <c r="H730" s="276">
        <f>ROUND(C256,0)</f>
        <v>0</v>
      </c>
      <c r="I730" s="276">
        <f>ROUND(C257,0)</f>
        <v>3614872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79086759</v>
      </c>
      <c r="O730" s="276">
        <f>ROUND(C267,0)</f>
        <v>3531052</v>
      </c>
      <c r="P730" s="276">
        <f>ROUND(C268,0)</f>
        <v>2705105</v>
      </c>
      <c r="Q730" s="276">
        <f>ROUND(C269,0)</f>
        <v>165401087</v>
      </c>
      <c r="R730" s="276">
        <f>ROUND(C270,0)</f>
        <v>17462280</v>
      </c>
      <c r="S730" s="276">
        <f>ROUND(C271,0)</f>
        <v>0</v>
      </c>
      <c r="T730" s="276">
        <f>ROUND(C272,0)</f>
        <v>64687769</v>
      </c>
      <c r="U730" s="276">
        <f>ROUND(C273,0)</f>
        <v>233639</v>
      </c>
      <c r="V730" s="276">
        <f>ROUND(C274,0)</f>
        <v>462100</v>
      </c>
      <c r="W730" s="276">
        <f>ROUND(C275,0)</f>
        <v>0</v>
      </c>
      <c r="X730" s="276">
        <f>ROUND(C276,0)</f>
        <v>161938207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5910679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1952470</v>
      </c>
      <c r="AI730" s="276">
        <f>ROUND(C306,0)</f>
        <v>12033029</v>
      </c>
      <c r="AJ730" s="276">
        <f>ROUND(C307,0)</f>
        <v>4477259</v>
      </c>
      <c r="AK730" s="276">
        <f>ROUND(C308,0)</f>
        <v>0</v>
      </c>
      <c r="AL730" s="276">
        <f>ROUND(C309,0)</f>
        <v>-85724</v>
      </c>
      <c r="AM730" s="276">
        <f>ROUND(C310,0)</f>
        <v>0</v>
      </c>
      <c r="AN730" s="276">
        <f>ROUND(C311,0)</f>
        <v>0</v>
      </c>
      <c r="AO730" s="276">
        <f>ROUND(C312,0)</f>
        <v>89083</v>
      </c>
      <c r="AP730" s="276">
        <f>ROUND(C313,0)</f>
        <v>5819146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1597741</v>
      </c>
      <c r="AX730" s="276">
        <f>ROUND(C325,0)</f>
        <v>0</v>
      </c>
      <c r="AY730" s="276">
        <f>ROUND(C326,0)</f>
        <v>6792003</v>
      </c>
      <c r="AZ730" s="276">
        <f>ROUND(C327,0)</f>
        <v>10838265</v>
      </c>
      <c r="BA730" s="276">
        <f>ROUND(C328,0)</f>
        <v>0</v>
      </c>
      <c r="BB730" s="276">
        <f>ROUND(C332,0)</f>
        <v>236650757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1234.8900000000001</v>
      </c>
      <c r="BJ730" s="276">
        <f>ROUND(C359,0)</f>
        <v>284692059</v>
      </c>
      <c r="BK730" s="276">
        <f>ROUND(C360,0)</f>
        <v>432964881</v>
      </c>
      <c r="BL730" s="276">
        <f>ROUND(C364,0)</f>
        <v>445375253</v>
      </c>
      <c r="BM730" s="276">
        <f>ROUND(C365,0)</f>
        <v>5831845</v>
      </c>
      <c r="BN730" s="276">
        <f>ROUND(C366,0)</f>
        <v>7534388</v>
      </c>
      <c r="BO730" s="276">
        <f>ROUND(C370,0)</f>
        <v>4417756</v>
      </c>
      <c r="BP730" s="276">
        <f>ROUND(C371,0)</f>
        <v>0</v>
      </c>
      <c r="BQ730" s="276">
        <f>ROUND(C378,0)</f>
        <v>111229920</v>
      </c>
      <c r="BR730" s="276">
        <f>ROUND(C379,0)</f>
        <v>28056463</v>
      </c>
      <c r="BS730" s="276">
        <f>ROUND(C380,0)</f>
        <v>4369980</v>
      </c>
      <c r="BT730" s="276">
        <f>ROUND(C381,0)</f>
        <v>31159704</v>
      </c>
      <c r="BU730" s="276">
        <f>ROUND(C382,0)</f>
        <v>2609703</v>
      </c>
      <c r="BV730" s="276">
        <f>ROUND(C383,0)</f>
        <v>48304449</v>
      </c>
      <c r="BW730" s="276">
        <f>ROUND(C384,0)</f>
        <v>18647842</v>
      </c>
      <c r="BX730" s="276">
        <f>ROUND(C385,0)</f>
        <v>885501</v>
      </c>
      <c r="BY730" s="276">
        <f>ROUND(C386,0)</f>
        <v>2317136</v>
      </c>
      <c r="BZ730" s="276">
        <f>ROUND(C387,0)</f>
        <v>6913705</v>
      </c>
      <c r="CA730" s="276">
        <f>ROUND(C388,0)</f>
        <v>709595</v>
      </c>
      <c r="CB730" s="276">
        <f>C363</f>
        <v>7568222.7599999988</v>
      </c>
      <c r="CC730" s="276">
        <f>ROUND(C389,0)</f>
        <v>1575112</v>
      </c>
      <c r="CD730" s="276">
        <f>ROUND(C392,0)</f>
        <v>12863712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977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743</v>
      </c>
      <c r="B733" s="203" t="s">
        <v>978</v>
      </c>
      <c r="C733" s="203" t="s">
        <v>979</v>
      </c>
      <c r="D733" s="203" t="s">
        <v>980</v>
      </c>
      <c r="E733" s="203" t="s">
        <v>981</v>
      </c>
      <c r="F733" s="203" t="s">
        <v>982</v>
      </c>
      <c r="G733" s="203" t="s">
        <v>983</v>
      </c>
      <c r="H733" s="203" t="s">
        <v>984</v>
      </c>
      <c r="I733" s="203" t="s">
        <v>985</v>
      </c>
      <c r="J733" s="203" t="s">
        <v>986</v>
      </c>
      <c r="K733" s="203" t="s">
        <v>987</v>
      </c>
      <c r="L733" s="203" t="s">
        <v>988</v>
      </c>
      <c r="M733" s="203" t="s">
        <v>989</v>
      </c>
      <c r="N733" s="203" t="s">
        <v>990</v>
      </c>
      <c r="O733" s="203" t="s">
        <v>991</v>
      </c>
      <c r="P733" s="203" t="s">
        <v>992</v>
      </c>
      <c r="Q733" s="203" t="s">
        <v>993</v>
      </c>
      <c r="R733" s="203" t="s">
        <v>994</v>
      </c>
      <c r="S733" s="203" t="s">
        <v>995</v>
      </c>
      <c r="T733" s="203" t="s">
        <v>996</v>
      </c>
      <c r="U733" s="203" t="s">
        <v>997</v>
      </c>
      <c r="V733" s="203" t="s">
        <v>998</v>
      </c>
      <c r="W733" s="203" t="s">
        <v>999</v>
      </c>
      <c r="X733" s="203" t="s">
        <v>1000</v>
      </c>
      <c r="Y733" s="203" t="s">
        <v>1001</v>
      </c>
    </row>
    <row r="734" spans="1:84" s="201" customFormat="1" ht="12.6" customHeight="1" x14ac:dyDescent="0.25">
      <c r="A734" s="202" t="str">
        <f>RIGHT($C$83,3)&amp;"*"&amp;RIGHT($C$82,4)&amp;"*"&amp;C$55&amp;"*"&amp;"A"</f>
        <v>026*2017*6010*A</v>
      </c>
      <c r="B734" s="276">
        <f>ROUND(C59,0)</f>
        <v>9439</v>
      </c>
      <c r="C734" s="276">
        <f>ROUND(C60,2)</f>
        <v>79.87</v>
      </c>
      <c r="D734" s="276">
        <f>ROUND(C61,0)</f>
        <v>6746689</v>
      </c>
      <c r="E734" s="276">
        <f>ROUND(C62,0)</f>
        <v>1908495</v>
      </c>
      <c r="F734" s="276">
        <f>ROUND(C63,0)</f>
        <v>0</v>
      </c>
      <c r="G734" s="276">
        <f>ROUND(C64,0)</f>
        <v>625399</v>
      </c>
      <c r="H734" s="276">
        <f>ROUND(C65,0)</f>
        <v>0</v>
      </c>
      <c r="I734" s="276">
        <f>ROUND(C66,0)</f>
        <v>2434</v>
      </c>
      <c r="J734" s="276">
        <f>ROUND(C67,0)</f>
        <v>469379</v>
      </c>
      <c r="K734" s="276">
        <f>ROUND(C68,0)</f>
        <v>172209</v>
      </c>
      <c r="L734" s="276">
        <f>ROUND(C69,0)</f>
        <v>11966</v>
      </c>
      <c r="M734" s="276">
        <f>ROUND(C70,0)</f>
        <v>250</v>
      </c>
      <c r="N734" s="276">
        <f>ROUND(C75,0)</f>
        <v>42489419</v>
      </c>
      <c r="O734" s="276">
        <f>ROUND(C73,0)</f>
        <v>39911105</v>
      </c>
      <c r="P734" s="276">
        <f>IF(C76&gt;0,ROUND(C76,0),0)</f>
        <v>23023</v>
      </c>
      <c r="Q734" s="276">
        <f>IF(C77&gt;0,ROUND(C77,0),0)</f>
        <v>27004</v>
      </c>
      <c r="R734" s="276">
        <f>IF(C78&gt;0,ROUND(C78,0),0)</f>
        <v>23023</v>
      </c>
      <c r="S734" s="276">
        <f>IF(C79&gt;0,ROUND(C79,0),0)</f>
        <v>184911</v>
      </c>
      <c r="T734" s="276">
        <f>IF(C80&gt;0,ROUND(C80,2),0)</f>
        <v>42.69</v>
      </c>
      <c r="U734" s="276"/>
      <c r="V734" s="276"/>
      <c r="W734" s="276"/>
      <c r="X734" s="276"/>
      <c r="Y734" s="276">
        <f>IF(M668&lt;&gt;0,ROUND(M668,0),0)</f>
        <v>6913156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026*2017*6030*A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026*2017*6070*A</v>
      </c>
      <c r="B736" s="276">
        <f>ROUND(E59,0)</f>
        <v>15589</v>
      </c>
      <c r="C736" s="278">
        <f>ROUND(E60,2)</f>
        <v>129.06</v>
      </c>
      <c r="D736" s="276">
        <f>ROUND(E61,0)</f>
        <v>10681706</v>
      </c>
      <c r="E736" s="276">
        <f>ROUND(E62,0)</f>
        <v>2937993</v>
      </c>
      <c r="F736" s="276">
        <f>ROUND(E63,0)</f>
        <v>41507</v>
      </c>
      <c r="G736" s="276">
        <f>ROUND(E64,0)</f>
        <v>821026</v>
      </c>
      <c r="H736" s="276">
        <f>ROUND(E65,0)</f>
        <v>0</v>
      </c>
      <c r="I736" s="276">
        <f>ROUND(E66,0)</f>
        <v>7619</v>
      </c>
      <c r="J736" s="276">
        <f>ROUND(E67,0)</f>
        <v>789975</v>
      </c>
      <c r="K736" s="276">
        <f>ROUND(E68,0)</f>
        <v>233616</v>
      </c>
      <c r="L736" s="276">
        <f>ROUND(E69,0)</f>
        <v>25602</v>
      </c>
      <c r="M736" s="276">
        <f>ROUND(E70,0)</f>
        <v>8615</v>
      </c>
      <c r="N736" s="276">
        <f>ROUND(E75,0)</f>
        <v>74619735</v>
      </c>
      <c r="O736" s="276">
        <f>ROUND(E73,0)</f>
        <v>70902339</v>
      </c>
      <c r="P736" s="276">
        <f>IF(E76&gt;0,ROUND(E76,0),0)</f>
        <v>43783</v>
      </c>
      <c r="Q736" s="276">
        <f>IF(E77&gt;0,ROUND(E77,0),0)</f>
        <v>49888</v>
      </c>
      <c r="R736" s="276">
        <f>IF(E78&gt;0,ROUND(E78,0),0)</f>
        <v>43783</v>
      </c>
      <c r="S736" s="276">
        <f>IF(E79&gt;0,ROUND(E79,0),0)</f>
        <v>268353</v>
      </c>
      <c r="T736" s="278">
        <f>IF(E80&gt;0,ROUND(E80,2),0)</f>
        <v>61.96</v>
      </c>
      <c r="U736" s="276"/>
      <c r="V736" s="277"/>
      <c r="W736" s="276"/>
      <c r="X736" s="276"/>
      <c r="Y736" s="276">
        <f t="shared" si="21"/>
        <v>11554698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026*2017*6100*A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026*2017*6120*A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026*2017*6140*A</v>
      </c>
      <c r="B739" s="276">
        <f>ROUND(H59,0)</f>
        <v>5108</v>
      </c>
      <c r="C739" s="278">
        <f>ROUND(H60,2)</f>
        <v>44.07</v>
      </c>
      <c r="D739" s="276">
        <f>ROUND(H61,0)</f>
        <v>3470229</v>
      </c>
      <c r="E739" s="276">
        <f>ROUND(H62,0)</f>
        <v>879344</v>
      </c>
      <c r="F739" s="276">
        <f>ROUND(H63,0)</f>
        <v>0</v>
      </c>
      <c r="G739" s="276">
        <f>ROUND(H64,0)</f>
        <v>50137</v>
      </c>
      <c r="H739" s="276">
        <f>ROUND(H65,0)</f>
        <v>0</v>
      </c>
      <c r="I739" s="276">
        <f>ROUND(H66,0)</f>
        <v>0</v>
      </c>
      <c r="J739" s="276">
        <f>ROUND(H67,0)</f>
        <v>108854</v>
      </c>
      <c r="K739" s="276">
        <f>ROUND(H68,0)</f>
        <v>621</v>
      </c>
      <c r="L739" s="276">
        <f>ROUND(H69,0)</f>
        <v>33498</v>
      </c>
      <c r="M739" s="276">
        <f>ROUND(H70,0)</f>
        <v>0</v>
      </c>
      <c r="N739" s="276">
        <f>ROUND(H75,0)</f>
        <v>14546177</v>
      </c>
      <c r="O739" s="276">
        <f>ROUND(H73,0)</f>
        <v>14546177</v>
      </c>
      <c r="P739" s="276">
        <f>IF(H76&gt;0,ROUND(H76,0),0)</f>
        <v>10127</v>
      </c>
      <c r="Q739" s="276">
        <f>IF(H77&gt;0,ROUND(H77,0),0)</f>
        <v>22193</v>
      </c>
      <c r="R739" s="276">
        <f>IF(H78&gt;0,ROUND(H78,0),0)</f>
        <v>10127</v>
      </c>
      <c r="S739" s="276">
        <f>IF(H79&gt;0,ROUND(H79,0),0)</f>
        <v>57938</v>
      </c>
      <c r="T739" s="278">
        <f>IF(H80&gt;0,ROUND(H80,2),0)</f>
        <v>13.38</v>
      </c>
      <c r="U739" s="276"/>
      <c r="V739" s="277"/>
      <c r="W739" s="276"/>
      <c r="X739" s="276"/>
      <c r="Y739" s="276">
        <f t="shared" si="21"/>
        <v>3178344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026*2017*6150*A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026*2017*6170*A</v>
      </c>
      <c r="B741" s="276">
        <f>ROUND(J59,0)</f>
        <v>1741</v>
      </c>
      <c r="C741" s="278">
        <f>ROUND(J60,2)</f>
        <v>2.7</v>
      </c>
      <c r="D741" s="276">
        <f>ROUND(J61,0)</f>
        <v>284596</v>
      </c>
      <c r="E741" s="276">
        <f>ROUND(J62,0)</f>
        <v>66363</v>
      </c>
      <c r="F741" s="276">
        <f>ROUND(J63,0)</f>
        <v>3249</v>
      </c>
      <c r="G741" s="276">
        <f>ROUND(J64,0)</f>
        <v>24895</v>
      </c>
      <c r="H741" s="276">
        <f>ROUND(J65,0)</f>
        <v>0</v>
      </c>
      <c r="I741" s="276">
        <f>ROUND(J66,0)</f>
        <v>201</v>
      </c>
      <c r="J741" s="276">
        <f>ROUND(J67,0)</f>
        <v>14277</v>
      </c>
      <c r="K741" s="276">
        <f>ROUND(J68,0)</f>
        <v>1625</v>
      </c>
      <c r="L741" s="276">
        <f>ROUND(J69,0)</f>
        <v>445</v>
      </c>
      <c r="M741" s="276">
        <f>ROUND(J70,0)</f>
        <v>674</v>
      </c>
      <c r="N741" s="276">
        <f>ROUND(J75,0)</f>
        <v>2361665</v>
      </c>
      <c r="O741" s="276">
        <f>ROUND(J73,0)</f>
        <v>2312969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7186</v>
      </c>
      <c r="T741" s="278">
        <f>IF(J80&gt;0,ROUND(J80,2),0)</f>
        <v>1.66</v>
      </c>
      <c r="U741" s="276"/>
      <c r="V741" s="277"/>
      <c r="W741" s="276"/>
      <c r="X741" s="276"/>
      <c r="Y741" s="276">
        <f t="shared" si="21"/>
        <v>201718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026*2017*6200*A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026*2017*6210*A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026*2017*6330*A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026*2017*6400*A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026*2017*7010*A</v>
      </c>
      <c r="B746" s="276">
        <f>ROUND(O59,0)</f>
        <v>822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026*2017*7020*A</v>
      </c>
      <c r="B747" s="276">
        <f>ROUND(P59,0)</f>
        <v>312352</v>
      </c>
      <c r="C747" s="278">
        <f>ROUND(P60,2)</f>
        <v>39.729999999999997</v>
      </c>
      <c r="D747" s="276">
        <f>ROUND(P61,0)</f>
        <v>3302897</v>
      </c>
      <c r="E747" s="276">
        <f>ROUND(P62,0)</f>
        <v>1005965</v>
      </c>
      <c r="F747" s="276">
        <f>ROUND(P63,0)</f>
        <v>498441</v>
      </c>
      <c r="G747" s="276">
        <f>ROUND(P64,0)</f>
        <v>5415756</v>
      </c>
      <c r="H747" s="276">
        <f>ROUND(P65,0)</f>
        <v>300</v>
      </c>
      <c r="I747" s="276">
        <f>ROUND(P66,0)</f>
        <v>211247</v>
      </c>
      <c r="J747" s="276">
        <f>ROUND(P67,0)</f>
        <v>924737</v>
      </c>
      <c r="K747" s="276">
        <f>ROUND(P68,0)</f>
        <v>26808</v>
      </c>
      <c r="L747" s="276">
        <f>ROUND(P69,0)</f>
        <v>33787</v>
      </c>
      <c r="M747" s="276">
        <f>ROUND(P70,0)</f>
        <v>4029</v>
      </c>
      <c r="N747" s="276">
        <f>ROUND(P75,0)</f>
        <v>64862949</v>
      </c>
      <c r="O747" s="276">
        <f>ROUND(P73,0)</f>
        <v>37009841</v>
      </c>
      <c r="P747" s="276">
        <f>IF(P76&gt;0,ROUND(P76,0),0)</f>
        <v>24565</v>
      </c>
      <c r="Q747" s="276">
        <f>IF(P77&gt;0,ROUND(P77,0),0)</f>
        <v>0</v>
      </c>
      <c r="R747" s="276">
        <f>IF(P78&gt;0,ROUND(P78,0),0)</f>
        <v>24565</v>
      </c>
      <c r="S747" s="276">
        <f>IF(P79&gt;0,ROUND(P79,0),0)</f>
        <v>68371</v>
      </c>
      <c r="T747" s="278">
        <f>IF(P80&gt;0,ROUND(P80,2),0)</f>
        <v>15.79</v>
      </c>
      <c r="U747" s="276"/>
      <c r="V747" s="277"/>
      <c r="W747" s="276"/>
      <c r="X747" s="276"/>
      <c r="Y747" s="276">
        <f t="shared" si="21"/>
        <v>6615235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026*2017*7030*A</v>
      </c>
      <c r="B748" s="276">
        <f>ROUND(Q59,0)</f>
        <v>288030</v>
      </c>
      <c r="C748" s="278">
        <f>ROUND(Q60,2)</f>
        <v>5.83</v>
      </c>
      <c r="D748" s="276">
        <f>ROUND(Q61,0)</f>
        <v>705521</v>
      </c>
      <c r="E748" s="276">
        <f>ROUND(Q62,0)</f>
        <v>171105</v>
      </c>
      <c r="F748" s="276">
        <f>ROUND(Q63,0)</f>
        <v>0</v>
      </c>
      <c r="G748" s="276">
        <f>ROUND(Q64,0)</f>
        <v>25176</v>
      </c>
      <c r="H748" s="276">
        <f>ROUND(Q65,0)</f>
        <v>0</v>
      </c>
      <c r="I748" s="276">
        <f>ROUND(Q66,0)</f>
        <v>134</v>
      </c>
      <c r="J748" s="276">
        <f>ROUND(Q67,0)</f>
        <v>66190</v>
      </c>
      <c r="K748" s="276">
        <f>ROUND(Q68,0)</f>
        <v>2837</v>
      </c>
      <c r="L748" s="276">
        <f>ROUND(Q69,0)</f>
        <v>37</v>
      </c>
      <c r="M748" s="276">
        <f>ROUND(Q70,0)</f>
        <v>0</v>
      </c>
      <c r="N748" s="276">
        <f>ROUND(Q75,0)</f>
        <v>3793090</v>
      </c>
      <c r="O748" s="276">
        <f>ROUND(Q73,0)</f>
        <v>1523865</v>
      </c>
      <c r="P748" s="276">
        <f>IF(Q76&gt;0,ROUND(Q76,0),0)</f>
        <v>2498</v>
      </c>
      <c r="Q748" s="276">
        <f>IF(Q77&gt;0,ROUND(Q77,0),0)</f>
        <v>0</v>
      </c>
      <c r="R748" s="276">
        <f>IF(Q78&gt;0,ROUND(Q78,0),0)</f>
        <v>2498</v>
      </c>
      <c r="S748" s="276">
        <f>IF(Q79&gt;0,ROUND(Q79,0),0)</f>
        <v>18652</v>
      </c>
      <c r="T748" s="278">
        <f>IF(Q80&gt;0,ROUND(Q80,2),0)</f>
        <v>4.3099999999999996</v>
      </c>
      <c r="U748" s="276"/>
      <c r="V748" s="277"/>
      <c r="W748" s="276"/>
      <c r="X748" s="276"/>
      <c r="Y748" s="276">
        <f t="shared" si="21"/>
        <v>615492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026*2017*7040*A</v>
      </c>
      <c r="B749" s="276">
        <f>ROUND(R59,0)</f>
        <v>312352</v>
      </c>
      <c r="C749" s="278">
        <f>ROUND(R60,2)</f>
        <v>11.25</v>
      </c>
      <c r="D749" s="276">
        <f>ROUND(R61,0)</f>
        <v>3664211</v>
      </c>
      <c r="E749" s="276">
        <f>ROUND(R62,0)</f>
        <v>588828</v>
      </c>
      <c r="F749" s="276">
        <f>ROUND(R63,0)</f>
        <v>0</v>
      </c>
      <c r="G749" s="276">
        <f>ROUND(R64,0)</f>
        <v>624</v>
      </c>
      <c r="H749" s="276">
        <f>ROUND(R65,0)</f>
        <v>0</v>
      </c>
      <c r="I749" s="276">
        <f>ROUND(R66,0)</f>
        <v>2734886</v>
      </c>
      <c r="J749" s="276">
        <f>ROUND(R67,0)</f>
        <v>0</v>
      </c>
      <c r="K749" s="276">
        <f>ROUND(R68,0)</f>
        <v>0</v>
      </c>
      <c r="L749" s="276">
        <f>ROUND(R69,0)</f>
        <v>47936</v>
      </c>
      <c r="M749" s="276">
        <f>ROUND(R70,0)</f>
        <v>2734722</v>
      </c>
      <c r="N749" s="276">
        <f>ROUND(R75,0)</f>
        <v>6243964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1422709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026*2017*7050*A</v>
      </c>
      <c r="B750" s="276"/>
      <c r="C750" s="278">
        <f>ROUND(S60,2)</f>
        <v>20.41</v>
      </c>
      <c r="D750" s="276">
        <f>ROUND(S61,0)</f>
        <v>896837</v>
      </c>
      <c r="E750" s="276">
        <f>ROUND(S62,0)</f>
        <v>382692</v>
      </c>
      <c r="F750" s="276">
        <f>ROUND(S63,0)</f>
        <v>0</v>
      </c>
      <c r="G750" s="276">
        <f>ROUND(S64,0)</f>
        <v>221865</v>
      </c>
      <c r="H750" s="276">
        <f>ROUND(S65,0)</f>
        <v>0</v>
      </c>
      <c r="I750" s="276">
        <f>ROUND(S66,0)</f>
        <v>7988</v>
      </c>
      <c r="J750" s="276">
        <f>ROUND(S67,0)</f>
        <v>50406</v>
      </c>
      <c r="K750" s="276">
        <f>ROUND(S68,0)</f>
        <v>12984</v>
      </c>
      <c r="L750" s="276">
        <f>ROUND(S69,0)</f>
        <v>1075</v>
      </c>
      <c r="M750" s="276">
        <f>ROUND(S70,0)</f>
        <v>1477</v>
      </c>
      <c r="N750" s="276">
        <f>ROUND(S75,0)</f>
        <v>0</v>
      </c>
      <c r="O750" s="276">
        <f>ROUND(S73,0)</f>
        <v>0</v>
      </c>
      <c r="P750" s="276">
        <f>IF(S76&gt;0,ROUND(S76,0),0)</f>
        <v>5561</v>
      </c>
      <c r="Q750" s="276">
        <f>IF(S77&gt;0,ROUND(S77,0),0)</f>
        <v>0</v>
      </c>
      <c r="R750" s="276">
        <f>IF(S78&gt;0,ROUND(S78,0),0)</f>
        <v>5561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843153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026*2017*7060*A</v>
      </c>
      <c r="B751" s="276"/>
      <c r="C751" s="278">
        <f>ROUND(T60,2)</f>
        <v>1.64</v>
      </c>
      <c r="D751" s="276">
        <f>ROUND(T61,0)</f>
        <v>193437</v>
      </c>
      <c r="E751" s="276">
        <f>ROUND(T62,0)</f>
        <v>41453</v>
      </c>
      <c r="F751" s="276">
        <f>ROUND(T63,0)</f>
        <v>0</v>
      </c>
      <c r="G751" s="276">
        <f>ROUND(T64,0)</f>
        <v>13892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238</v>
      </c>
      <c r="M751" s="276">
        <f>ROUND(T70,0)</f>
        <v>0</v>
      </c>
      <c r="N751" s="276">
        <f>ROUND(T75,0)</f>
        <v>733407</v>
      </c>
      <c r="O751" s="276">
        <f>ROUND(T73,0)</f>
        <v>655044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6215</v>
      </c>
      <c r="T751" s="278">
        <f>IF(T80&gt;0,ROUND(T80,2),0)</f>
        <v>1.43</v>
      </c>
      <c r="U751" s="276"/>
      <c r="V751" s="277"/>
      <c r="W751" s="276"/>
      <c r="X751" s="276"/>
      <c r="Y751" s="276">
        <f t="shared" si="21"/>
        <v>120422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026*2017*7070*A</v>
      </c>
      <c r="B752" s="276">
        <f>ROUND(U59,0)</f>
        <v>356629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526025</v>
      </c>
      <c r="H752" s="276">
        <f>ROUND(U65,0)</f>
        <v>0</v>
      </c>
      <c r="I752" s="276">
        <f>ROUND(U66,0)</f>
        <v>6785847</v>
      </c>
      <c r="J752" s="276">
        <f>ROUND(U67,0)</f>
        <v>56267</v>
      </c>
      <c r="K752" s="276">
        <f>ROUND(U68,0)</f>
        <v>0</v>
      </c>
      <c r="L752" s="276">
        <f>ROUND(U69,0)</f>
        <v>2802</v>
      </c>
      <c r="M752" s="276">
        <f>ROUND(U70,0)</f>
        <v>4559</v>
      </c>
      <c r="N752" s="276">
        <f>ROUND(U75,0)</f>
        <v>33574716</v>
      </c>
      <c r="O752" s="276">
        <f>ROUND(U73,0)</f>
        <v>17056162</v>
      </c>
      <c r="P752" s="276">
        <f>IF(U76&gt;0,ROUND(U76,0),0)</f>
        <v>6826</v>
      </c>
      <c r="Q752" s="276">
        <f>IF(U77&gt;0,ROUND(U77,0),0)</f>
        <v>0</v>
      </c>
      <c r="R752" s="276">
        <f>IF(U78&gt;0,ROUND(U78,0),0)</f>
        <v>6826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3284380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026*2017*7110*A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026*2017*7120*A</v>
      </c>
      <c r="B754" s="276">
        <f>ROUND(W59,0)</f>
        <v>4353</v>
      </c>
      <c r="C754" s="278">
        <f>ROUND(W60,2)</f>
        <v>4.0999999999999996</v>
      </c>
      <c r="D754" s="276">
        <f>ROUND(W61,0)</f>
        <v>432122</v>
      </c>
      <c r="E754" s="276">
        <f>ROUND(W62,0)</f>
        <v>117669</v>
      </c>
      <c r="F754" s="276">
        <f>ROUND(W63,0)</f>
        <v>0</v>
      </c>
      <c r="G754" s="276">
        <f>ROUND(W64,0)</f>
        <v>12421</v>
      </c>
      <c r="H754" s="276">
        <f>ROUND(W65,0)</f>
        <v>0</v>
      </c>
      <c r="I754" s="276">
        <f>ROUND(W66,0)</f>
        <v>2496</v>
      </c>
      <c r="J754" s="276">
        <f>ROUND(W67,0)</f>
        <v>20472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11036009</v>
      </c>
      <c r="O754" s="276">
        <f>ROUND(W73,0)</f>
        <v>3010865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65</v>
      </c>
      <c r="T754" s="278">
        <f>IF(W80&gt;0,ROUND(W80,2),0)</f>
        <v>0.02</v>
      </c>
      <c r="U754" s="276"/>
      <c r="V754" s="277"/>
      <c r="W754" s="276"/>
      <c r="X754" s="276"/>
      <c r="Y754" s="276">
        <f t="shared" si="21"/>
        <v>394791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026*2017*7130*A</v>
      </c>
      <c r="B755" s="276">
        <f>ROUND(X59,0)</f>
        <v>16178</v>
      </c>
      <c r="C755" s="278">
        <f>ROUND(X60,2)</f>
        <v>7.31</v>
      </c>
      <c r="D755" s="276">
        <f>ROUND(X61,0)</f>
        <v>647721</v>
      </c>
      <c r="E755" s="276">
        <f>ROUND(X62,0)</f>
        <v>185507</v>
      </c>
      <c r="F755" s="276">
        <f>ROUND(X63,0)</f>
        <v>0</v>
      </c>
      <c r="G755" s="276">
        <f>ROUND(X64,0)</f>
        <v>209895</v>
      </c>
      <c r="H755" s="276">
        <f>ROUND(X65,0)</f>
        <v>0</v>
      </c>
      <c r="I755" s="276">
        <f>ROUND(X66,0)</f>
        <v>306</v>
      </c>
      <c r="J755" s="276">
        <f>ROUND(X67,0)</f>
        <v>11226</v>
      </c>
      <c r="K755" s="276">
        <f>ROUND(X68,0)</f>
        <v>0</v>
      </c>
      <c r="L755" s="276">
        <f>ROUND(X69,0)</f>
        <v>3918</v>
      </c>
      <c r="M755" s="276">
        <f>ROUND(X70,0)</f>
        <v>0</v>
      </c>
      <c r="N755" s="276">
        <f>ROUND(X75,0)</f>
        <v>45419661</v>
      </c>
      <c r="O755" s="276">
        <f>ROUND(X73,0)</f>
        <v>13267192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298</v>
      </c>
      <c r="T755" s="278">
        <f>IF(X80&gt;0,ROUND(X80,2),0)</f>
        <v>7.0000000000000007E-2</v>
      </c>
      <c r="U755" s="276"/>
      <c r="V755" s="277"/>
      <c r="W755" s="276"/>
      <c r="X755" s="276"/>
      <c r="Y755" s="276">
        <f t="shared" si="21"/>
        <v>1210212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026*2017*7140*A</v>
      </c>
      <c r="B756" s="276">
        <f>ROUND(Y59,0)</f>
        <v>76301</v>
      </c>
      <c r="C756" s="278">
        <f>ROUND(Y60,2)</f>
        <v>55.71</v>
      </c>
      <c r="D756" s="276">
        <f>ROUND(Y61,0)</f>
        <v>4311846</v>
      </c>
      <c r="E756" s="276">
        <f>ROUND(Y62,0)</f>
        <v>1254981</v>
      </c>
      <c r="F756" s="276">
        <f>ROUND(Y63,0)</f>
        <v>11768</v>
      </c>
      <c r="G756" s="276">
        <f>ROUND(Y64,0)</f>
        <v>1930557</v>
      </c>
      <c r="H756" s="276">
        <f>ROUND(Y65,0)</f>
        <v>6200</v>
      </c>
      <c r="I756" s="276">
        <f>ROUND(Y66,0)</f>
        <v>28108</v>
      </c>
      <c r="J756" s="276">
        <f>ROUND(Y67,0)</f>
        <v>949605</v>
      </c>
      <c r="K756" s="276">
        <f>ROUND(Y68,0)</f>
        <v>13626</v>
      </c>
      <c r="L756" s="276">
        <f>ROUND(Y69,0)</f>
        <v>40365</v>
      </c>
      <c r="M756" s="276">
        <f>ROUND(Y70,0)</f>
        <v>4481</v>
      </c>
      <c r="N756" s="276">
        <f>ROUND(Y75,0)</f>
        <v>65269782</v>
      </c>
      <c r="O756" s="276">
        <f>ROUND(Y73,0)</f>
        <v>19301214</v>
      </c>
      <c r="P756" s="276">
        <f>IF(Y76&gt;0,ROUND(Y76,0),0)</f>
        <v>24987</v>
      </c>
      <c r="Q756" s="276">
        <f>IF(Y77&gt;0,ROUND(Y77,0),0)</f>
        <v>0</v>
      </c>
      <c r="R756" s="276">
        <f>IF(Y78&gt;0,ROUND(Y78,0),0)</f>
        <v>24987</v>
      </c>
      <c r="S756" s="276">
        <f>IF(Y79&gt;0,ROUND(Y79,0),0)</f>
        <v>17843</v>
      </c>
      <c r="T756" s="278">
        <f>IF(Y80&gt;0,ROUND(Y80,2),0)</f>
        <v>4.12</v>
      </c>
      <c r="U756" s="276"/>
      <c r="V756" s="277"/>
      <c r="W756" s="276"/>
      <c r="X756" s="276"/>
      <c r="Y756" s="276">
        <f t="shared" si="21"/>
        <v>5544043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026*2017*7150*A</v>
      </c>
      <c r="B757" s="276">
        <f>ROUND(Z59,0)</f>
        <v>13134</v>
      </c>
      <c r="C757" s="278">
        <f>ROUND(Z60,2)</f>
        <v>7.53</v>
      </c>
      <c r="D757" s="276">
        <f>ROUND(Z61,0)</f>
        <v>774918</v>
      </c>
      <c r="E757" s="276">
        <f>ROUND(Z62,0)</f>
        <v>212696</v>
      </c>
      <c r="F757" s="276">
        <f>ROUND(Z63,0)</f>
        <v>39579</v>
      </c>
      <c r="G757" s="276">
        <f>ROUND(Z64,0)</f>
        <v>37222</v>
      </c>
      <c r="H757" s="276">
        <f>ROUND(Z65,0)</f>
        <v>177</v>
      </c>
      <c r="I757" s="276">
        <f>ROUND(Z66,0)</f>
        <v>5150</v>
      </c>
      <c r="J757" s="276">
        <f>ROUND(Z67,0)</f>
        <v>720546</v>
      </c>
      <c r="K757" s="276">
        <f>ROUND(Z68,0)</f>
        <v>0</v>
      </c>
      <c r="L757" s="276">
        <f>ROUND(Z69,0)</f>
        <v>9184</v>
      </c>
      <c r="M757" s="276">
        <f>ROUND(Z70,0)</f>
        <v>11</v>
      </c>
      <c r="N757" s="276">
        <f>ROUND(Z75,0)</f>
        <v>19115856</v>
      </c>
      <c r="O757" s="276">
        <f>ROUND(Z73,0)</f>
        <v>120051</v>
      </c>
      <c r="P757" s="276">
        <f>IF(Z76&gt;0,ROUND(Z76,0),0)</f>
        <v>7191</v>
      </c>
      <c r="Q757" s="276">
        <f>IF(Z77&gt;0,ROUND(Z77,0),0)</f>
        <v>0</v>
      </c>
      <c r="R757" s="276">
        <f>IF(Z78&gt;0,ROUND(Z78,0),0)</f>
        <v>7191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1366036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026*2017*7160*A</v>
      </c>
      <c r="B758" s="276">
        <f>ROUND(AA59,0)</f>
        <v>1055</v>
      </c>
      <c r="C758" s="278">
        <f>ROUND(AA60,2)</f>
        <v>4.07</v>
      </c>
      <c r="D758" s="276">
        <f>ROUND(AA61,0)</f>
        <v>603331</v>
      </c>
      <c r="E758" s="276">
        <f>ROUND(AA62,0)</f>
        <v>118636</v>
      </c>
      <c r="F758" s="276">
        <f>ROUND(AA63,0)</f>
        <v>93545</v>
      </c>
      <c r="G758" s="276">
        <f>ROUND(AA64,0)</f>
        <v>145455</v>
      </c>
      <c r="H758" s="276">
        <f>ROUND(AA65,0)</f>
        <v>0</v>
      </c>
      <c r="I758" s="276">
        <f>ROUND(AA66,0)</f>
        <v>6704</v>
      </c>
      <c r="J758" s="276">
        <f>ROUND(AA67,0)</f>
        <v>41433</v>
      </c>
      <c r="K758" s="276">
        <f>ROUND(AA68,0)</f>
        <v>11084</v>
      </c>
      <c r="L758" s="276">
        <f>ROUND(AA69,0)</f>
        <v>1367</v>
      </c>
      <c r="M758" s="276">
        <f>ROUND(AA70,0)</f>
        <v>0</v>
      </c>
      <c r="N758" s="276">
        <f>ROUND(AA75,0)</f>
        <v>3413755</v>
      </c>
      <c r="O758" s="276">
        <f>ROUND(AA73,0)</f>
        <v>482352</v>
      </c>
      <c r="P758" s="276">
        <f>IF(AA76&gt;0,ROUND(AA76,0),0)</f>
        <v>1892</v>
      </c>
      <c r="Q758" s="276">
        <f>IF(AA77&gt;0,ROUND(AA77,0),0)</f>
        <v>0</v>
      </c>
      <c r="R758" s="276">
        <f>IF(AA78&gt;0,ROUND(AA78,0),0)</f>
        <v>1892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495670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026*2017*7170*A</v>
      </c>
      <c r="B759" s="276"/>
      <c r="C759" s="278">
        <f>ROUND(AB60,2)</f>
        <v>40.79</v>
      </c>
      <c r="D759" s="276">
        <f>ROUND(AB61,0)</f>
        <v>3893635</v>
      </c>
      <c r="E759" s="276">
        <f>ROUND(AB62,0)</f>
        <v>969627</v>
      </c>
      <c r="F759" s="276">
        <f>ROUND(AB63,0)</f>
        <v>0</v>
      </c>
      <c r="G759" s="276">
        <f>ROUND(AB64,0)</f>
        <v>13038911</v>
      </c>
      <c r="H759" s="276">
        <f>ROUND(AB65,0)</f>
        <v>0</v>
      </c>
      <c r="I759" s="276">
        <f>ROUND(AB66,0)</f>
        <v>1084582</v>
      </c>
      <c r="J759" s="276">
        <f>ROUND(AB67,0)</f>
        <v>502464</v>
      </c>
      <c r="K759" s="276">
        <f>ROUND(AB68,0)</f>
        <v>14755</v>
      </c>
      <c r="L759" s="276">
        <f>ROUND(AB69,0)</f>
        <v>36178</v>
      </c>
      <c r="M759" s="276">
        <f>ROUND(AB70,0)</f>
        <v>2681286</v>
      </c>
      <c r="N759" s="276">
        <f>ROUND(AB75,0)</f>
        <v>63872016</v>
      </c>
      <c r="O759" s="276">
        <f>ROUND(AB73,0)</f>
        <v>20553344</v>
      </c>
      <c r="P759" s="276">
        <f>IF(AB76&gt;0,ROUND(AB76,0),0)</f>
        <v>3258</v>
      </c>
      <c r="Q759" s="276">
        <f>IF(AB77&gt;0,ROUND(AB77,0),0)</f>
        <v>0</v>
      </c>
      <c r="R759" s="276">
        <f>IF(AB78&gt;0,ROUND(AB78,0),0)</f>
        <v>3258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6632410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026*2017*7180*A</v>
      </c>
      <c r="B760" s="276">
        <f>ROUND(AC59,0)</f>
        <v>34049</v>
      </c>
      <c r="C760" s="278">
        <f>ROUND(AC60,2)</f>
        <v>15.83</v>
      </c>
      <c r="D760" s="276">
        <f>ROUND(AC61,0)</f>
        <v>1264681</v>
      </c>
      <c r="E760" s="276">
        <f>ROUND(AC62,0)</f>
        <v>297582</v>
      </c>
      <c r="F760" s="276">
        <f>ROUND(AC63,0)</f>
        <v>0</v>
      </c>
      <c r="G760" s="276">
        <f>ROUND(AC64,0)</f>
        <v>109052</v>
      </c>
      <c r="H760" s="276">
        <f>ROUND(AC65,0)</f>
        <v>0</v>
      </c>
      <c r="I760" s="276">
        <f>ROUND(AC66,0)</f>
        <v>782</v>
      </c>
      <c r="J760" s="276">
        <f>ROUND(AC67,0)</f>
        <v>28955</v>
      </c>
      <c r="K760" s="276">
        <f>ROUND(AC68,0)</f>
        <v>207</v>
      </c>
      <c r="L760" s="276">
        <f>ROUND(AC69,0)</f>
        <v>914</v>
      </c>
      <c r="M760" s="276">
        <f>ROUND(AC70,0)</f>
        <v>0</v>
      </c>
      <c r="N760" s="276">
        <f>ROUND(AC75,0)</f>
        <v>14365496</v>
      </c>
      <c r="O760" s="276">
        <f>ROUND(AC73,0)</f>
        <v>12278003</v>
      </c>
      <c r="P760" s="276">
        <f>IF(AC76&gt;0,ROUND(AC76,0),0)</f>
        <v>1504</v>
      </c>
      <c r="Q760" s="276">
        <f>IF(AC77&gt;0,ROUND(AC77,0),0)</f>
        <v>0</v>
      </c>
      <c r="R760" s="276">
        <f>IF(AC78&gt;0,ROUND(AC78,0),0)</f>
        <v>1504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902144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026*2017*7190*A</v>
      </c>
      <c r="B761" s="276">
        <f>ROUND(AD59,0)</f>
        <v>24008</v>
      </c>
      <c r="C761" s="278">
        <f>ROUND(AD60,2)</f>
        <v>36.130000000000003</v>
      </c>
      <c r="D761" s="276">
        <f>ROUND(AD61,0)</f>
        <v>2520125</v>
      </c>
      <c r="E761" s="276">
        <f>ROUND(AD62,0)</f>
        <v>695618</v>
      </c>
      <c r="F761" s="276">
        <f>ROUND(AD63,0)</f>
        <v>0</v>
      </c>
      <c r="G761" s="276">
        <f>ROUND(AD64,0)</f>
        <v>953591</v>
      </c>
      <c r="H761" s="276">
        <f>ROUND(AD65,0)</f>
        <v>0</v>
      </c>
      <c r="I761" s="276">
        <f>ROUND(AD66,0)</f>
        <v>39351</v>
      </c>
      <c r="J761" s="276">
        <f>ROUND(AD67,0)</f>
        <v>176446</v>
      </c>
      <c r="K761" s="276">
        <f>ROUND(AD68,0)</f>
        <v>6360</v>
      </c>
      <c r="L761" s="276">
        <f>ROUND(AD69,0)</f>
        <v>3245</v>
      </c>
      <c r="M761" s="276">
        <f>ROUND(AD70,0)</f>
        <v>0</v>
      </c>
      <c r="N761" s="276">
        <f>ROUND(AD75,0)</f>
        <v>25330477</v>
      </c>
      <c r="O761" s="276">
        <f>ROUND(AD73,0)</f>
        <v>1024167</v>
      </c>
      <c r="P761" s="276">
        <f>IF(AD76&gt;0,ROUND(AD76,0),0)</f>
        <v>8408</v>
      </c>
      <c r="Q761" s="276">
        <f>IF(AD77&gt;0,ROUND(AD77,0),0)</f>
        <v>0</v>
      </c>
      <c r="R761" s="276">
        <f>IF(AD78&gt;0,ROUND(AD78,0),0)</f>
        <v>8408</v>
      </c>
      <c r="S761" s="276">
        <f>IF(AD79&gt;0,ROUND(AD79,0),0)</f>
        <v>39286</v>
      </c>
      <c r="T761" s="278">
        <f>IF(AD80&gt;0,ROUND(AD80,2),0)</f>
        <v>9.07</v>
      </c>
      <c r="U761" s="276"/>
      <c r="V761" s="277"/>
      <c r="W761" s="276"/>
      <c r="X761" s="276"/>
      <c r="Y761" s="276">
        <f t="shared" si="21"/>
        <v>2567728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026*2017*7200*A</v>
      </c>
      <c r="B762" s="276">
        <f>ROUND(AE59,0)</f>
        <v>22914</v>
      </c>
      <c r="C762" s="278">
        <f>ROUND(AE60,2)</f>
        <v>10.66</v>
      </c>
      <c r="D762" s="276">
        <f>ROUND(AE61,0)</f>
        <v>888559</v>
      </c>
      <c r="E762" s="276">
        <f>ROUND(AE62,0)</f>
        <v>188167</v>
      </c>
      <c r="F762" s="276">
        <f>ROUND(AE63,0)</f>
        <v>0</v>
      </c>
      <c r="G762" s="276">
        <f>ROUND(AE64,0)</f>
        <v>8515</v>
      </c>
      <c r="H762" s="276">
        <f>ROUND(AE65,0)</f>
        <v>326</v>
      </c>
      <c r="I762" s="276">
        <f>ROUND(AE66,0)</f>
        <v>1296</v>
      </c>
      <c r="J762" s="276">
        <f>ROUND(AE67,0)</f>
        <v>86840</v>
      </c>
      <c r="K762" s="276">
        <f>ROUND(AE68,0)</f>
        <v>0</v>
      </c>
      <c r="L762" s="276">
        <f>ROUND(AE69,0)</f>
        <v>1217</v>
      </c>
      <c r="M762" s="276">
        <f>ROUND(AE70,0)</f>
        <v>100</v>
      </c>
      <c r="N762" s="276">
        <f>ROUND(AE75,0)</f>
        <v>4446901</v>
      </c>
      <c r="O762" s="276">
        <f>ROUND(AE73,0)</f>
        <v>3588781</v>
      </c>
      <c r="P762" s="276">
        <f>IF(AE76&gt;0,ROUND(AE76,0),0)</f>
        <v>8762</v>
      </c>
      <c r="Q762" s="276">
        <f>IF(AE77&gt;0,ROUND(AE77,0),0)</f>
        <v>0</v>
      </c>
      <c r="R762" s="276">
        <f>IF(AE78&gt;0,ROUND(AE78,0),0)</f>
        <v>8762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995716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026*2017*7220*A</v>
      </c>
      <c r="B763" s="276">
        <f>ROUND(AF59,0)</f>
        <v>10238</v>
      </c>
      <c r="C763" s="278">
        <f>ROUND(AF60,2)</f>
        <v>18.059999999999999</v>
      </c>
      <c r="D763" s="276">
        <f>ROUND(AF61,0)</f>
        <v>2210417</v>
      </c>
      <c r="E763" s="276">
        <f>ROUND(AF62,0)</f>
        <v>524470</v>
      </c>
      <c r="F763" s="276">
        <f>ROUND(AF63,0)</f>
        <v>0</v>
      </c>
      <c r="G763" s="276">
        <f>ROUND(AF64,0)</f>
        <v>204055</v>
      </c>
      <c r="H763" s="276">
        <f>ROUND(AF65,0)</f>
        <v>0</v>
      </c>
      <c r="I763" s="276">
        <f>ROUND(AF66,0)</f>
        <v>3013</v>
      </c>
      <c r="J763" s="276">
        <f>ROUND(AF67,0)</f>
        <v>159826</v>
      </c>
      <c r="K763" s="276">
        <f>ROUND(AF68,0)</f>
        <v>0</v>
      </c>
      <c r="L763" s="276">
        <f>ROUND(AF69,0)</f>
        <v>37887</v>
      </c>
      <c r="M763" s="276">
        <f>ROUND(AF70,0)</f>
        <v>105671</v>
      </c>
      <c r="N763" s="276">
        <f>ROUND(AF75,0)</f>
        <v>4274171</v>
      </c>
      <c r="O763" s="276">
        <f>ROUND(AF73,0)</f>
        <v>0</v>
      </c>
      <c r="P763" s="276">
        <f>IF(AF76&gt;0,ROUND(AF76,0),0)</f>
        <v>19373</v>
      </c>
      <c r="Q763" s="276">
        <f>IF(AF77&gt;0,ROUND(AF77,0),0)</f>
        <v>0</v>
      </c>
      <c r="R763" s="276">
        <f>IF(AF78&gt;0,ROUND(AF78,0),0)</f>
        <v>19373</v>
      </c>
      <c r="S763" s="276">
        <f>IF(AF79&gt;0,ROUND(AF79,0),0)</f>
        <v>8404</v>
      </c>
      <c r="T763" s="278">
        <f>IF(AF80&gt;0,ROUND(AF80,2),0)</f>
        <v>1.94</v>
      </c>
      <c r="U763" s="276"/>
      <c r="V763" s="277"/>
      <c r="W763" s="276"/>
      <c r="X763" s="276"/>
      <c r="Y763" s="276">
        <f t="shared" si="21"/>
        <v>2258761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026*2017*7230*A</v>
      </c>
      <c r="B764" s="276">
        <f>ROUND(AG59,0)</f>
        <v>55053</v>
      </c>
      <c r="C764" s="278">
        <f>ROUND(AG60,2)</f>
        <v>83.81</v>
      </c>
      <c r="D764" s="276">
        <f>ROUND(AG61,0)</f>
        <v>7478611</v>
      </c>
      <c r="E764" s="276">
        <f>ROUND(AG62,0)</f>
        <v>1831109</v>
      </c>
      <c r="F764" s="276">
        <f>ROUND(AG63,0)</f>
        <v>162348</v>
      </c>
      <c r="G764" s="276">
        <f>ROUND(AG64,0)</f>
        <v>823970</v>
      </c>
      <c r="H764" s="276">
        <f>ROUND(AG65,0)</f>
        <v>600</v>
      </c>
      <c r="I764" s="276">
        <f>ROUND(AG66,0)</f>
        <v>14666</v>
      </c>
      <c r="J764" s="276">
        <f>ROUND(AG67,0)</f>
        <v>323448</v>
      </c>
      <c r="K764" s="276">
        <f>ROUND(AG68,0)</f>
        <v>66912</v>
      </c>
      <c r="L764" s="276">
        <f>ROUND(AG69,0)</f>
        <v>48846</v>
      </c>
      <c r="M764" s="276">
        <f>ROUND(AG70,0)</f>
        <v>37718</v>
      </c>
      <c r="N764" s="276">
        <f>ROUND(AG75,0)</f>
        <v>114831121</v>
      </c>
      <c r="O764" s="276">
        <f>ROUND(AG73,0)</f>
        <v>25861514</v>
      </c>
      <c r="P764" s="276">
        <f>IF(AG76&gt;0,ROUND(AG76,0),0)</f>
        <v>20928</v>
      </c>
      <c r="Q764" s="276">
        <f>IF(AG77&gt;0,ROUND(AG77,0),0)</f>
        <v>3626</v>
      </c>
      <c r="R764" s="276">
        <f>IF(AG78&gt;0,ROUND(AG78,0),0)</f>
        <v>20928</v>
      </c>
      <c r="S764" s="276">
        <f>IF(AG79&gt;0,ROUND(AG79,0),0)</f>
        <v>181684</v>
      </c>
      <c r="T764" s="278">
        <f>IF(AG80&gt;0,ROUND(AG80,2),0)</f>
        <v>41.95</v>
      </c>
      <c r="U764" s="276"/>
      <c r="V764" s="277"/>
      <c r="W764" s="276"/>
      <c r="X764" s="276"/>
      <c r="Y764" s="276">
        <f t="shared" si="21"/>
        <v>7802476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026*2017*7240*A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026*2017*7250*A</v>
      </c>
      <c r="B766" s="276">
        <f>ROUND(AI59,0)</f>
        <v>13971</v>
      </c>
      <c r="C766" s="278">
        <f>ROUND(AI60,2)</f>
        <v>31.98</v>
      </c>
      <c r="D766" s="276">
        <f>ROUND(AI61,0)</f>
        <v>2765873</v>
      </c>
      <c r="E766" s="276">
        <f>ROUND(AI62,0)</f>
        <v>757860</v>
      </c>
      <c r="F766" s="276">
        <f>ROUND(AI63,0)</f>
        <v>0</v>
      </c>
      <c r="G766" s="276">
        <f>ROUND(AI64,0)</f>
        <v>1152152</v>
      </c>
      <c r="H766" s="276">
        <f>ROUND(AI65,0)</f>
        <v>150</v>
      </c>
      <c r="I766" s="276">
        <f>ROUND(AI66,0)</f>
        <v>26636</v>
      </c>
      <c r="J766" s="276">
        <f>ROUND(AI67,0)</f>
        <v>308475</v>
      </c>
      <c r="K766" s="276">
        <f>ROUND(AI68,0)</f>
        <v>22528</v>
      </c>
      <c r="L766" s="276">
        <f>ROUND(AI69,0)</f>
        <v>14022</v>
      </c>
      <c r="M766" s="276">
        <f>ROUND(AI70,0)</f>
        <v>-417</v>
      </c>
      <c r="N766" s="276">
        <f>ROUND(AI75,0)</f>
        <v>26124496</v>
      </c>
      <c r="O766" s="276">
        <f>ROUND(AI73,0)</f>
        <v>1170371</v>
      </c>
      <c r="P766" s="276">
        <f>IF(AI76&gt;0,ROUND(AI76,0),0)</f>
        <v>23173</v>
      </c>
      <c r="Q766" s="276">
        <f>IF(AI77&gt;0,ROUND(AI77,0),0)</f>
        <v>2216</v>
      </c>
      <c r="R766" s="276">
        <f>IF(AI78&gt;0,ROUND(AI78,0),0)</f>
        <v>23173</v>
      </c>
      <c r="S766" s="276">
        <f>IF(AI79&gt;0,ROUND(AI79,0),0)</f>
        <v>71012</v>
      </c>
      <c r="T766" s="278">
        <f>IF(AI80&gt;0,ROUND(AI80,2),0)</f>
        <v>16.399999999999999</v>
      </c>
      <c r="U766" s="276"/>
      <c r="V766" s="277"/>
      <c r="W766" s="276"/>
      <c r="X766" s="276"/>
      <c r="Y766" s="276">
        <f t="shared" si="21"/>
        <v>3900859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026*2017*7260*A</v>
      </c>
      <c r="B767" s="276">
        <f>ROUND(AJ59,0)</f>
        <v>193960</v>
      </c>
      <c r="C767" s="278">
        <f>ROUND(AJ60,2)</f>
        <v>299.70999999999998</v>
      </c>
      <c r="D767" s="276">
        <f>ROUND(AJ61,0)</f>
        <v>33707568</v>
      </c>
      <c r="E767" s="276">
        <f>ROUND(AJ62,0)</f>
        <v>7199792</v>
      </c>
      <c r="F767" s="276">
        <f>ROUND(AJ63,0)</f>
        <v>3501042</v>
      </c>
      <c r="G767" s="276">
        <f>ROUND(AJ64,0)</f>
        <v>2549889</v>
      </c>
      <c r="H767" s="276">
        <f>ROUND(AJ65,0)</f>
        <v>15236</v>
      </c>
      <c r="I767" s="276">
        <f>ROUND(AJ66,0)</f>
        <v>-2393467</v>
      </c>
      <c r="J767" s="276">
        <f>ROUND(AJ67,0)</f>
        <v>922045</v>
      </c>
      <c r="K767" s="276">
        <f>ROUND(AJ68,0)</f>
        <v>236445</v>
      </c>
      <c r="L767" s="276">
        <f>ROUND(AJ69,0)</f>
        <v>625170</v>
      </c>
      <c r="M767" s="276">
        <f>ROUND(AJ70,0)</f>
        <v>-2451111</v>
      </c>
      <c r="N767" s="276">
        <f>ROUND(AJ75,0)</f>
        <v>76932075</v>
      </c>
      <c r="O767" s="276">
        <f>ROUND(AJ73,0)</f>
        <v>116704</v>
      </c>
      <c r="P767" s="276">
        <f>IF(AJ76&gt;0,ROUND(AJ76,0),0)</f>
        <v>93341</v>
      </c>
      <c r="Q767" s="276">
        <f>IF(AJ77&gt;0,ROUND(AJ77,0),0)</f>
        <v>0</v>
      </c>
      <c r="R767" s="276">
        <f>IF(AJ78&gt;0,ROUND(AJ78,0),0)</f>
        <v>93341</v>
      </c>
      <c r="S767" s="276">
        <f>IF(AJ79&gt;0,ROUND(AJ79,0),0)</f>
        <v>45881</v>
      </c>
      <c r="T767" s="278">
        <f>IF(AJ80&gt;0,ROUND(AJ80,2),0)</f>
        <v>10.59</v>
      </c>
      <c r="U767" s="276"/>
      <c r="V767" s="277"/>
      <c r="W767" s="276"/>
      <c r="X767" s="276"/>
      <c r="Y767" s="276">
        <f t="shared" si="21"/>
        <v>22512682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026*2017*7310*A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026*2017*7320*A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026*2017*7330*A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026*2017*7340*A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026*2017*7350*A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026*2017*7380*A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026*2017*7390*A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026*2017*7400*A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026*2017*7410*A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026*2017*7420*A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026*2017*7430*A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026*2017*7490*A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026*2017*8200*A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026*2017*8310*A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026*2017*8320*A</v>
      </c>
      <c r="B782" s="276">
        <f>ROUND(AY59,0)</f>
        <v>104927</v>
      </c>
      <c r="C782" s="278">
        <f>ROUND(AY60,2)</f>
        <v>21.04</v>
      </c>
      <c r="D782" s="276">
        <f>ROUND(AY61,0)</f>
        <v>961990</v>
      </c>
      <c r="E782" s="276">
        <f>ROUND(AY62,0)</f>
        <v>305812</v>
      </c>
      <c r="F782" s="276">
        <f>ROUND(AY63,0)</f>
        <v>0</v>
      </c>
      <c r="G782" s="276">
        <f>ROUND(AY64,0)</f>
        <v>253384</v>
      </c>
      <c r="H782" s="276">
        <f>ROUND(AY65,0)</f>
        <v>600</v>
      </c>
      <c r="I782" s="276">
        <f>ROUND(AY66,0)</f>
        <v>1109</v>
      </c>
      <c r="J782" s="276">
        <f>ROUND(AY67,0)</f>
        <v>118199</v>
      </c>
      <c r="K782" s="276">
        <f>ROUND(AY68,0)</f>
        <v>0</v>
      </c>
      <c r="L782" s="276">
        <f>ROUND(AY69,0)</f>
        <v>1216</v>
      </c>
      <c r="M782" s="276">
        <f>ROUND(AY70,0)</f>
        <v>-157</v>
      </c>
      <c r="N782" s="276"/>
      <c r="O782" s="276"/>
      <c r="P782" s="276">
        <f>IF(AY76&gt;0,ROUND(AY76,0),0)</f>
        <v>12128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026*2017*8330*A</v>
      </c>
      <c r="B783" s="276">
        <f>ROUND(AZ59,0)</f>
        <v>298762</v>
      </c>
      <c r="C783" s="278">
        <f>ROUND(AZ60,2)</f>
        <v>10.53</v>
      </c>
      <c r="D783" s="276">
        <f>ROUND(AZ61,0)</f>
        <v>393807</v>
      </c>
      <c r="E783" s="276">
        <f>ROUND(AZ62,0)</f>
        <v>134188</v>
      </c>
      <c r="F783" s="276">
        <f>ROUND(AZ63,0)</f>
        <v>0</v>
      </c>
      <c r="G783" s="276">
        <f>ROUND(AZ64,0)</f>
        <v>487893</v>
      </c>
      <c r="H783" s="276">
        <f>ROUND(AZ65,0)</f>
        <v>0</v>
      </c>
      <c r="I783" s="276">
        <f>ROUND(AZ66,0)</f>
        <v>0</v>
      </c>
      <c r="J783" s="276">
        <f>ROUND(AZ67,0)</f>
        <v>9960</v>
      </c>
      <c r="K783" s="276">
        <f>ROUND(AZ68,0)</f>
        <v>0</v>
      </c>
      <c r="L783" s="276">
        <f>ROUND(AZ69,0)</f>
        <v>5367</v>
      </c>
      <c r="M783" s="276">
        <f>ROUND(AZ70,0)</f>
        <v>851953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026*2017*8350*A</v>
      </c>
      <c r="B784" s="276">
        <f>ROUND(BA59,0)</f>
        <v>0</v>
      </c>
      <c r="C784" s="278">
        <f>ROUND(BA60,2)</f>
        <v>1.01</v>
      </c>
      <c r="D784" s="276">
        <f>ROUND(BA61,0)</f>
        <v>47182</v>
      </c>
      <c r="E784" s="276">
        <f>ROUND(BA62,0)</f>
        <v>15870</v>
      </c>
      <c r="F784" s="276">
        <f>ROUND(BA63,0)</f>
        <v>0</v>
      </c>
      <c r="G784" s="276">
        <f>ROUND(BA64,0)</f>
        <v>80844</v>
      </c>
      <c r="H784" s="276">
        <f>ROUND(BA65,0)</f>
        <v>0</v>
      </c>
      <c r="I784" s="276">
        <f>ROUND(BA66,0)</f>
        <v>426561</v>
      </c>
      <c r="J784" s="276">
        <f>ROUND(BA67,0)</f>
        <v>9130</v>
      </c>
      <c r="K784" s="276">
        <f>ROUND(BA68,0)</f>
        <v>0</v>
      </c>
      <c r="L784" s="276">
        <f>ROUND(BA69,0)</f>
        <v>121</v>
      </c>
      <c r="M784" s="276">
        <f>ROUND(BA70,0)</f>
        <v>0</v>
      </c>
      <c r="N784" s="276"/>
      <c r="O784" s="276"/>
      <c r="P784" s="276">
        <f>IF(BA76&gt;0,ROUND(BA76,0),0)</f>
        <v>1108</v>
      </c>
      <c r="Q784" s="276">
        <f>IF(BA77&gt;0,ROUND(BA77,0),0)</f>
        <v>0</v>
      </c>
      <c r="R784" s="276">
        <f>IF(BA78&gt;0,ROUND(BA78,0),0)</f>
        <v>1108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026*2017*8360*A</v>
      </c>
      <c r="B785" s="276"/>
      <c r="C785" s="278">
        <f>ROUND(BB60,2)</f>
        <v>17.8</v>
      </c>
      <c r="D785" s="276">
        <f>ROUND(BB61,0)</f>
        <v>1739478</v>
      </c>
      <c r="E785" s="276">
        <f>ROUND(BB62,0)</f>
        <v>479432</v>
      </c>
      <c r="F785" s="276">
        <f>ROUND(BB63,0)</f>
        <v>0</v>
      </c>
      <c r="G785" s="276">
        <f>ROUND(BB64,0)</f>
        <v>1380</v>
      </c>
      <c r="H785" s="276">
        <f>ROUND(BB65,0)</f>
        <v>0</v>
      </c>
      <c r="I785" s="276">
        <f>ROUND(BB66,0)</f>
        <v>3673</v>
      </c>
      <c r="J785" s="276">
        <f>ROUND(BB67,0)</f>
        <v>31618</v>
      </c>
      <c r="K785" s="276">
        <f>ROUND(BB68,0)</f>
        <v>0</v>
      </c>
      <c r="L785" s="276">
        <f>ROUND(BB69,0)</f>
        <v>83612</v>
      </c>
      <c r="M785" s="276">
        <f>ROUND(BB70,0)</f>
        <v>0</v>
      </c>
      <c r="N785" s="276"/>
      <c r="O785" s="276"/>
      <c r="P785" s="276">
        <f>IF(BB76&gt;0,ROUND(BB76,0),0)</f>
        <v>3836</v>
      </c>
      <c r="Q785" s="276">
        <f>IF(BB77&gt;0,ROUND(BB77,0),0)</f>
        <v>0</v>
      </c>
      <c r="R785" s="276">
        <f>IF(BB78&gt;0,ROUND(BB78,0),0)</f>
        <v>3836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026*2017*8370*A</v>
      </c>
      <c r="B786" s="276"/>
      <c r="C786" s="278">
        <f>ROUND(BC60,2)</f>
        <v>6.37</v>
      </c>
      <c r="D786" s="276">
        <f>ROUND(BC61,0)</f>
        <v>252473</v>
      </c>
      <c r="E786" s="276">
        <f>ROUND(BC62,0)</f>
        <v>101062</v>
      </c>
      <c r="F786" s="276">
        <f>ROUND(BC63,0)</f>
        <v>0</v>
      </c>
      <c r="G786" s="276">
        <f>ROUND(BC64,0)</f>
        <v>3886</v>
      </c>
      <c r="H786" s="276">
        <f>ROUND(BC65,0)</f>
        <v>0</v>
      </c>
      <c r="I786" s="276">
        <f>ROUND(BC66,0)</f>
        <v>19487</v>
      </c>
      <c r="J786" s="276">
        <f>ROUND(BC67,0)</f>
        <v>0</v>
      </c>
      <c r="K786" s="276">
        <f>ROUND(BC68,0)</f>
        <v>0</v>
      </c>
      <c r="L786" s="276">
        <f>ROUND(BC69,0)</f>
        <v>269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026*2017*8420*A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74</v>
      </c>
      <c r="H787" s="276">
        <f>ROUND(BD65,0)</f>
        <v>0</v>
      </c>
      <c r="I787" s="276">
        <f>ROUND(BD66,0)</f>
        <v>18</v>
      </c>
      <c r="J787" s="276">
        <f>ROUND(BD67,0)</f>
        <v>30098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3651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026*2017*8430*A</v>
      </c>
      <c r="B788" s="276">
        <f>ROUND(BE59,0)</f>
        <v>809833</v>
      </c>
      <c r="C788" s="278">
        <f>ROUND(BE60,2)</f>
        <v>33.340000000000003</v>
      </c>
      <c r="D788" s="276">
        <f>ROUND(BE61,0)</f>
        <v>2306947</v>
      </c>
      <c r="E788" s="276">
        <f>ROUND(BE62,0)</f>
        <v>742748</v>
      </c>
      <c r="F788" s="276">
        <f>ROUND(BE63,0)</f>
        <v>0</v>
      </c>
      <c r="G788" s="276">
        <f>ROUND(BE64,0)</f>
        <v>36477</v>
      </c>
      <c r="H788" s="276">
        <f>ROUND(BE65,0)</f>
        <v>2432189</v>
      </c>
      <c r="I788" s="276">
        <f>ROUND(BE66,0)</f>
        <v>3682761</v>
      </c>
      <c r="J788" s="276">
        <f>ROUND(BE67,0)</f>
        <v>2564659</v>
      </c>
      <c r="K788" s="276">
        <f>ROUND(BE68,0)</f>
        <v>55370</v>
      </c>
      <c r="L788" s="276">
        <f>ROUND(BE69,0)</f>
        <v>417835</v>
      </c>
      <c r="M788" s="276">
        <f>ROUND(BE70,0)</f>
        <v>7042</v>
      </c>
      <c r="N788" s="276"/>
      <c r="O788" s="276"/>
      <c r="P788" s="276">
        <f>IF(BE76&gt;0,ROUND(BE76,0),0)</f>
        <v>291751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026*2017*8460*A</v>
      </c>
      <c r="B789" s="276"/>
      <c r="C789" s="278">
        <f>ROUND(BF60,2)</f>
        <v>51.51</v>
      </c>
      <c r="D789" s="276">
        <f>ROUND(BF61,0)</f>
        <v>2197773</v>
      </c>
      <c r="E789" s="276">
        <f>ROUND(BF62,0)</f>
        <v>795016</v>
      </c>
      <c r="F789" s="276">
        <f>ROUND(BF63,0)</f>
        <v>0</v>
      </c>
      <c r="G789" s="276">
        <f>ROUND(BF64,0)</f>
        <v>342482</v>
      </c>
      <c r="H789" s="276">
        <f>ROUND(BF65,0)</f>
        <v>147026</v>
      </c>
      <c r="I789" s="276">
        <f>ROUND(BF66,0)</f>
        <v>117741</v>
      </c>
      <c r="J789" s="276">
        <f>ROUND(BF67,0)</f>
        <v>29084</v>
      </c>
      <c r="K789" s="276">
        <f>ROUND(BF68,0)</f>
        <v>0</v>
      </c>
      <c r="L789" s="276">
        <f>ROUND(BF69,0)</f>
        <v>137</v>
      </c>
      <c r="M789" s="276">
        <f>ROUND(BF70,0)</f>
        <v>0</v>
      </c>
      <c r="N789" s="276"/>
      <c r="O789" s="276"/>
      <c r="P789" s="276">
        <f>IF(BF76&gt;0,ROUND(BF76,0),0)</f>
        <v>2997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026*2017*8470*A</v>
      </c>
      <c r="B790" s="276"/>
      <c r="C790" s="278">
        <f>ROUND(BG60,2)</f>
        <v>12.37</v>
      </c>
      <c r="D790" s="276">
        <f>ROUND(BG61,0)</f>
        <v>486046</v>
      </c>
      <c r="E790" s="276">
        <f>ROUND(BG62,0)</f>
        <v>178206</v>
      </c>
      <c r="F790" s="276">
        <f>ROUND(BG63,0)</f>
        <v>0</v>
      </c>
      <c r="G790" s="276">
        <f>ROUND(BG64,0)</f>
        <v>2953</v>
      </c>
      <c r="H790" s="276">
        <f>ROUND(BG65,0)</f>
        <v>0</v>
      </c>
      <c r="I790" s="276">
        <f>ROUND(BG66,0)</f>
        <v>26544</v>
      </c>
      <c r="J790" s="276">
        <f>ROUND(BG67,0)</f>
        <v>218483</v>
      </c>
      <c r="K790" s="276">
        <f>ROUND(BG68,0)</f>
        <v>5932</v>
      </c>
      <c r="L790" s="276">
        <f>ROUND(BG69,0)</f>
        <v>95424</v>
      </c>
      <c r="M790" s="276">
        <f>ROUND(BG70,0)</f>
        <v>820</v>
      </c>
      <c r="N790" s="276"/>
      <c r="O790" s="276"/>
      <c r="P790" s="276">
        <f>IF(BG76&gt;0,ROUND(BG76,0),0)</f>
        <v>1626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026*2017*8480*A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47</v>
      </c>
      <c r="H791" s="276">
        <f>ROUND(BH65,0)</f>
        <v>0</v>
      </c>
      <c r="I791" s="276">
        <f>ROUND(BH66,0)</f>
        <v>0</v>
      </c>
      <c r="J791" s="276">
        <f>ROUND(BH67,0)</f>
        <v>220919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3441</v>
      </c>
      <c r="Q791" s="276">
        <f>IF(BH77&gt;0,ROUND(BH77,0),0)</f>
        <v>0</v>
      </c>
      <c r="R791" s="276">
        <f>IF(BH78&gt;0,ROUND(BH78,0),0)</f>
        <v>3441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026*2017*8490*A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026*2017*8510*A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026*2017*8530*A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172470</v>
      </c>
      <c r="J794" s="276">
        <f>ROUND(BK67,0)</f>
        <v>23810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2889</v>
      </c>
      <c r="Q794" s="276">
        <f>IF(BK77&gt;0,ROUND(BK77,0),0)</f>
        <v>0</v>
      </c>
      <c r="R794" s="276">
        <f>IF(BK78&gt;0,ROUND(BK78,0),0)</f>
        <v>2889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026*2017*8560*A</v>
      </c>
      <c r="B795" s="276"/>
      <c r="C795" s="278">
        <f>ROUND(BL60,2)</f>
        <v>58.32</v>
      </c>
      <c r="D795" s="276">
        <f>ROUND(BL61,0)</f>
        <v>3336875</v>
      </c>
      <c r="E795" s="276">
        <f>ROUND(BL62,0)</f>
        <v>1045736</v>
      </c>
      <c r="F795" s="276">
        <f>ROUND(BL63,0)</f>
        <v>0</v>
      </c>
      <c r="G795" s="276">
        <f>ROUND(BL64,0)</f>
        <v>9565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1728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026*2017*8590*A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026*2017*8610*A</v>
      </c>
      <c r="B797" s="276"/>
      <c r="C797" s="278">
        <f>ROUND(BN60,2)</f>
        <v>12.83</v>
      </c>
      <c r="D797" s="276">
        <f>ROUND(BN61,0)</f>
        <v>2712365</v>
      </c>
      <c r="E797" s="276">
        <f>ROUND(BN62,0)</f>
        <v>453994</v>
      </c>
      <c r="F797" s="276">
        <f>ROUND(BN63,0)</f>
        <v>0</v>
      </c>
      <c r="G797" s="276">
        <f>ROUND(BN64,0)</f>
        <v>27522</v>
      </c>
      <c r="H797" s="276">
        <f>ROUND(BN65,0)</f>
        <v>4500</v>
      </c>
      <c r="I797" s="276">
        <f>ROUND(BN66,0)</f>
        <v>25092286</v>
      </c>
      <c r="J797" s="276">
        <f>ROUND(BN67,0)</f>
        <v>6376369</v>
      </c>
      <c r="K797" s="276">
        <f>ROUND(BN68,0)</f>
        <v>0</v>
      </c>
      <c r="L797" s="276">
        <f>ROUND(BN69,0)</f>
        <v>2159829</v>
      </c>
      <c r="M797" s="276">
        <f>ROUND(BN70,0)</f>
        <v>-3</v>
      </c>
      <c r="N797" s="276"/>
      <c r="O797" s="276"/>
      <c r="P797" s="276">
        <f>IF(BN76&gt;0,ROUND(BN76,0),0)</f>
        <v>5740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026*2017*8620*A</v>
      </c>
      <c r="B798" s="276"/>
      <c r="C798" s="278">
        <f>ROUND(BO60,2)</f>
        <v>3</v>
      </c>
      <c r="D798" s="276">
        <f>ROUND(BO61,0)</f>
        <v>255390</v>
      </c>
      <c r="E798" s="276">
        <f>ROUND(BO62,0)</f>
        <v>66994</v>
      </c>
      <c r="F798" s="276">
        <f>ROUND(BO63,0)</f>
        <v>0</v>
      </c>
      <c r="G798" s="276">
        <f>ROUND(BO64,0)</f>
        <v>33247</v>
      </c>
      <c r="H798" s="276">
        <f>ROUND(BO65,0)</f>
        <v>0</v>
      </c>
      <c r="I798" s="276">
        <f>ROUND(BO66,0)</f>
        <v>26866</v>
      </c>
      <c r="J798" s="276">
        <f>ROUND(BO67,0)</f>
        <v>38740</v>
      </c>
      <c r="K798" s="276">
        <f>ROUND(BO68,0)</f>
        <v>0</v>
      </c>
      <c r="L798" s="276">
        <f>ROUND(BO69,0)</f>
        <v>367</v>
      </c>
      <c r="M798" s="276">
        <f>ROUND(BO70,0)</f>
        <v>0</v>
      </c>
      <c r="N798" s="276"/>
      <c r="O798" s="276"/>
      <c r="P798" s="276">
        <f>IF(BO76&gt;0,ROUND(BO76,0),0)</f>
        <v>4700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026*2017*8630*A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026*2017*8640*A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026*2017*8650*A</v>
      </c>
      <c r="B801" s="276"/>
      <c r="C801" s="278">
        <f>ROUND(BR60,2)</f>
        <v>1.08</v>
      </c>
      <c r="D801" s="276">
        <f>ROUND(BR61,0)</f>
        <v>73118</v>
      </c>
      <c r="E801" s="276">
        <f>ROUND(BR62,0)</f>
        <v>15862</v>
      </c>
      <c r="F801" s="276">
        <f>ROUND(BR63,0)</f>
        <v>0</v>
      </c>
      <c r="G801" s="276">
        <f>ROUND(BR64,0)</f>
        <v>17682</v>
      </c>
      <c r="H801" s="276">
        <f>ROUND(BR65,0)</f>
        <v>0</v>
      </c>
      <c r="I801" s="276">
        <f>ROUND(BR66,0)</f>
        <v>0</v>
      </c>
      <c r="J801" s="276">
        <f>ROUND(BR67,0)</f>
        <v>36082</v>
      </c>
      <c r="K801" s="276">
        <f>ROUND(BR68,0)</f>
        <v>0</v>
      </c>
      <c r="L801" s="276">
        <f>ROUND(BR69,0)</f>
        <v>721</v>
      </c>
      <c r="M801" s="276">
        <f>ROUND(BR70,0)</f>
        <v>19887</v>
      </c>
      <c r="N801" s="276"/>
      <c r="O801" s="276"/>
      <c r="P801" s="276">
        <f>IF(BR76&gt;0,ROUND(BR76,0),0)</f>
        <v>4313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026*2017*8660*A</v>
      </c>
      <c r="B802" s="276"/>
      <c r="C802" s="278">
        <f>ROUND(BS60,2)</f>
        <v>7.45</v>
      </c>
      <c r="D802" s="276">
        <f>ROUND(BS61,0)</f>
        <v>169528</v>
      </c>
      <c r="E802" s="276">
        <f>ROUND(BS62,0)</f>
        <v>154630</v>
      </c>
      <c r="F802" s="276">
        <f>ROUND(BS63,0)</f>
        <v>0</v>
      </c>
      <c r="G802" s="276">
        <f>ROUND(BS64,0)</f>
        <v>32994</v>
      </c>
      <c r="H802" s="276">
        <f>ROUND(BS65,0)</f>
        <v>0</v>
      </c>
      <c r="I802" s="276">
        <f>ROUND(BS66,0)</f>
        <v>4436</v>
      </c>
      <c r="J802" s="276">
        <f>ROUND(BS67,0)</f>
        <v>15542</v>
      </c>
      <c r="K802" s="276">
        <f>ROUND(BS68,0)</f>
        <v>0</v>
      </c>
      <c r="L802" s="276">
        <f>ROUND(BS69,0)</f>
        <v>4076</v>
      </c>
      <c r="M802" s="276">
        <f>ROUND(BS70,0)</f>
        <v>0</v>
      </c>
      <c r="N802" s="276"/>
      <c r="O802" s="276"/>
      <c r="P802" s="276">
        <f>IF(BS76&gt;0,ROUND(BS76,0),0)</f>
        <v>1881</v>
      </c>
      <c r="Q802" s="276">
        <f>IF(BS77&gt;0,ROUND(BS77,0),0)</f>
        <v>0</v>
      </c>
      <c r="R802" s="276">
        <f>IF(BS78&gt;0,ROUND(BS78,0),0)</f>
        <v>1881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026*2017*8670*A</v>
      </c>
      <c r="B803" s="276"/>
      <c r="C803" s="278">
        <f>ROUND(BT60,2)</f>
        <v>5.31</v>
      </c>
      <c r="D803" s="276">
        <f>ROUND(BT61,0)</f>
        <v>451560</v>
      </c>
      <c r="E803" s="276">
        <f>ROUND(BT62,0)</f>
        <v>114775</v>
      </c>
      <c r="F803" s="276">
        <f>ROUND(BT63,0)</f>
        <v>0</v>
      </c>
      <c r="G803" s="276">
        <f>ROUND(BT64,0)</f>
        <v>2086</v>
      </c>
      <c r="H803" s="276">
        <f>ROUND(BT65,0)</f>
        <v>600</v>
      </c>
      <c r="I803" s="276">
        <f>ROUND(BT66,0)</f>
        <v>4870</v>
      </c>
      <c r="J803" s="276">
        <f>ROUND(BT67,0)</f>
        <v>18968</v>
      </c>
      <c r="K803" s="276">
        <f>ROUND(BT68,0)</f>
        <v>0</v>
      </c>
      <c r="L803" s="276">
        <f>ROUND(BT69,0)</f>
        <v>3403</v>
      </c>
      <c r="M803" s="276">
        <f>ROUND(BT70,0)</f>
        <v>0</v>
      </c>
      <c r="N803" s="276"/>
      <c r="O803" s="276"/>
      <c r="P803" s="276">
        <f>IF(BT76&gt;0,ROUND(BT76,0),0)</f>
        <v>2160</v>
      </c>
      <c r="Q803" s="276">
        <f>IF(BT77&gt;0,ROUND(BT77,0),0)</f>
        <v>0</v>
      </c>
      <c r="R803" s="276">
        <f>IF(BT78&gt;0,ROUND(BT78,0),0)</f>
        <v>2160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026*2017*8680*A</v>
      </c>
      <c r="B804" s="276"/>
      <c r="C804" s="278">
        <f>ROUND(BU60,2)</f>
        <v>1</v>
      </c>
      <c r="D804" s="276">
        <f>ROUND(BU61,0)</f>
        <v>77008</v>
      </c>
      <c r="E804" s="276">
        <f>ROUND(BU62,0)</f>
        <v>29731</v>
      </c>
      <c r="F804" s="276">
        <f>ROUND(BU63,0)</f>
        <v>0</v>
      </c>
      <c r="G804" s="276">
        <f>ROUND(BU64,0)</f>
        <v>150</v>
      </c>
      <c r="H804" s="276">
        <f>ROUND(BU65,0)</f>
        <v>0</v>
      </c>
      <c r="I804" s="276">
        <f>ROUND(BU66,0)</f>
        <v>0</v>
      </c>
      <c r="J804" s="276">
        <f>ROUND(BU67,0)</f>
        <v>7013</v>
      </c>
      <c r="K804" s="276">
        <f>ROUND(BU68,0)</f>
        <v>0</v>
      </c>
      <c r="L804" s="276">
        <f>ROUND(BU69,0)</f>
        <v>81020</v>
      </c>
      <c r="M804" s="276">
        <f>ROUND(BU70,0)</f>
        <v>7393</v>
      </c>
      <c r="N804" s="276"/>
      <c r="O804" s="276"/>
      <c r="P804" s="276">
        <f>IF(BU76&gt;0,ROUND(BU76,0),0)</f>
        <v>851</v>
      </c>
      <c r="Q804" s="276">
        <f>IF(BU77&gt;0,ROUND(BU77,0),0)</f>
        <v>0</v>
      </c>
      <c r="R804" s="276">
        <f>IF(BU78&gt;0,ROUND(BU78,0),0)</f>
        <v>851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026*2017*8690*A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303652</v>
      </c>
      <c r="J805" s="276">
        <f>ROUND(BV67,0)</f>
        <v>50051</v>
      </c>
      <c r="K805" s="276">
        <f>ROUND(BV68,0)</f>
        <v>0</v>
      </c>
      <c r="L805" s="276">
        <f>ROUND(BV69,0)</f>
        <v>2910</v>
      </c>
      <c r="M805" s="276">
        <f>ROUND(BV70,0)</f>
        <v>0</v>
      </c>
      <c r="N805" s="276"/>
      <c r="O805" s="276"/>
      <c r="P805" s="276">
        <f>IF(BV76&gt;0,ROUND(BV76,0),0)</f>
        <v>6072</v>
      </c>
      <c r="Q805" s="276">
        <f>IF(BV77&gt;0,ROUND(BV77,0),0)</f>
        <v>0</v>
      </c>
      <c r="R805" s="276">
        <f>IF(BV78&gt;0,ROUND(BV78,0),0)</f>
        <v>6072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026*2017*8700*A</v>
      </c>
      <c r="B806" s="276"/>
      <c r="C806" s="278">
        <f>ROUND(BW60,2)</f>
        <v>2.37</v>
      </c>
      <c r="D806" s="276">
        <f>ROUND(BW61,0)</f>
        <v>215475</v>
      </c>
      <c r="E806" s="276">
        <f>ROUND(BW62,0)</f>
        <v>56197</v>
      </c>
      <c r="F806" s="276">
        <f>ROUND(BW63,0)</f>
        <v>18500</v>
      </c>
      <c r="G806" s="276">
        <f>ROUND(BW64,0)</f>
        <v>27048</v>
      </c>
      <c r="H806" s="276">
        <f>ROUND(BW65,0)</f>
        <v>0</v>
      </c>
      <c r="I806" s="276">
        <f>ROUND(BW66,0)</f>
        <v>14004</v>
      </c>
      <c r="J806" s="276">
        <f>ROUND(BW67,0)</f>
        <v>3462</v>
      </c>
      <c r="K806" s="276">
        <f>ROUND(BW68,0)</f>
        <v>0</v>
      </c>
      <c r="L806" s="276">
        <f>ROUND(BW69,0)</f>
        <v>81665</v>
      </c>
      <c r="M806" s="276">
        <f>ROUND(BW70,0)</f>
        <v>0</v>
      </c>
      <c r="N806" s="276"/>
      <c r="O806" s="276"/>
      <c r="P806" s="276">
        <f>IF(BW76&gt;0,ROUND(BW76,0),0)</f>
        <v>420</v>
      </c>
      <c r="Q806" s="276">
        <f>IF(BW77&gt;0,ROUND(BW77,0),0)</f>
        <v>0</v>
      </c>
      <c r="R806" s="276">
        <f>IF(BW78&gt;0,ROUND(BW78,0),0)</f>
        <v>420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026*2017*8710*A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18703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2269</v>
      </c>
      <c r="Q807" s="276">
        <f>IF(BX77&gt;0,ROUND(BX77,0),0)</f>
        <v>0</v>
      </c>
      <c r="R807" s="276">
        <f>IF(BX78&gt;0,ROUND(BX78,0),0)</f>
        <v>2269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026*2017*8720*A</v>
      </c>
      <c r="B808" s="276"/>
      <c r="C808" s="278">
        <f>ROUND(BY60,2)</f>
        <v>2.91</v>
      </c>
      <c r="D808" s="276">
        <f>ROUND(BY61,0)</f>
        <v>292241</v>
      </c>
      <c r="E808" s="276">
        <f>ROUND(BY62,0)</f>
        <v>81410</v>
      </c>
      <c r="F808" s="276">
        <f>ROUND(BY63,0)</f>
        <v>0</v>
      </c>
      <c r="G808" s="276">
        <f>ROUND(BY64,0)</f>
        <v>5353</v>
      </c>
      <c r="H808" s="276">
        <f>ROUND(BY65,0)</f>
        <v>600</v>
      </c>
      <c r="I808" s="276">
        <f>ROUND(BY66,0)</f>
        <v>610</v>
      </c>
      <c r="J808" s="276">
        <f>ROUND(BY67,0)</f>
        <v>126119</v>
      </c>
      <c r="K808" s="276">
        <f>ROUND(BY68,0)</f>
        <v>0</v>
      </c>
      <c r="L808" s="276">
        <f>ROUND(BY69,0)</f>
        <v>107919</v>
      </c>
      <c r="M808" s="276">
        <f>ROUND(BY70,0)</f>
        <v>0</v>
      </c>
      <c r="N808" s="276"/>
      <c r="O808" s="276"/>
      <c r="P808" s="276">
        <f>IF(BY76&gt;0,ROUND(BY76,0),0)</f>
        <v>2602</v>
      </c>
      <c r="Q808" s="276">
        <f>IF(BY77&gt;0,ROUND(BY77,0),0)</f>
        <v>0</v>
      </c>
      <c r="R808" s="276">
        <f>IF(BY78&gt;0,ROUND(BY78,0),0)</f>
        <v>2602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026*2017*8730*A</v>
      </c>
      <c r="B809" s="276"/>
      <c r="C809" s="278">
        <f>ROUND(BZ60,2)</f>
        <v>11.36</v>
      </c>
      <c r="D809" s="276">
        <f>ROUND(BZ61,0)</f>
        <v>1200051</v>
      </c>
      <c r="E809" s="276">
        <f>ROUND(BZ62,0)</f>
        <v>341699</v>
      </c>
      <c r="F809" s="276">
        <f>ROUND(BZ63,0)</f>
        <v>0</v>
      </c>
      <c r="G809" s="276">
        <f>ROUND(BZ64,0)</f>
        <v>1624</v>
      </c>
      <c r="H809" s="276">
        <f>ROUND(BZ65,0)</f>
        <v>50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105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026*2017*8740*A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93829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11383</v>
      </c>
      <c r="Q810" s="276">
        <f>IF(CA77&gt;0,ROUND(CA77,0),0)</f>
        <v>0</v>
      </c>
      <c r="R810" s="276">
        <f>IF(CA78&gt;0,ROUND(CA78,0),0)</f>
        <v>11383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026*2017*8770*A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026*2017*8790*A</v>
      </c>
      <c r="B812" s="276"/>
      <c r="C812" s="278">
        <f>ROUND(CC60,2)</f>
        <v>25</v>
      </c>
      <c r="D812" s="276">
        <f>ROUND(CC61,0)</f>
        <v>2615087</v>
      </c>
      <c r="E812" s="276">
        <f>ROUND(CC62,0)</f>
        <v>607150</v>
      </c>
      <c r="F812" s="276">
        <f>ROUND(CC63,0)</f>
        <v>0</v>
      </c>
      <c r="G812" s="276">
        <f>ROUND(CC64,0)</f>
        <v>892535</v>
      </c>
      <c r="H812" s="276">
        <f>ROUND(CC65,0)</f>
        <v>1150</v>
      </c>
      <c r="I812" s="276">
        <f>ROUND(CC66,0)</f>
        <v>9837383</v>
      </c>
      <c r="J812" s="276">
        <f>ROUND(CC67,0)</f>
        <v>1875143</v>
      </c>
      <c r="K812" s="276">
        <f>ROUND(CC68,0)</f>
        <v>1581</v>
      </c>
      <c r="L812" s="276">
        <f>ROUND(CC69,0)</f>
        <v>284006</v>
      </c>
      <c r="M812" s="276">
        <f>ROUND(CC70,0)</f>
        <v>403642</v>
      </c>
      <c r="N812" s="276"/>
      <c r="O812" s="276"/>
      <c r="P812" s="276">
        <f>IF(CC76&gt;0,ROUND(CC76,0),0)</f>
        <v>114817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026*2017*9000*A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7204118</v>
      </c>
      <c r="V813" s="277">
        <f>ROUND(CD70,0)</f>
        <v>-4886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1002</v>
      </c>
      <c r="C815" s="281">
        <f t="shared" ref="C815:K815" si="22">SUM(C734:C813)</f>
        <v>1234.8499999999995</v>
      </c>
      <c r="D815" s="277">
        <f t="shared" si="22"/>
        <v>111229924</v>
      </c>
      <c r="E815" s="277">
        <f t="shared" si="22"/>
        <v>28056464</v>
      </c>
      <c r="F815" s="277">
        <f t="shared" si="22"/>
        <v>4369979</v>
      </c>
      <c r="G815" s="277">
        <f t="shared" si="22"/>
        <v>31159706</v>
      </c>
      <c r="H815" s="277">
        <f t="shared" si="22"/>
        <v>2609704</v>
      </c>
      <c r="I815" s="277">
        <f t="shared" si="22"/>
        <v>48304450</v>
      </c>
      <c r="J815" s="277">
        <f t="shared" si="22"/>
        <v>18647847</v>
      </c>
      <c r="K815" s="277">
        <f t="shared" si="22"/>
        <v>885500</v>
      </c>
      <c r="L815" s="277">
        <f>SUM(L734:L813)+SUM(U734:U813)</f>
        <v>11515547</v>
      </c>
      <c r="M815" s="277">
        <f>SUM(M734:M813)+SUM(V734:V813)</f>
        <v>4417756</v>
      </c>
      <c r="N815" s="277">
        <f t="shared" ref="N815:Y815" si="23">SUM(N734:N813)</f>
        <v>717656938</v>
      </c>
      <c r="O815" s="277">
        <f t="shared" si="23"/>
        <v>284692060</v>
      </c>
      <c r="P815" s="277">
        <f t="shared" si="23"/>
        <v>809835</v>
      </c>
      <c r="Q815" s="277">
        <f t="shared" si="23"/>
        <v>104927</v>
      </c>
      <c r="R815" s="277">
        <f t="shared" si="23"/>
        <v>368112</v>
      </c>
      <c r="S815" s="277">
        <f t="shared" si="23"/>
        <v>976099</v>
      </c>
      <c r="T815" s="281">
        <f t="shared" si="23"/>
        <v>225.38</v>
      </c>
      <c r="U815" s="277">
        <f t="shared" si="23"/>
        <v>7204118</v>
      </c>
      <c r="V815" s="277">
        <f t="shared" si="23"/>
        <v>-4886</v>
      </c>
      <c r="W815" s="277">
        <f t="shared" si="23"/>
        <v>0</v>
      </c>
      <c r="X815" s="277">
        <f t="shared" si="23"/>
        <v>0</v>
      </c>
      <c r="Y815" s="277">
        <f t="shared" si="23"/>
        <v>91332835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1003</v>
      </c>
      <c r="C816" s="281">
        <f>CE60</f>
        <v>1234.8908678451442</v>
      </c>
      <c r="D816" s="277">
        <f>CE61</f>
        <v>111229919.67000005</v>
      </c>
      <c r="E816" s="277">
        <f>CE62</f>
        <v>28056464</v>
      </c>
      <c r="F816" s="277">
        <f>CE63</f>
        <v>4369979.54</v>
      </c>
      <c r="G816" s="277">
        <f>CE64</f>
        <v>31159704.320000004</v>
      </c>
      <c r="H816" s="280">
        <f>CE65</f>
        <v>2609703.2899999996</v>
      </c>
      <c r="I816" s="280">
        <f>CE66</f>
        <v>48304449.029999994</v>
      </c>
      <c r="J816" s="280">
        <f>CE67</f>
        <v>18647847</v>
      </c>
      <c r="K816" s="280">
        <f>CE68</f>
        <v>885501.1399999999</v>
      </c>
      <c r="L816" s="280">
        <f>CE69</f>
        <v>11515548.17</v>
      </c>
      <c r="M816" s="280">
        <f>CE70</f>
        <v>4417755.620000002</v>
      </c>
      <c r="N816" s="277">
        <f>CE75</f>
        <v>717656940.67000008</v>
      </c>
      <c r="O816" s="277">
        <f>CE73</f>
        <v>284692059.28999996</v>
      </c>
      <c r="P816" s="277">
        <f>CE76</f>
        <v>809833.49400000018</v>
      </c>
      <c r="Q816" s="277">
        <f>CE77</f>
        <v>104927</v>
      </c>
      <c r="R816" s="277">
        <f>CE78</f>
        <v>368111.9</v>
      </c>
      <c r="S816" s="277">
        <f>CE79</f>
        <v>976100.00000000023</v>
      </c>
      <c r="T816" s="281">
        <f>CE80</f>
        <v>225.37089316373667</v>
      </c>
      <c r="U816" s="277" t="s">
        <v>1004</v>
      </c>
      <c r="V816" s="277" t="s">
        <v>1004</v>
      </c>
      <c r="W816" s="277" t="s">
        <v>1004</v>
      </c>
      <c r="X816" s="277" t="s">
        <v>1004</v>
      </c>
      <c r="Y816" s="277">
        <f>M716</f>
        <v>91332834.529999971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469</v>
      </c>
      <c r="C817" s="199" t="s">
        <v>1005</v>
      </c>
      <c r="D817" s="180">
        <f>C378</f>
        <v>111229919.67000005</v>
      </c>
      <c r="E817" s="180">
        <f>C379</f>
        <v>28056463</v>
      </c>
      <c r="F817" s="180">
        <f>C380</f>
        <v>4369979.54</v>
      </c>
      <c r="G817" s="240">
        <f>C381</f>
        <v>31159704.320000004</v>
      </c>
      <c r="H817" s="240">
        <f>C382</f>
        <v>2609703.2899999996</v>
      </c>
      <c r="I817" s="240">
        <f>C383</f>
        <v>48304449.029999994</v>
      </c>
      <c r="J817" s="240">
        <f>C384</f>
        <v>18647841.760000002</v>
      </c>
      <c r="K817" s="240">
        <f>C385</f>
        <v>885501.1399999999</v>
      </c>
      <c r="L817" s="240">
        <f>C386+C387+C388+C389</f>
        <v>11515548.17</v>
      </c>
      <c r="M817" s="240">
        <f>C370</f>
        <v>4417755.620000002</v>
      </c>
      <c r="N817" s="180">
        <f>D361</f>
        <v>717656940.66999996</v>
      </c>
      <c r="O817" s="180">
        <f>C359</f>
        <v>284692059.28999996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PeaceHealth St. John Medical Center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2018-10-31T21:35:23Z</cp:lastPrinted>
  <dcterms:created xsi:type="dcterms:W3CDTF">1999-06-02T22:01:56Z</dcterms:created>
  <dcterms:modified xsi:type="dcterms:W3CDTF">2018-11-07T18:55:14Z</dcterms:modified>
</cp:coreProperties>
</file>