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SJ Data" sheetId="11" r:id="rId2"/>
    <sheet name="Transmittal" sheetId="2" r:id="rId3"/>
    <sheet name="INFO_PG1" sheetId="3" r:id="rId4"/>
    <sheet name="INFO_PG2" sheetId="4" r:id="rId5"/>
    <sheet name="SS2_3_5_6" sheetId="5" r:id="rId6"/>
    <sheet name="SS4" sheetId="6" r:id="rId7"/>
    <sheet name="SS8" sheetId="7" r:id="rId8"/>
    <sheet name="FS" sheetId="8" r:id="rId9"/>
    <sheet name="CC's" sheetId="9" r:id="rId10"/>
    <sheet name="Prior Year" sheetId="10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P">#REF!</definedName>
    <definedName name="_Fill" localSheetId="10" hidden="1">'Prior Year'!$DR$819:$DR$864</definedName>
    <definedName name="_Fill" hidden="1">data!$DR$822:$DR$867</definedName>
    <definedName name="_MAY2000">#REF!</definedName>
    <definedName name="A">#REF!</definedName>
    <definedName name="AccountingPeriod">#REF!</definedName>
    <definedName name="Actual">#REF!</definedName>
    <definedName name="again">[1]Sheet1!$A$1:$C$432</definedName>
    <definedName name="ann">#REF!</definedName>
    <definedName name="annie">#REF!</definedName>
    <definedName name="APdata">#REF!</definedName>
    <definedName name="APRIL2000">#REF!</definedName>
    <definedName name="AutoReverse">#REF!</definedName>
    <definedName name="B">#REF!</definedName>
    <definedName name="BALANCEDTOTALS">#REF!</definedName>
    <definedName name="BEST">#REF!</definedName>
    <definedName name="BOTH">#REF!</definedName>
    <definedName name="Budget">#REF!</definedName>
    <definedName name="CAPITAL">#REF!</definedName>
    <definedName name="ClearRange">#REF!</definedName>
    <definedName name="ColumnNumber">[2]DEFAULTS!$B$16</definedName>
    <definedName name="Company">#REF!</definedName>
    <definedName name="Consolidated_Actual">#REF!</definedName>
    <definedName name="Consolidated_Budget">#REF!</definedName>
    <definedName name="Consolidated_Prior">#REF!</definedName>
    <definedName name="Costcenter" localSheetId="10">'Prior Year'!#REF!</definedName>
    <definedName name="Costcenter">data!#REF!</definedName>
    <definedName name="cris">#REF!</definedName>
    <definedName name="DataArea">#REF!</definedName>
    <definedName name="_xlnm.Database">#REF!</definedName>
    <definedName name="DataRange">#REF!</definedName>
    <definedName name="dave">'[3]Jun06 worksheet'!#REF!</definedName>
    <definedName name="deb">#REF!</definedName>
    <definedName name="Deductions">#REF!</definedName>
    <definedName name="den">#REF!</definedName>
    <definedName name="DESC">#REF!</definedName>
    <definedName name="Description">#REF!</definedName>
    <definedName name="DescriptionDefault">#REF!</definedName>
    <definedName name="drey">#REF!</definedName>
    <definedName name="E1_Actual">#REF!</definedName>
    <definedName name="E1_Budget">#REF!</definedName>
    <definedName name="E1_Prior">#REF!</definedName>
    <definedName name="E2_Actual">#REF!</definedName>
    <definedName name="E2_Budget">#REF!</definedName>
    <definedName name="E2_Prior">#REF!</definedName>
    <definedName name="E3_Actual">#REF!</definedName>
    <definedName name="E3_Budget">#REF!</definedName>
    <definedName name="E3_Prior">#REF!</definedName>
    <definedName name="Edit" localSheetId="10">'Prior Year'!$A$410:$E$477</definedName>
    <definedName name="Edit">data!$A$411:$E$478</definedName>
    <definedName name="EDUC">#REF!</definedName>
    <definedName name="Eliminations_Actual">#REF!</definedName>
    <definedName name="Eliminations_Budget">#REF!</definedName>
    <definedName name="Eliminations_Prior">#REF!</definedName>
    <definedName name="EntryDate">#REF!</definedName>
    <definedName name="Expenses">#REF!</definedName>
    <definedName name="fac">[4]fac!$A$1:$AA$398</definedName>
    <definedName name="files1">#REF!</definedName>
    <definedName name="FiscalYear">#REF!</definedName>
    <definedName name="fundeddeprec">#REF!</definedName>
    <definedName name="Funds" localSheetId="10">'Prior Year'!#REF!</definedName>
    <definedName name="Funds">data!#REF!</definedName>
    <definedName name="george">#REF!</definedName>
    <definedName name="glor">#REF!</definedName>
    <definedName name="gloria">#REF!</definedName>
    <definedName name="HeaderRange">#REF!</definedName>
    <definedName name="HELP">#REF!</definedName>
    <definedName name="Hospital" localSheetId="10">'Prior Year'!#REF!</definedName>
    <definedName name="Hospital">data!#REF!</definedName>
    <definedName name="Input">#REF!</definedName>
    <definedName name="Instr_Setup">#REF!</definedName>
    <definedName name="INV">#REF!</definedName>
    <definedName name="jann">#REF!</definedName>
    <definedName name="JEType">#REF!</definedName>
    <definedName name="JV">#REF!</definedName>
    <definedName name="kris">#REF!</definedName>
    <definedName name="Liabilities">#REF!</definedName>
    <definedName name="liz">#REF!</definedName>
    <definedName name="look">#REF!</definedName>
    <definedName name="Month">[5]Start!$A$2,[5]Start!$H$26:$H$61</definedName>
    <definedName name="months">[5]Start!$A$2,[5]Start!$H$26:$H$61</definedName>
    <definedName name="mysortrange">"a3:z1360"</definedName>
    <definedName name="nada">'[6]03-06'!#REF!</definedName>
    <definedName name="names">'[1]Aug 06'!#REF!</definedName>
    <definedName name="New">#REF!</definedName>
    <definedName name="nnn">#REF!</definedName>
    <definedName name="OOR">#REF!</definedName>
    <definedName name="pam">#REF!</definedName>
    <definedName name="pan">#REF!</definedName>
    <definedName name="pool">#REF!</definedName>
    <definedName name="poolplusfundeddeprec">#REF!</definedName>
    <definedName name="_xlnm.Print_Area" localSheetId="9">'CC''s'!$A$1:$I$384</definedName>
    <definedName name="_xlnm.Print_Area" localSheetId="0">data!$A$411:$E$478</definedName>
    <definedName name="_xlnm.Print_Area" localSheetId="8">FS!$A$1:$D$153</definedName>
    <definedName name="_xlnm.Print_Area" localSheetId="3">INFO_PG1!$A$1:$G$40</definedName>
    <definedName name="_xlnm.Print_Area" localSheetId="4">INFO_PG2!$A$1:$G$33</definedName>
    <definedName name="_xlnm.Print_Area" localSheetId="10">'Prior Year'!$A$410:$E$477</definedName>
    <definedName name="_xlnm.Print_Area" localSheetId="5">SS2_3_5_6!$A$1:$C$40</definedName>
    <definedName name="_xlnm.Print_Area" localSheetId="6">'SS4'!$A$1:$F$32</definedName>
    <definedName name="_xlnm.Print_Area" localSheetId="7">'SS8'!$A$1:$D$34</definedName>
    <definedName name="PRINT_AREA_MI">#REF!</definedName>
    <definedName name="PrintArea">#REF!</definedName>
    <definedName name="Prior">#REF!</definedName>
    <definedName name="Record_Mode">#REF!</definedName>
    <definedName name="Reference">#REF!</definedName>
    <definedName name="Report">#REF!</definedName>
    <definedName name="rest">#REF!</definedName>
    <definedName name="Result40_1">#REF!</definedName>
    <definedName name="Result40_2">#REF!</definedName>
    <definedName name="Results">#REF!</definedName>
    <definedName name="scpcmb">#REF!</definedName>
    <definedName name="SCRECON">#REF!</definedName>
    <definedName name="SFRECON">#REF!</definedName>
    <definedName name="smoke">#REF!</definedName>
    <definedName name="SortRange">#REF!</definedName>
    <definedName name="SourceCode">#REF!</definedName>
    <definedName name="Spec">#REF!</definedName>
    <definedName name="stev">[6]MC!#REF!</definedName>
    <definedName name="steve">#REF!</definedName>
    <definedName name="sue">#REF!</definedName>
    <definedName name="SUM">#REF!</definedName>
    <definedName name="Support" localSheetId="10">'Prior Year'!#REF!</definedName>
    <definedName name="Support">data!#REF!</definedName>
    <definedName name="System">#REF!</definedName>
    <definedName name="Tables_AutoReverse">[7]Tables!$E$5:$E$6</definedName>
    <definedName name="Tables_DescDefault">[7]Tables!$B$5:$B$6</definedName>
    <definedName name="Tables_JEType">[7]Tables!$H$5:$H$6</definedName>
    <definedName name="Titles">#REF!</definedName>
    <definedName name="TopSection">#REF!</definedName>
    <definedName name="Z_71E024E8_30E9_4800_A5BD_86FF6413DD82_.wvu.PrintArea" hidden="1">#REF!</definedName>
  </definedNames>
  <calcPr calcId="152511"/>
</workbook>
</file>

<file path=xl/calcChain.xml><?xml version="1.0" encoding="utf-8"?>
<calcChain xmlns="http://schemas.openxmlformats.org/spreadsheetml/2006/main">
  <c r="C142" i="1" l="1"/>
  <c r="D213" i="1"/>
  <c r="C213" i="1"/>
  <c r="D215" i="1" l="1"/>
  <c r="D212" i="1"/>
  <c r="D210" i="1"/>
  <c r="C210" i="1"/>
  <c r="C383" i="1"/>
  <c r="C384" i="1"/>
  <c r="B52" i="1"/>
  <c r="B51" i="1"/>
  <c r="C172" i="1" l="1"/>
  <c r="B215" i="1"/>
  <c r="B211" i="1"/>
  <c r="B210" i="1"/>
  <c r="E78" i="1" l="1"/>
  <c r="E79" i="1" l="1"/>
  <c r="C77" i="1" l="1"/>
  <c r="AZ59" i="1" l="1"/>
  <c r="D138" i="1" l="1"/>
  <c r="D142" i="1"/>
  <c r="D141" i="1"/>
  <c r="C141" i="1"/>
  <c r="B141" i="1"/>
  <c r="D139" i="1"/>
  <c r="C139" i="1"/>
  <c r="B139" i="1"/>
  <c r="C138" i="1"/>
  <c r="B138" i="1"/>
  <c r="J59" i="1" l="1"/>
  <c r="C59" i="1"/>
  <c r="Q59" i="1" l="1"/>
  <c r="P59" i="1"/>
  <c r="O59" i="1"/>
  <c r="H59" i="1"/>
  <c r="G59" i="1"/>
  <c r="E59" i="1"/>
  <c r="AV74" i="1" l="1"/>
  <c r="AV73" i="1"/>
  <c r="AV69" i="1"/>
  <c r="CD69" i="1"/>
  <c r="AV70" i="1"/>
  <c r="AV68" i="1"/>
  <c r="CC68" i="1"/>
  <c r="CC61" i="1"/>
  <c r="CC66" i="1"/>
  <c r="AV64" i="1"/>
  <c r="AV63" i="1"/>
  <c r="CC63" i="1"/>
  <c r="CC47" i="1"/>
  <c r="CC60" i="1" l="1"/>
  <c r="AV60" i="1"/>
  <c r="AU74" i="1" l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4" i="1"/>
  <c r="C73" i="1"/>
  <c r="CD70" i="1"/>
  <c r="CC70" i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C69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70" i="1"/>
  <c r="C69" i="1"/>
  <c r="C68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6" i="1"/>
  <c r="C65" i="1"/>
  <c r="C64" i="1"/>
  <c r="C63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CC51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R66" i="11" l="1"/>
  <c r="Q66" i="11"/>
  <c r="P66" i="11"/>
  <c r="N66" i="11"/>
  <c r="M66" i="11"/>
  <c r="L66" i="11"/>
  <c r="K66" i="11"/>
  <c r="J66" i="11"/>
  <c r="H66" i="11"/>
  <c r="G66" i="11"/>
  <c r="F66" i="11"/>
  <c r="E66" i="11"/>
  <c r="D66" i="11"/>
  <c r="C66" i="11"/>
  <c r="I66" i="11" l="1"/>
  <c r="B47" i="1"/>
  <c r="O66" i="11"/>
  <c r="C203" i="1"/>
  <c r="D200" i="1"/>
  <c r="D199" i="1"/>
  <c r="D202" i="1"/>
  <c r="C200" i="1"/>
  <c r="C199" i="1"/>
  <c r="C202" i="1"/>
  <c r="C197" i="1"/>
  <c r="C238" i="1" l="1"/>
  <c r="C366" i="1" s="1"/>
  <c r="C364" i="1" s="1"/>
  <c r="C228" i="1"/>
  <c r="C226" i="1"/>
  <c r="C224" i="1"/>
  <c r="C223" i="1"/>
  <c r="C227" i="1" s="1"/>
  <c r="C389" i="1"/>
  <c r="C387" i="1"/>
  <c r="C378" i="1"/>
  <c r="C370" i="1"/>
  <c r="C360" i="1"/>
  <c r="C326" i="1"/>
  <c r="C307" i="1"/>
  <c r="C282" i="1"/>
  <c r="C281" i="1"/>
  <c r="C274" i="1"/>
  <c r="C269" i="1"/>
  <c r="C255" i="1"/>
  <c r="C253" i="1"/>
  <c r="C234" i="1"/>
  <c r="C180" i="1"/>
  <c r="C179" i="1"/>
  <c r="C176" i="1"/>
  <c r="C170" i="1"/>
  <c r="C169" i="1"/>
  <c r="C168" i="1"/>
  <c r="F493" i="1" l="1"/>
  <c r="D493" i="1"/>
  <c r="A493" i="1"/>
  <c r="B493" i="1"/>
  <c r="O817" i="10"/>
  <c r="K817" i="10"/>
  <c r="J817" i="10"/>
  <c r="H817" i="10"/>
  <c r="G817" i="10"/>
  <c r="F817" i="10"/>
  <c r="E817" i="10"/>
  <c r="R816" i="10"/>
  <c r="X815" i="10"/>
  <c r="X813" i="10"/>
  <c r="W813" i="10"/>
  <c r="W815" i="10" s="1"/>
  <c r="A813" i="10"/>
  <c r="T812" i="10"/>
  <c r="S812" i="10"/>
  <c r="R812" i="10"/>
  <c r="Q812" i="10"/>
  <c r="P812" i="10"/>
  <c r="C812" i="10"/>
  <c r="A812" i="10"/>
  <c r="T811" i="10"/>
  <c r="S811" i="10"/>
  <c r="R811" i="10"/>
  <c r="Q811" i="10"/>
  <c r="P811" i="10"/>
  <c r="A811" i="10"/>
  <c r="T810" i="10"/>
  <c r="S810" i="10"/>
  <c r="R810" i="10"/>
  <c r="Q810" i="10"/>
  <c r="P810" i="10"/>
  <c r="C810" i="10"/>
  <c r="A810" i="10"/>
  <c r="T809" i="10"/>
  <c r="S809" i="10"/>
  <c r="R809" i="10"/>
  <c r="Q809" i="10"/>
  <c r="P809" i="10"/>
  <c r="C809" i="10"/>
  <c r="A809" i="10"/>
  <c r="T808" i="10"/>
  <c r="S808" i="10"/>
  <c r="R808" i="10"/>
  <c r="Q808" i="10"/>
  <c r="P808" i="10"/>
  <c r="C808" i="10"/>
  <c r="A808" i="10"/>
  <c r="T807" i="10"/>
  <c r="S807" i="10"/>
  <c r="R807" i="10"/>
  <c r="Q807" i="10"/>
  <c r="P807" i="10"/>
  <c r="C807" i="10"/>
  <c r="A807" i="10"/>
  <c r="T806" i="10"/>
  <c r="S806" i="10"/>
  <c r="R806" i="10"/>
  <c r="Q806" i="10"/>
  <c r="P806" i="10"/>
  <c r="C806" i="10"/>
  <c r="A806" i="10"/>
  <c r="T805" i="10"/>
  <c r="S805" i="10"/>
  <c r="R805" i="10"/>
  <c r="Q805" i="10"/>
  <c r="P805" i="10"/>
  <c r="C805" i="10"/>
  <c r="A805" i="10"/>
  <c r="T804" i="10"/>
  <c r="S804" i="10"/>
  <c r="R804" i="10"/>
  <c r="Q804" i="10"/>
  <c r="P804" i="10"/>
  <c r="C804" i="10"/>
  <c r="A804" i="10"/>
  <c r="T803" i="10"/>
  <c r="S803" i="10"/>
  <c r="R803" i="10"/>
  <c r="Q803" i="10"/>
  <c r="P803" i="10"/>
  <c r="C803" i="10"/>
  <c r="A803" i="10"/>
  <c r="T802" i="10"/>
  <c r="S802" i="10"/>
  <c r="R802" i="10"/>
  <c r="Q802" i="10"/>
  <c r="P802" i="10"/>
  <c r="C802" i="10"/>
  <c r="A802" i="10"/>
  <c r="T801" i="10"/>
  <c r="S801" i="10"/>
  <c r="R801" i="10"/>
  <c r="Q801" i="10"/>
  <c r="P801" i="10"/>
  <c r="C801" i="10"/>
  <c r="A801" i="10"/>
  <c r="T800" i="10"/>
  <c r="S800" i="10"/>
  <c r="R800" i="10"/>
  <c r="Q800" i="10"/>
  <c r="P800" i="10"/>
  <c r="C800" i="10"/>
  <c r="A800" i="10"/>
  <c r="T799" i="10"/>
  <c r="S799" i="10"/>
  <c r="R799" i="10"/>
  <c r="Q799" i="10"/>
  <c r="P799" i="10"/>
  <c r="C799" i="10"/>
  <c r="A799" i="10"/>
  <c r="T798" i="10"/>
  <c r="S798" i="10"/>
  <c r="R798" i="10"/>
  <c r="Q798" i="10"/>
  <c r="P798" i="10"/>
  <c r="C798" i="10"/>
  <c r="A798" i="10"/>
  <c r="T797" i="10"/>
  <c r="S797" i="10"/>
  <c r="R797" i="10"/>
  <c r="Q797" i="10"/>
  <c r="P797" i="10"/>
  <c r="A797" i="10"/>
  <c r="T796" i="10"/>
  <c r="S796" i="10"/>
  <c r="R796" i="10"/>
  <c r="Q796" i="10"/>
  <c r="P796" i="10"/>
  <c r="C796" i="10"/>
  <c r="A796" i="10"/>
  <c r="T795" i="10"/>
  <c r="S795" i="10"/>
  <c r="R795" i="10"/>
  <c r="Q795" i="10"/>
  <c r="P795" i="10"/>
  <c r="C795" i="10"/>
  <c r="A795" i="10"/>
  <c r="T794" i="10"/>
  <c r="S794" i="10"/>
  <c r="R794" i="10"/>
  <c r="Q794" i="10"/>
  <c r="P794" i="10"/>
  <c r="C794" i="10"/>
  <c r="A794" i="10"/>
  <c r="T793" i="10"/>
  <c r="S793" i="10"/>
  <c r="R793" i="10"/>
  <c r="Q793" i="10"/>
  <c r="P793" i="10"/>
  <c r="C793" i="10"/>
  <c r="A793" i="10"/>
  <c r="T792" i="10"/>
  <c r="S792" i="10"/>
  <c r="R792" i="10"/>
  <c r="Q792" i="10"/>
  <c r="P792" i="10"/>
  <c r="C792" i="10"/>
  <c r="A792" i="10"/>
  <c r="T791" i="10"/>
  <c r="S791" i="10"/>
  <c r="R791" i="10"/>
  <c r="Q791" i="10"/>
  <c r="P791" i="10"/>
  <c r="C791" i="10"/>
  <c r="A791" i="10"/>
  <c r="T790" i="10"/>
  <c r="S790" i="10"/>
  <c r="R790" i="10"/>
  <c r="Q790" i="10"/>
  <c r="P790" i="10"/>
  <c r="C790" i="10"/>
  <c r="A790" i="10"/>
  <c r="T789" i="10"/>
  <c r="S789" i="10"/>
  <c r="R789" i="10"/>
  <c r="Q789" i="10"/>
  <c r="P789" i="10"/>
  <c r="C789" i="10"/>
  <c r="A789" i="10"/>
  <c r="T788" i="10"/>
  <c r="S788" i="10"/>
  <c r="R788" i="10"/>
  <c r="Q788" i="10"/>
  <c r="P788" i="10"/>
  <c r="C788" i="10"/>
  <c r="B788" i="10"/>
  <c r="A788" i="10"/>
  <c r="T787" i="10"/>
  <c r="S787" i="10"/>
  <c r="R787" i="10"/>
  <c r="Q787" i="10"/>
  <c r="P787" i="10"/>
  <c r="C787" i="10"/>
  <c r="A787" i="10"/>
  <c r="T786" i="10"/>
  <c r="S786" i="10"/>
  <c r="R786" i="10"/>
  <c r="Q786" i="10"/>
  <c r="P786" i="10"/>
  <c r="C786" i="10"/>
  <c r="A786" i="10"/>
  <c r="T785" i="10"/>
  <c r="S785" i="10"/>
  <c r="R785" i="10"/>
  <c r="Q785" i="10"/>
  <c r="P785" i="10"/>
  <c r="C785" i="10"/>
  <c r="A785" i="10"/>
  <c r="T784" i="10"/>
  <c r="S784" i="10"/>
  <c r="R784" i="10"/>
  <c r="Q784" i="10"/>
  <c r="P784" i="10"/>
  <c r="C784" i="10"/>
  <c r="B784" i="10"/>
  <c r="A784" i="10"/>
  <c r="T783" i="10"/>
  <c r="S783" i="10"/>
  <c r="R783" i="10"/>
  <c r="Q783" i="10"/>
  <c r="P783" i="10"/>
  <c r="C783" i="10"/>
  <c r="A783" i="10"/>
  <c r="T782" i="10"/>
  <c r="S782" i="10"/>
  <c r="R782" i="10"/>
  <c r="Q782" i="10"/>
  <c r="P782" i="10"/>
  <c r="C782" i="10"/>
  <c r="B782" i="10"/>
  <c r="A782" i="10"/>
  <c r="T781" i="10"/>
  <c r="S781" i="10"/>
  <c r="R781" i="10"/>
  <c r="Q781" i="10"/>
  <c r="P781" i="10"/>
  <c r="C781" i="10"/>
  <c r="A781" i="10"/>
  <c r="T780" i="10"/>
  <c r="S780" i="10"/>
  <c r="R780" i="10"/>
  <c r="Q780" i="10"/>
  <c r="P780" i="10"/>
  <c r="C780" i="10"/>
  <c r="A780" i="10"/>
  <c r="T779" i="10"/>
  <c r="S779" i="10"/>
  <c r="R779" i="10"/>
  <c r="Q779" i="10"/>
  <c r="P779" i="10"/>
  <c r="C779" i="10"/>
  <c r="A779" i="10"/>
  <c r="T778" i="10"/>
  <c r="S778" i="10"/>
  <c r="R778" i="10"/>
  <c r="Q778" i="10"/>
  <c r="P778" i="10"/>
  <c r="C778" i="10"/>
  <c r="B778" i="10"/>
  <c r="A778" i="10"/>
  <c r="T777" i="10"/>
  <c r="S777" i="10"/>
  <c r="R777" i="10"/>
  <c r="Q777" i="10"/>
  <c r="P777" i="10"/>
  <c r="C777" i="10"/>
  <c r="B777" i="10"/>
  <c r="A777" i="10"/>
  <c r="T776" i="10"/>
  <c r="S776" i="10"/>
  <c r="R776" i="10"/>
  <c r="Q776" i="10"/>
  <c r="P776" i="10"/>
  <c r="C776" i="10"/>
  <c r="B776" i="10"/>
  <c r="A776" i="10"/>
  <c r="T775" i="10"/>
  <c r="S775" i="10"/>
  <c r="R775" i="10"/>
  <c r="Q775" i="10"/>
  <c r="P775" i="10"/>
  <c r="C775" i="10"/>
  <c r="B775" i="10"/>
  <c r="A775" i="10"/>
  <c r="T774" i="10"/>
  <c r="S774" i="10"/>
  <c r="R774" i="10"/>
  <c r="Q774" i="10"/>
  <c r="P774" i="10"/>
  <c r="C774" i="10"/>
  <c r="B774" i="10"/>
  <c r="A774" i="10"/>
  <c r="T773" i="10"/>
  <c r="S773" i="10"/>
  <c r="R773" i="10"/>
  <c r="Q773" i="10"/>
  <c r="P773" i="10"/>
  <c r="C773" i="10"/>
  <c r="B773" i="10"/>
  <c r="A773" i="10"/>
  <c r="T772" i="10"/>
  <c r="S772" i="10"/>
  <c r="R772" i="10"/>
  <c r="Q772" i="10"/>
  <c r="P772" i="10"/>
  <c r="C772" i="10"/>
  <c r="B772" i="10"/>
  <c r="A772" i="10"/>
  <c r="T771" i="10"/>
  <c r="S771" i="10"/>
  <c r="R771" i="10"/>
  <c r="Q771" i="10"/>
  <c r="P771" i="10"/>
  <c r="C771" i="10"/>
  <c r="B771" i="10"/>
  <c r="A771" i="10"/>
  <c r="T770" i="10"/>
  <c r="S770" i="10"/>
  <c r="R770" i="10"/>
  <c r="Q770" i="10"/>
  <c r="P770" i="10"/>
  <c r="C770" i="10"/>
  <c r="B770" i="10"/>
  <c r="A770" i="10"/>
  <c r="T769" i="10"/>
  <c r="S769" i="10"/>
  <c r="R769" i="10"/>
  <c r="Q769" i="10"/>
  <c r="P769" i="10"/>
  <c r="C769" i="10"/>
  <c r="B769" i="10"/>
  <c r="A769" i="10"/>
  <c r="T768" i="10"/>
  <c r="S768" i="10"/>
  <c r="R768" i="10"/>
  <c r="Q768" i="10"/>
  <c r="P768" i="10"/>
  <c r="C768" i="10"/>
  <c r="B768" i="10"/>
  <c r="A768" i="10"/>
  <c r="T767" i="10"/>
  <c r="S767" i="10"/>
  <c r="R767" i="10"/>
  <c r="Q767" i="10"/>
  <c r="P767" i="10"/>
  <c r="C767" i="10"/>
  <c r="B767" i="10"/>
  <c r="A767" i="10"/>
  <c r="T766" i="10"/>
  <c r="S766" i="10"/>
  <c r="R766" i="10"/>
  <c r="Q766" i="10"/>
  <c r="P766" i="10"/>
  <c r="C766" i="10"/>
  <c r="B766" i="10"/>
  <c r="A766" i="10"/>
  <c r="T765" i="10"/>
  <c r="S765" i="10"/>
  <c r="R765" i="10"/>
  <c r="Q765" i="10"/>
  <c r="P765" i="10"/>
  <c r="C765" i="10"/>
  <c r="B765" i="10"/>
  <c r="A765" i="10"/>
  <c r="T764" i="10"/>
  <c r="S764" i="10"/>
  <c r="R764" i="10"/>
  <c r="Q764" i="10"/>
  <c r="P764" i="10"/>
  <c r="C764" i="10"/>
  <c r="B764" i="10"/>
  <c r="A764" i="10"/>
  <c r="T763" i="10"/>
  <c r="S763" i="10"/>
  <c r="R763" i="10"/>
  <c r="Q763" i="10"/>
  <c r="P763" i="10"/>
  <c r="C763" i="10"/>
  <c r="B763" i="10"/>
  <c r="A763" i="10"/>
  <c r="T762" i="10"/>
  <c r="S762" i="10"/>
  <c r="R762" i="10"/>
  <c r="Q762" i="10"/>
  <c r="P762" i="10"/>
  <c r="C762" i="10"/>
  <c r="B762" i="10"/>
  <c r="A762" i="10"/>
  <c r="T761" i="10"/>
  <c r="S761" i="10"/>
  <c r="R761" i="10"/>
  <c r="Q761" i="10"/>
  <c r="P761" i="10"/>
  <c r="C761" i="10"/>
  <c r="B761" i="10"/>
  <c r="A761" i="10"/>
  <c r="T760" i="10"/>
  <c r="S760" i="10"/>
  <c r="R760" i="10"/>
  <c r="Q760" i="10"/>
  <c r="P760" i="10"/>
  <c r="C760" i="10"/>
  <c r="B760" i="10"/>
  <c r="A760" i="10"/>
  <c r="T759" i="10"/>
  <c r="S759" i="10"/>
  <c r="R759" i="10"/>
  <c r="Q759" i="10"/>
  <c r="P759" i="10"/>
  <c r="C759" i="10"/>
  <c r="A759" i="10"/>
  <c r="T758" i="10"/>
  <c r="S758" i="10"/>
  <c r="R758" i="10"/>
  <c r="Q758" i="10"/>
  <c r="P758" i="10"/>
  <c r="C758" i="10"/>
  <c r="B758" i="10"/>
  <c r="A758" i="10"/>
  <c r="T757" i="10"/>
  <c r="S757" i="10"/>
  <c r="R757" i="10"/>
  <c r="Q757" i="10"/>
  <c r="P757" i="10"/>
  <c r="C757" i="10"/>
  <c r="B757" i="10"/>
  <c r="A757" i="10"/>
  <c r="T756" i="10"/>
  <c r="S756" i="10"/>
  <c r="R756" i="10"/>
  <c r="Q756" i="10"/>
  <c r="P756" i="10"/>
  <c r="C756" i="10"/>
  <c r="B756" i="10"/>
  <c r="A756" i="10"/>
  <c r="T755" i="10"/>
  <c r="S755" i="10"/>
  <c r="R755" i="10"/>
  <c r="Q755" i="10"/>
  <c r="P755" i="10"/>
  <c r="C755" i="10"/>
  <c r="B755" i="10"/>
  <c r="A755" i="10"/>
  <c r="T754" i="10"/>
  <c r="S754" i="10"/>
  <c r="R754" i="10"/>
  <c r="Q754" i="10"/>
  <c r="P754" i="10"/>
  <c r="K754" i="10"/>
  <c r="C754" i="10"/>
  <c r="B754" i="10"/>
  <c r="A754" i="10"/>
  <c r="T753" i="10"/>
  <c r="S753" i="10"/>
  <c r="R753" i="10"/>
  <c r="Q753" i="10"/>
  <c r="P753" i="10"/>
  <c r="C753" i="10"/>
  <c r="B753" i="10"/>
  <c r="A753" i="10"/>
  <c r="T752" i="10"/>
  <c r="S752" i="10"/>
  <c r="R752" i="10"/>
  <c r="Q752" i="10"/>
  <c r="P752" i="10"/>
  <c r="C752" i="10"/>
  <c r="B752" i="10"/>
  <c r="A752" i="10"/>
  <c r="T751" i="10"/>
  <c r="S751" i="10"/>
  <c r="R751" i="10"/>
  <c r="Q751" i="10"/>
  <c r="P751" i="10"/>
  <c r="C751" i="10"/>
  <c r="A751" i="10"/>
  <c r="T750" i="10"/>
  <c r="S750" i="10"/>
  <c r="R750" i="10"/>
  <c r="Q750" i="10"/>
  <c r="P750" i="10"/>
  <c r="C750" i="10"/>
  <c r="A750" i="10"/>
  <c r="T749" i="10"/>
  <c r="S749" i="10"/>
  <c r="R749" i="10"/>
  <c r="Q749" i="10"/>
  <c r="P749" i="10"/>
  <c r="C749" i="10"/>
  <c r="B749" i="10"/>
  <c r="A749" i="10"/>
  <c r="T748" i="10"/>
  <c r="S748" i="10"/>
  <c r="R748" i="10"/>
  <c r="Q748" i="10"/>
  <c r="P748" i="10"/>
  <c r="C748" i="10"/>
  <c r="B748" i="10"/>
  <c r="A748" i="10"/>
  <c r="T747" i="10"/>
  <c r="S747" i="10"/>
  <c r="R747" i="10"/>
  <c r="Q747" i="10"/>
  <c r="P747" i="10"/>
  <c r="C747" i="10"/>
  <c r="B747" i="10"/>
  <c r="A747" i="10"/>
  <c r="T746" i="10"/>
  <c r="S746" i="10"/>
  <c r="R746" i="10"/>
  <c r="Q746" i="10"/>
  <c r="P746" i="10"/>
  <c r="C746" i="10"/>
  <c r="B746" i="10"/>
  <c r="A746" i="10"/>
  <c r="T745" i="10"/>
  <c r="S745" i="10"/>
  <c r="R745" i="10"/>
  <c r="Q745" i="10"/>
  <c r="P745" i="10"/>
  <c r="G745" i="10"/>
  <c r="C745" i="10"/>
  <c r="B745" i="10"/>
  <c r="A745" i="10"/>
  <c r="T744" i="10"/>
  <c r="S744" i="10"/>
  <c r="R744" i="10"/>
  <c r="Q744" i="10"/>
  <c r="P744" i="10"/>
  <c r="C744" i="10"/>
  <c r="B744" i="10"/>
  <c r="A744" i="10"/>
  <c r="T743" i="10"/>
  <c r="S743" i="10"/>
  <c r="R743" i="10"/>
  <c r="Q743" i="10"/>
  <c r="P743" i="10"/>
  <c r="C743" i="10"/>
  <c r="B743" i="10"/>
  <c r="A743" i="10"/>
  <c r="T742" i="10"/>
  <c r="S742" i="10"/>
  <c r="R742" i="10"/>
  <c r="Q742" i="10"/>
  <c r="P742" i="10"/>
  <c r="C742" i="10"/>
  <c r="B742" i="10"/>
  <c r="A742" i="10"/>
  <c r="T741" i="10"/>
  <c r="S741" i="10"/>
  <c r="R741" i="10"/>
  <c r="Q741" i="10"/>
  <c r="P741" i="10"/>
  <c r="C741" i="10"/>
  <c r="B741" i="10"/>
  <c r="A741" i="10"/>
  <c r="T740" i="10"/>
  <c r="S740" i="10"/>
  <c r="R740" i="10"/>
  <c r="Q740" i="10"/>
  <c r="P740" i="10"/>
  <c r="C740" i="10"/>
  <c r="B740" i="10"/>
  <c r="A740" i="10"/>
  <c r="T739" i="10"/>
  <c r="S739" i="10"/>
  <c r="R739" i="10"/>
  <c r="Q739" i="10"/>
  <c r="P739" i="10"/>
  <c r="C739" i="10"/>
  <c r="B739" i="10"/>
  <c r="A739" i="10"/>
  <c r="T738" i="10"/>
  <c r="S738" i="10"/>
  <c r="R738" i="10"/>
  <c r="Q738" i="10"/>
  <c r="P738" i="10"/>
  <c r="C738" i="10"/>
  <c r="B738" i="10"/>
  <c r="A738" i="10"/>
  <c r="T737" i="10"/>
  <c r="S737" i="10"/>
  <c r="R737" i="10"/>
  <c r="Q737" i="10"/>
  <c r="P737" i="10"/>
  <c r="C737" i="10"/>
  <c r="B737" i="10"/>
  <c r="A737" i="10"/>
  <c r="T736" i="10"/>
  <c r="R736" i="10"/>
  <c r="Q736" i="10"/>
  <c r="P736" i="10"/>
  <c r="C736" i="10"/>
  <c r="B736" i="10"/>
  <c r="A736" i="10"/>
  <c r="T735" i="10"/>
  <c r="S735" i="10"/>
  <c r="R735" i="10"/>
  <c r="Q735" i="10"/>
  <c r="P735" i="10"/>
  <c r="C735" i="10"/>
  <c r="B735" i="10"/>
  <c r="A735" i="10"/>
  <c r="T734" i="10"/>
  <c r="S734" i="10"/>
  <c r="R734" i="10"/>
  <c r="Q734" i="10"/>
  <c r="P734" i="10"/>
  <c r="C734" i="10"/>
  <c r="A734" i="10"/>
  <c r="CF730" i="10"/>
  <c r="CE730" i="10"/>
  <c r="CD730" i="10"/>
  <c r="CB730" i="10"/>
  <c r="CA730" i="10"/>
  <c r="BY730" i="10"/>
  <c r="BX730" i="10"/>
  <c r="BW730" i="10"/>
  <c r="BU730" i="10"/>
  <c r="BT730" i="10"/>
  <c r="BS730" i="10"/>
  <c r="BR730" i="10"/>
  <c r="BP730" i="10"/>
  <c r="BM730" i="10"/>
  <c r="BJ730" i="10"/>
  <c r="BF730" i="10"/>
  <c r="BE730" i="10"/>
  <c r="BB730" i="10"/>
  <c r="BA730" i="10"/>
  <c r="AZ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I730" i="10"/>
  <c r="AH730" i="10"/>
  <c r="AG730" i="10"/>
  <c r="AF730" i="10"/>
  <c r="AE730" i="10"/>
  <c r="AD730" i="10"/>
  <c r="AC730" i="10"/>
  <c r="Z730" i="10"/>
  <c r="Y730" i="10"/>
  <c r="X730" i="10"/>
  <c r="W730" i="10"/>
  <c r="U730" i="10"/>
  <c r="T730" i="10"/>
  <c r="S730" i="10"/>
  <c r="R730" i="10"/>
  <c r="P730" i="10"/>
  <c r="O730" i="10"/>
  <c r="N730" i="10"/>
  <c r="M730" i="10"/>
  <c r="L730" i="10"/>
  <c r="K730" i="10"/>
  <c r="I730" i="10"/>
  <c r="H730" i="10"/>
  <c r="F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F726" i="10"/>
  <c r="AE726" i="10"/>
  <c r="AD726" i="10"/>
  <c r="AC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A722" i="10"/>
  <c r="BZ722" i="10"/>
  <c r="BV722" i="10"/>
  <c r="BS722" i="10"/>
  <c r="BR722" i="10"/>
  <c r="BQ722" i="10"/>
  <c r="BN722" i="10"/>
  <c r="BM722" i="10"/>
  <c r="BL722" i="10"/>
  <c r="BK722" i="10"/>
  <c r="BI722" i="10"/>
  <c r="BH722" i="10"/>
  <c r="BF722" i="10"/>
  <c r="BE722" i="10"/>
  <c r="BD722" i="10"/>
  <c r="BC722" i="10"/>
  <c r="BB722" i="10"/>
  <c r="BA722" i="10"/>
  <c r="AY722" i="10"/>
  <c r="AV722" i="10"/>
  <c r="AP722" i="10"/>
  <c r="AN722" i="10"/>
  <c r="AM722" i="10"/>
  <c r="AL722" i="10"/>
  <c r="AK722" i="10"/>
  <c r="AJ722" i="10"/>
  <c r="AH722" i="10"/>
  <c r="AG722" i="10"/>
  <c r="AE722" i="10"/>
  <c r="AD722" i="10"/>
  <c r="AC722" i="10"/>
  <c r="AB722" i="10"/>
  <c r="AA722" i="10"/>
  <c r="Y722" i="10"/>
  <c r="X722" i="10"/>
  <c r="V722" i="10"/>
  <c r="U722" i="10"/>
  <c r="T722" i="10"/>
  <c r="S722" i="10"/>
  <c r="R722" i="10"/>
  <c r="Q722" i="10"/>
  <c r="P722" i="10"/>
  <c r="O722" i="10"/>
  <c r="N722" i="10"/>
  <c r="M722" i="10"/>
  <c r="I722" i="10"/>
  <c r="D722" i="10"/>
  <c r="C722" i="10"/>
  <c r="B722" i="10"/>
  <c r="A722" i="10"/>
  <c r="E550" i="10"/>
  <c r="F550" i="10"/>
  <c r="E546" i="10"/>
  <c r="F545" i="10"/>
  <c r="E544" i="10"/>
  <c r="H540" i="10"/>
  <c r="F540" i="10"/>
  <c r="E540" i="10"/>
  <c r="F539" i="10"/>
  <c r="E539" i="10"/>
  <c r="H539" i="10"/>
  <c r="E538" i="10"/>
  <c r="H538" i="10"/>
  <c r="E537" i="10"/>
  <c r="E536" i="10"/>
  <c r="H536" i="10"/>
  <c r="E535" i="10"/>
  <c r="H534" i="10"/>
  <c r="F534" i="10"/>
  <c r="E534" i="10"/>
  <c r="F533" i="10"/>
  <c r="E533" i="10"/>
  <c r="H532" i="10"/>
  <c r="F532" i="10"/>
  <c r="E532" i="10"/>
  <c r="F531" i="10"/>
  <c r="E531" i="10"/>
  <c r="E530" i="10"/>
  <c r="E529" i="10"/>
  <c r="E528" i="10"/>
  <c r="E527" i="10"/>
  <c r="F526" i="10"/>
  <c r="E526" i="10"/>
  <c r="H525" i="10"/>
  <c r="F525" i="10"/>
  <c r="E525" i="10"/>
  <c r="F524" i="10"/>
  <c r="E524" i="10"/>
  <c r="F523" i="10"/>
  <c r="E523" i="10"/>
  <c r="E522" i="10"/>
  <c r="F520" i="10"/>
  <c r="E520" i="10"/>
  <c r="H519" i="10"/>
  <c r="F519" i="10"/>
  <c r="E519" i="10"/>
  <c r="F518" i="10"/>
  <c r="E518" i="10"/>
  <c r="F517" i="10"/>
  <c r="E517" i="10"/>
  <c r="E516" i="10"/>
  <c r="H516" i="10"/>
  <c r="E515" i="10"/>
  <c r="H515" i="10"/>
  <c r="E514" i="10"/>
  <c r="F513" i="10"/>
  <c r="F512" i="10"/>
  <c r="E511" i="10"/>
  <c r="H511" i="10"/>
  <c r="E510" i="10"/>
  <c r="E509" i="10"/>
  <c r="F508" i="10"/>
  <c r="E508" i="10"/>
  <c r="H507" i="10"/>
  <c r="F507" i="10"/>
  <c r="E507" i="10"/>
  <c r="H506" i="10"/>
  <c r="F506" i="10"/>
  <c r="E506" i="10"/>
  <c r="F505" i="10"/>
  <c r="E505" i="10"/>
  <c r="H505" i="10"/>
  <c r="E504" i="10"/>
  <c r="H504" i="10"/>
  <c r="E503" i="10"/>
  <c r="E502" i="10"/>
  <c r="H502" i="10"/>
  <c r="E501" i="10"/>
  <c r="F500" i="10"/>
  <c r="E500" i="10"/>
  <c r="H499" i="10"/>
  <c r="F499" i="10"/>
  <c r="E499" i="10"/>
  <c r="F498" i="10"/>
  <c r="E498" i="10"/>
  <c r="F497" i="10"/>
  <c r="E497" i="10"/>
  <c r="H497" i="10"/>
  <c r="G493" i="10"/>
  <c r="E493" i="10"/>
  <c r="C493" i="10"/>
  <c r="A493" i="10"/>
  <c r="B478" i="10"/>
  <c r="B474" i="10"/>
  <c r="B473" i="10"/>
  <c r="B472" i="10"/>
  <c r="B471" i="10"/>
  <c r="B469" i="10"/>
  <c r="B468" i="10"/>
  <c r="B463" i="10"/>
  <c r="C459" i="10"/>
  <c r="B459" i="10"/>
  <c r="B454" i="10"/>
  <c r="B453" i="10"/>
  <c r="C446" i="10"/>
  <c r="C444" i="10"/>
  <c r="B437" i="10"/>
  <c r="B435" i="10"/>
  <c r="B434" i="10"/>
  <c r="B433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B415" i="10"/>
  <c r="B414" i="10"/>
  <c r="A412" i="10"/>
  <c r="C389" i="10"/>
  <c r="CC730" i="10" s="1"/>
  <c r="C387" i="10"/>
  <c r="B436" i="10" s="1"/>
  <c r="C383" i="10"/>
  <c r="I817" i="10" s="1"/>
  <c r="C378" i="10"/>
  <c r="C370" i="10"/>
  <c r="D361" i="10"/>
  <c r="N817" i="10" s="1"/>
  <c r="C360" i="10"/>
  <c r="BK730" i="10" s="1"/>
  <c r="D329" i="10"/>
  <c r="C326" i="10"/>
  <c r="AY730" i="10" s="1"/>
  <c r="D319" i="10"/>
  <c r="C307" i="10"/>
  <c r="D290" i="10"/>
  <c r="C282" i="10"/>
  <c r="AB730" i="10" s="1"/>
  <c r="C281" i="10"/>
  <c r="AA730" i="10" s="1"/>
  <c r="C274" i="10"/>
  <c r="V730" i="10" s="1"/>
  <c r="C269" i="10"/>
  <c r="D265" i="10"/>
  <c r="C258" i="10"/>
  <c r="J730" i="10" s="1"/>
  <c r="C255" i="10"/>
  <c r="G730" i="10" s="1"/>
  <c r="C253" i="10"/>
  <c r="E730" i="10" s="1"/>
  <c r="C238" i="10"/>
  <c r="D240" i="10" s="1"/>
  <c r="B447" i="10" s="1"/>
  <c r="C234" i="10"/>
  <c r="D236" i="10" s="1"/>
  <c r="B446" i="10" s="1"/>
  <c r="C228" i="10"/>
  <c r="BY722" i="10" s="1"/>
  <c r="C226" i="10"/>
  <c r="BW722" i="10" s="1"/>
  <c r="C224" i="10"/>
  <c r="C223" i="10"/>
  <c r="BT722" i="10" s="1"/>
  <c r="D221" i="10"/>
  <c r="B444" i="10" s="1"/>
  <c r="B217" i="10"/>
  <c r="E216" i="10"/>
  <c r="D215" i="10"/>
  <c r="BP722" i="10" s="1"/>
  <c r="C215" i="10"/>
  <c r="BO722" i="10" s="1"/>
  <c r="E214" i="10"/>
  <c r="D213" i="10"/>
  <c r="BJ722" i="10" s="1"/>
  <c r="D212" i="10"/>
  <c r="BG722" i="10" s="1"/>
  <c r="E211" i="10"/>
  <c r="E210" i="10"/>
  <c r="C210" i="10"/>
  <c r="AZ722" i="10" s="1"/>
  <c r="D209" i="10"/>
  <c r="AX722" i="10" s="1"/>
  <c r="C209" i="10"/>
  <c r="AW722" i="10" s="1"/>
  <c r="C204" i="10"/>
  <c r="B204" i="10"/>
  <c r="D203" i="10"/>
  <c r="AR722" i="10" s="1"/>
  <c r="C203" i="10"/>
  <c r="AQ722" i="10" s="1"/>
  <c r="D202" i="10"/>
  <c r="AO722" i="10" s="1"/>
  <c r="E201" i="10"/>
  <c r="D200" i="10"/>
  <c r="AI722" i="10" s="1"/>
  <c r="D199" i="10"/>
  <c r="AF722" i="10" s="1"/>
  <c r="E198" i="10"/>
  <c r="C471" i="10" s="1"/>
  <c r="D197" i="10"/>
  <c r="Z722" i="10" s="1"/>
  <c r="D196" i="10"/>
  <c r="E195" i="10"/>
  <c r="D190" i="10"/>
  <c r="D437" i="10" s="1"/>
  <c r="D186" i="10"/>
  <c r="D436" i="10" s="1"/>
  <c r="C180" i="10"/>
  <c r="L722" i="10" s="1"/>
  <c r="C179" i="10"/>
  <c r="K722" i="10" s="1"/>
  <c r="C176" i="10"/>
  <c r="C172" i="10"/>
  <c r="H722" i="10" s="1"/>
  <c r="C170" i="10"/>
  <c r="G722" i="10" s="1"/>
  <c r="C169" i="10"/>
  <c r="F722" i="10" s="1"/>
  <c r="C168" i="10"/>
  <c r="E722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AL726" i="10" s="1"/>
  <c r="C142" i="10"/>
  <c r="AG726" i="10" s="1"/>
  <c r="B142" i="10"/>
  <c r="AB726" i="10" s="1"/>
  <c r="E141" i="10"/>
  <c r="D463" i="10" s="1"/>
  <c r="D141" i="10"/>
  <c r="AK726" i="10" s="1"/>
  <c r="E140" i="10"/>
  <c r="D139" i="10"/>
  <c r="E138" i="10"/>
  <c r="C414" i="10" s="1"/>
  <c r="D138" i="10"/>
  <c r="AH726" i="10" s="1"/>
  <c r="E127" i="10"/>
  <c r="CE80" i="10"/>
  <c r="CF79" i="10"/>
  <c r="E79" i="10"/>
  <c r="S736" i="10" s="1"/>
  <c r="CE78" i="10"/>
  <c r="I612" i="10" s="1"/>
  <c r="CF77" i="10"/>
  <c r="CE77" i="10"/>
  <c r="CF76" i="10"/>
  <c r="BZ52" i="10" s="1"/>
  <c r="CE76" i="10"/>
  <c r="AK75" i="10"/>
  <c r="N768" i="10" s="1"/>
  <c r="Z75" i="10"/>
  <c r="N757" i="10" s="1"/>
  <c r="L75" i="10"/>
  <c r="N743" i="10" s="1"/>
  <c r="AQ75" i="10"/>
  <c r="N774" i="10" s="1"/>
  <c r="AI75" i="10"/>
  <c r="N766" i="10" s="1"/>
  <c r="CE74" i="10"/>
  <c r="C464" i="10" s="1"/>
  <c r="O777" i="10"/>
  <c r="O776" i="10"/>
  <c r="O775" i="10"/>
  <c r="O774" i="10"/>
  <c r="O773" i="10"/>
  <c r="O769" i="10"/>
  <c r="O768" i="10"/>
  <c r="O767" i="10"/>
  <c r="O766" i="10"/>
  <c r="O765" i="10"/>
  <c r="O761" i="10"/>
  <c r="O760" i="10"/>
  <c r="O759" i="10"/>
  <c r="O758" i="10"/>
  <c r="O757" i="10"/>
  <c r="O753" i="10"/>
  <c r="O752" i="10"/>
  <c r="O751" i="10"/>
  <c r="O750" i="10"/>
  <c r="O749" i="10"/>
  <c r="O745" i="10"/>
  <c r="O744" i="10"/>
  <c r="O743" i="10"/>
  <c r="O742" i="10"/>
  <c r="O741" i="10"/>
  <c r="O737" i="10"/>
  <c r="O736" i="10"/>
  <c r="O735" i="10"/>
  <c r="O734" i="10"/>
  <c r="V813" i="10"/>
  <c r="V815" i="10" s="1"/>
  <c r="M812" i="10"/>
  <c r="M811" i="10"/>
  <c r="M810" i="10"/>
  <c r="M809" i="10"/>
  <c r="M808" i="10"/>
  <c r="M807" i="10"/>
  <c r="M806" i="10"/>
  <c r="M805" i="10"/>
  <c r="M804" i="10"/>
  <c r="M803" i="10"/>
  <c r="M802" i="10"/>
  <c r="M801" i="10"/>
  <c r="M800" i="10"/>
  <c r="M799" i="10"/>
  <c r="M798" i="10"/>
  <c r="M797" i="10"/>
  <c r="M796" i="10"/>
  <c r="M795" i="10"/>
  <c r="M794" i="10"/>
  <c r="M793" i="10"/>
  <c r="M792" i="10"/>
  <c r="M791" i="10"/>
  <c r="M790" i="10"/>
  <c r="M789" i="10"/>
  <c r="M788" i="10"/>
  <c r="M787" i="10"/>
  <c r="M786" i="10"/>
  <c r="M785" i="10"/>
  <c r="M784" i="10"/>
  <c r="M783" i="10"/>
  <c r="M782" i="10"/>
  <c r="M781" i="10"/>
  <c r="M780" i="10"/>
  <c r="M779" i="10"/>
  <c r="M778" i="10"/>
  <c r="M777" i="10"/>
  <c r="M776" i="10"/>
  <c r="M775" i="10"/>
  <c r="M774" i="10"/>
  <c r="M773" i="10"/>
  <c r="M772" i="10"/>
  <c r="M771" i="10"/>
  <c r="M770" i="10"/>
  <c r="M769" i="10"/>
  <c r="M768" i="10"/>
  <c r="M767" i="10"/>
  <c r="M766" i="10"/>
  <c r="M765" i="10"/>
  <c r="M764" i="10"/>
  <c r="M763" i="10"/>
  <c r="M762" i="10"/>
  <c r="M761" i="10"/>
  <c r="M760" i="10"/>
  <c r="M759" i="10"/>
  <c r="M758" i="10"/>
  <c r="M757" i="10"/>
  <c r="M756" i="10"/>
  <c r="M755" i="10"/>
  <c r="M754" i="10"/>
  <c r="M753" i="10"/>
  <c r="M752" i="10"/>
  <c r="M751" i="10"/>
  <c r="M750" i="10"/>
  <c r="M749" i="10"/>
  <c r="M748" i="10"/>
  <c r="M747" i="10"/>
  <c r="M746" i="10"/>
  <c r="M745" i="10"/>
  <c r="M744" i="10"/>
  <c r="M743" i="10"/>
  <c r="M742" i="10"/>
  <c r="M741" i="10"/>
  <c r="M740" i="10"/>
  <c r="M739" i="10"/>
  <c r="M738" i="10"/>
  <c r="M737" i="10"/>
  <c r="M736" i="10"/>
  <c r="M735" i="10"/>
  <c r="M734" i="10"/>
  <c r="CD71" i="10"/>
  <c r="C575" i="10" s="1"/>
  <c r="L812" i="10"/>
  <c r="L811" i="10"/>
  <c r="L810" i="10"/>
  <c r="L809" i="10"/>
  <c r="L808" i="10"/>
  <c r="L807" i="10"/>
  <c r="L806" i="10"/>
  <c r="L805" i="10"/>
  <c r="L804" i="10"/>
  <c r="L803" i="10"/>
  <c r="L802" i="10"/>
  <c r="L801" i="10"/>
  <c r="L800" i="10"/>
  <c r="L799" i="10"/>
  <c r="L798" i="10"/>
  <c r="L797" i="10"/>
  <c r="L796" i="10"/>
  <c r="L795" i="10"/>
  <c r="L794" i="10"/>
  <c r="L793" i="10"/>
  <c r="L792" i="10"/>
  <c r="L791" i="10"/>
  <c r="L790" i="10"/>
  <c r="L789" i="10"/>
  <c r="L788" i="10"/>
  <c r="L787" i="10"/>
  <c r="L786" i="10"/>
  <c r="L785" i="10"/>
  <c r="L784" i="10"/>
  <c r="L783" i="10"/>
  <c r="L782" i="10"/>
  <c r="L781" i="10"/>
  <c r="L780" i="10"/>
  <c r="L779" i="10"/>
  <c r="L778" i="10"/>
  <c r="L777" i="10"/>
  <c r="L776" i="10"/>
  <c r="L775" i="10"/>
  <c r="L774" i="10"/>
  <c r="L773" i="10"/>
  <c r="L772" i="10"/>
  <c r="L771" i="10"/>
  <c r="L770" i="10"/>
  <c r="L769" i="10"/>
  <c r="L768" i="10"/>
  <c r="L767" i="10"/>
  <c r="L766" i="10"/>
  <c r="L765" i="10"/>
  <c r="L764" i="10"/>
  <c r="L763" i="10"/>
  <c r="L762" i="10"/>
  <c r="L761" i="10"/>
  <c r="L760" i="10"/>
  <c r="L759" i="10"/>
  <c r="L758" i="10"/>
  <c r="L757" i="10"/>
  <c r="L756" i="10"/>
  <c r="L755" i="10"/>
  <c r="L754" i="10"/>
  <c r="L753" i="10"/>
  <c r="L752" i="10"/>
  <c r="L751" i="10"/>
  <c r="L750" i="10"/>
  <c r="L749" i="10"/>
  <c r="L748" i="10"/>
  <c r="L747" i="10"/>
  <c r="L746" i="10"/>
  <c r="L745" i="10"/>
  <c r="L744" i="10"/>
  <c r="L743" i="10"/>
  <c r="L742" i="10"/>
  <c r="L741" i="10"/>
  <c r="L740" i="10"/>
  <c r="L739" i="10"/>
  <c r="L738" i="10"/>
  <c r="L737" i="10"/>
  <c r="L736" i="10"/>
  <c r="L735" i="10"/>
  <c r="K812" i="10"/>
  <c r="K811" i="10"/>
  <c r="K810" i="10"/>
  <c r="K809" i="10"/>
  <c r="K808" i="10"/>
  <c r="K807" i="10"/>
  <c r="K806" i="10"/>
  <c r="K805" i="10"/>
  <c r="K804" i="10"/>
  <c r="K803" i="10"/>
  <c r="K802" i="10"/>
  <c r="K801" i="10"/>
  <c r="K800" i="10"/>
  <c r="K799" i="10"/>
  <c r="K798" i="10"/>
  <c r="K797" i="10"/>
  <c r="K796" i="10"/>
  <c r="K795" i="10"/>
  <c r="K794" i="10"/>
  <c r="K793" i="10"/>
  <c r="K792" i="10"/>
  <c r="K791" i="10"/>
  <c r="K790" i="10"/>
  <c r="K789" i="10"/>
  <c r="K788" i="10"/>
  <c r="K787" i="10"/>
  <c r="K786" i="10"/>
  <c r="K785" i="10"/>
  <c r="K784" i="10"/>
  <c r="K783" i="10"/>
  <c r="K782" i="10"/>
  <c r="K781" i="10"/>
  <c r="K780" i="10"/>
  <c r="K779" i="10"/>
  <c r="K778" i="10"/>
  <c r="K777" i="10"/>
  <c r="K776" i="10"/>
  <c r="K775" i="10"/>
  <c r="K774" i="10"/>
  <c r="K773" i="10"/>
  <c r="K772" i="10"/>
  <c r="K771" i="10"/>
  <c r="K770" i="10"/>
  <c r="K769" i="10"/>
  <c r="K768" i="10"/>
  <c r="K767" i="10"/>
  <c r="K766" i="10"/>
  <c r="K765" i="10"/>
  <c r="K764" i="10"/>
  <c r="K763" i="10"/>
  <c r="K762" i="10"/>
  <c r="K761" i="10"/>
  <c r="K760" i="10"/>
  <c r="K759" i="10"/>
  <c r="K758" i="10"/>
  <c r="K757" i="10"/>
  <c r="K756" i="10"/>
  <c r="K755" i="10"/>
  <c r="K753" i="10"/>
  <c r="K752" i="10"/>
  <c r="K751" i="10"/>
  <c r="K750" i="10"/>
  <c r="K749" i="10"/>
  <c r="K748" i="10"/>
  <c r="K747" i="10"/>
  <c r="K746" i="10"/>
  <c r="K745" i="10"/>
  <c r="K744" i="10"/>
  <c r="K743" i="10"/>
  <c r="K742" i="10"/>
  <c r="K741" i="10"/>
  <c r="K740" i="10"/>
  <c r="K739" i="10"/>
  <c r="K738" i="10"/>
  <c r="K737" i="10"/>
  <c r="K736" i="10"/>
  <c r="K735" i="10"/>
  <c r="K734" i="10"/>
  <c r="I812" i="10"/>
  <c r="I811" i="10"/>
  <c r="I810" i="10"/>
  <c r="I809" i="10"/>
  <c r="I808" i="10"/>
  <c r="I807" i="10"/>
  <c r="I806" i="10"/>
  <c r="I805" i="10"/>
  <c r="I804" i="10"/>
  <c r="I803" i="10"/>
  <c r="I802" i="10"/>
  <c r="I801" i="10"/>
  <c r="I800" i="10"/>
  <c r="I799" i="10"/>
  <c r="I798" i="10"/>
  <c r="I797" i="10"/>
  <c r="I796" i="10"/>
  <c r="I795" i="10"/>
  <c r="I794" i="10"/>
  <c r="I793" i="10"/>
  <c r="I792" i="10"/>
  <c r="I791" i="10"/>
  <c r="I790" i="10"/>
  <c r="I789" i="10"/>
  <c r="I788" i="10"/>
  <c r="I787" i="10"/>
  <c r="I786" i="10"/>
  <c r="I785" i="10"/>
  <c r="I784" i="10"/>
  <c r="I783" i="10"/>
  <c r="I782" i="10"/>
  <c r="I781" i="10"/>
  <c r="I780" i="10"/>
  <c r="I779" i="10"/>
  <c r="I778" i="10"/>
  <c r="I777" i="10"/>
  <c r="I776" i="10"/>
  <c r="I775" i="10"/>
  <c r="I774" i="10"/>
  <c r="I773" i="10"/>
  <c r="I772" i="10"/>
  <c r="I771" i="10"/>
  <c r="I770" i="10"/>
  <c r="I769" i="10"/>
  <c r="I768" i="10"/>
  <c r="I767" i="10"/>
  <c r="I766" i="10"/>
  <c r="I765" i="10"/>
  <c r="I764" i="10"/>
  <c r="I763" i="10"/>
  <c r="I762" i="10"/>
  <c r="I761" i="10"/>
  <c r="I760" i="10"/>
  <c r="I759" i="10"/>
  <c r="I758" i="10"/>
  <c r="I757" i="10"/>
  <c r="I756" i="10"/>
  <c r="I755" i="10"/>
  <c r="I754" i="10"/>
  <c r="I753" i="10"/>
  <c r="I752" i="10"/>
  <c r="I751" i="10"/>
  <c r="I750" i="10"/>
  <c r="I749" i="10"/>
  <c r="I748" i="10"/>
  <c r="I747" i="10"/>
  <c r="I746" i="10"/>
  <c r="I745" i="10"/>
  <c r="I744" i="10"/>
  <c r="I743" i="10"/>
  <c r="I742" i="10"/>
  <c r="I741" i="10"/>
  <c r="I740" i="10"/>
  <c r="I739" i="10"/>
  <c r="I738" i="10"/>
  <c r="I737" i="10"/>
  <c r="I736" i="10"/>
  <c r="I735" i="10"/>
  <c r="I734" i="10"/>
  <c r="H812" i="10"/>
  <c r="H811" i="10"/>
  <c r="H810" i="10"/>
  <c r="H809" i="10"/>
  <c r="H808" i="10"/>
  <c r="H807" i="10"/>
  <c r="H806" i="10"/>
  <c r="H805" i="10"/>
  <c r="H804" i="10"/>
  <c r="H803" i="10"/>
  <c r="H802" i="10"/>
  <c r="H801" i="10"/>
  <c r="H800" i="10"/>
  <c r="H799" i="10"/>
  <c r="H798" i="10"/>
  <c r="H797" i="10"/>
  <c r="H796" i="10"/>
  <c r="H795" i="10"/>
  <c r="H794" i="10"/>
  <c r="H793" i="10"/>
  <c r="H792" i="10"/>
  <c r="H791" i="10"/>
  <c r="H790" i="10"/>
  <c r="H789" i="10"/>
  <c r="H788" i="10"/>
  <c r="H787" i="10"/>
  <c r="H786" i="10"/>
  <c r="H785" i="10"/>
  <c r="H784" i="10"/>
  <c r="H783" i="10"/>
  <c r="H782" i="10"/>
  <c r="H781" i="10"/>
  <c r="H780" i="10"/>
  <c r="H779" i="10"/>
  <c r="H778" i="10"/>
  <c r="H777" i="10"/>
  <c r="H776" i="10"/>
  <c r="H775" i="10"/>
  <c r="H774" i="10"/>
  <c r="H773" i="10"/>
  <c r="H772" i="10"/>
  <c r="H771" i="10"/>
  <c r="H770" i="10"/>
  <c r="H769" i="10"/>
  <c r="H768" i="10"/>
  <c r="H767" i="10"/>
  <c r="H766" i="10"/>
  <c r="H765" i="10"/>
  <c r="H764" i="10"/>
  <c r="H763" i="10"/>
  <c r="H762" i="10"/>
  <c r="H761" i="10"/>
  <c r="H760" i="10"/>
  <c r="H759" i="10"/>
  <c r="H758" i="10"/>
  <c r="H757" i="10"/>
  <c r="H756" i="10"/>
  <c r="H755" i="10"/>
  <c r="H754" i="10"/>
  <c r="H753" i="10"/>
  <c r="H752" i="10"/>
  <c r="H751" i="10"/>
  <c r="H750" i="10"/>
  <c r="H749" i="10"/>
  <c r="H748" i="10"/>
  <c r="H747" i="10"/>
  <c r="H746" i="10"/>
  <c r="H745" i="10"/>
  <c r="H744" i="10"/>
  <c r="H743" i="10"/>
  <c r="H742" i="10"/>
  <c r="H741" i="10"/>
  <c r="H740" i="10"/>
  <c r="H739" i="10"/>
  <c r="H738" i="10"/>
  <c r="H737" i="10"/>
  <c r="H736" i="10"/>
  <c r="H735" i="10"/>
  <c r="H734" i="10"/>
  <c r="G812" i="10"/>
  <c r="G811" i="10"/>
  <c r="G810" i="10"/>
  <c r="G809" i="10"/>
  <c r="G808" i="10"/>
  <c r="G807" i="10"/>
  <c r="G806" i="10"/>
  <c r="G805" i="10"/>
  <c r="G804" i="10"/>
  <c r="G803" i="10"/>
  <c r="G802" i="10"/>
  <c r="G801" i="10"/>
  <c r="G800" i="10"/>
  <c r="G799" i="10"/>
  <c r="G798" i="10"/>
  <c r="G797" i="10"/>
  <c r="G796" i="10"/>
  <c r="G795" i="10"/>
  <c r="G794" i="10"/>
  <c r="G793" i="10"/>
  <c r="G792" i="10"/>
  <c r="G791" i="10"/>
  <c r="G790" i="10"/>
  <c r="G789" i="10"/>
  <c r="G788" i="10"/>
  <c r="G787" i="10"/>
  <c r="G786" i="10"/>
  <c r="G785" i="10"/>
  <c r="G784" i="10"/>
  <c r="G783" i="10"/>
  <c r="G782" i="10"/>
  <c r="G781" i="10"/>
  <c r="G780" i="10"/>
  <c r="G779" i="10"/>
  <c r="G778" i="10"/>
  <c r="G777" i="10"/>
  <c r="G776" i="10"/>
  <c r="G775" i="10"/>
  <c r="G774" i="10"/>
  <c r="G773" i="10"/>
  <c r="G772" i="10"/>
  <c r="G771" i="10"/>
  <c r="G770" i="10"/>
  <c r="G769" i="10"/>
  <c r="G768" i="10"/>
  <c r="G767" i="10"/>
  <c r="G766" i="10"/>
  <c r="G765" i="10"/>
  <c r="G764" i="10"/>
  <c r="G763" i="10"/>
  <c r="G762" i="10"/>
  <c r="G761" i="10"/>
  <c r="G760" i="10"/>
  <c r="G759" i="10"/>
  <c r="G758" i="10"/>
  <c r="G757" i="10"/>
  <c r="G756" i="10"/>
  <c r="G755" i="10"/>
  <c r="G754" i="10"/>
  <c r="G753" i="10"/>
  <c r="G752" i="10"/>
  <c r="G751" i="10"/>
  <c r="G750" i="10"/>
  <c r="G749" i="10"/>
  <c r="G748" i="10"/>
  <c r="G747" i="10"/>
  <c r="G746" i="10"/>
  <c r="G744" i="10"/>
  <c r="G743" i="10"/>
  <c r="G742" i="10"/>
  <c r="G741" i="10"/>
  <c r="G740" i="10"/>
  <c r="G739" i="10"/>
  <c r="G738" i="10"/>
  <c r="G737" i="10"/>
  <c r="G736" i="10"/>
  <c r="G735" i="10"/>
  <c r="G734" i="10"/>
  <c r="F812" i="10"/>
  <c r="F811" i="10"/>
  <c r="F810" i="10"/>
  <c r="F809" i="10"/>
  <c r="F808" i="10"/>
  <c r="F807" i="10"/>
  <c r="F806" i="10"/>
  <c r="F805" i="10"/>
  <c r="F804" i="10"/>
  <c r="F803" i="10"/>
  <c r="F802" i="10"/>
  <c r="F801" i="10"/>
  <c r="F800" i="10"/>
  <c r="F799" i="10"/>
  <c r="F798" i="10"/>
  <c r="F797" i="10"/>
  <c r="F796" i="10"/>
  <c r="F795" i="10"/>
  <c r="F794" i="10"/>
  <c r="F793" i="10"/>
  <c r="F792" i="10"/>
  <c r="F791" i="10"/>
  <c r="F790" i="10"/>
  <c r="F789" i="10"/>
  <c r="F788" i="10"/>
  <c r="F787" i="10"/>
  <c r="F786" i="10"/>
  <c r="F785" i="10"/>
  <c r="F784" i="10"/>
  <c r="F783" i="10"/>
  <c r="F782" i="10"/>
  <c r="F781" i="10"/>
  <c r="F780" i="10"/>
  <c r="F779" i="10"/>
  <c r="F778" i="10"/>
  <c r="F777" i="10"/>
  <c r="F776" i="10"/>
  <c r="F775" i="10"/>
  <c r="F774" i="10"/>
  <c r="F773" i="10"/>
  <c r="F772" i="10"/>
  <c r="F771" i="10"/>
  <c r="F770" i="10"/>
  <c r="F769" i="10"/>
  <c r="F768" i="10"/>
  <c r="F767" i="10"/>
  <c r="F766" i="10"/>
  <c r="F765" i="10"/>
  <c r="F764" i="10"/>
  <c r="F763" i="10"/>
  <c r="F762" i="10"/>
  <c r="F761" i="10"/>
  <c r="F760" i="10"/>
  <c r="F759" i="10"/>
  <c r="F758" i="10"/>
  <c r="F757" i="10"/>
  <c r="F756" i="10"/>
  <c r="F755" i="10"/>
  <c r="F754" i="10"/>
  <c r="F753" i="10"/>
  <c r="F752" i="10"/>
  <c r="F751" i="10"/>
  <c r="F750" i="10"/>
  <c r="F749" i="10"/>
  <c r="F748" i="10"/>
  <c r="F747" i="10"/>
  <c r="F746" i="10"/>
  <c r="F745" i="10"/>
  <c r="F744" i="10"/>
  <c r="F743" i="10"/>
  <c r="F742" i="10"/>
  <c r="F741" i="10"/>
  <c r="F740" i="10"/>
  <c r="F739" i="10"/>
  <c r="F738" i="10"/>
  <c r="F737" i="10"/>
  <c r="F736" i="10"/>
  <c r="F735" i="10"/>
  <c r="F734" i="10"/>
  <c r="D812" i="10"/>
  <c r="D811" i="10"/>
  <c r="D810" i="10"/>
  <c r="D809" i="10"/>
  <c r="D808" i="10"/>
  <c r="D807" i="10"/>
  <c r="D806" i="10"/>
  <c r="D805" i="10"/>
  <c r="D804" i="10"/>
  <c r="D803" i="10"/>
  <c r="D802" i="10"/>
  <c r="D801" i="10"/>
  <c r="D800" i="10"/>
  <c r="D799" i="10"/>
  <c r="D798" i="10"/>
  <c r="D797" i="10"/>
  <c r="D796" i="10"/>
  <c r="D795" i="10"/>
  <c r="D794" i="10"/>
  <c r="D793" i="10"/>
  <c r="D792" i="10"/>
  <c r="D791" i="10"/>
  <c r="D790" i="10"/>
  <c r="D789" i="10"/>
  <c r="D788" i="10"/>
  <c r="D787" i="10"/>
  <c r="D786" i="10"/>
  <c r="D785" i="10"/>
  <c r="D784" i="10"/>
  <c r="D783" i="10"/>
  <c r="D782" i="10"/>
  <c r="D781" i="10"/>
  <c r="D780" i="10"/>
  <c r="D779" i="10"/>
  <c r="D778" i="10"/>
  <c r="D777" i="10"/>
  <c r="D776" i="10"/>
  <c r="D775" i="10"/>
  <c r="D774" i="10"/>
  <c r="D773" i="10"/>
  <c r="D772" i="10"/>
  <c r="D771" i="10"/>
  <c r="D770" i="10"/>
  <c r="D769" i="10"/>
  <c r="D768" i="10"/>
  <c r="D767" i="10"/>
  <c r="D766" i="10"/>
  <c r="D765" i="10"/>
  <c r="D764" i="10"/>
  <c r="D763" i="10"/>
  <c r="D762" i="10"/>
  <c r="D761" i="10"/>
  <c r="D760" i="10"/>
  <c r="D759" i="10"/>
  <c r="D758" i="10"/>
  <c r="D757" i="10"/>
  <c r="D756" i="10"/>
  <c r="D755" i="10"/>
  <c r="D754" i="10"/>
  <c r="D753" i="10"/>
  <c r="D752" i="10"/>
  <c r="D751" i="10"/>
  <c r="D750" i="10"/>
  <c r="D749" i="10"/>
  <c r="D748" i="10"/>
  <c r="D747" i="10"/>
  <c r="D746" i="10"/>
  <c r="D745" i="10"/>
  <c r="D744" i="10"/>
  <c r="D743" i="10"/>
  <c r="D742" i="10"/>
  <c r="D741" i="10"/>
  <c r="D740" i="10"/>
  <c r="D739" i="10"/>
  <c r="D738" i="10"/>
  <c r="D737" i="10"/>
  <c r="D736" i="10"/>
  <c r="D735" i="10"/>
  <c r="D734" i="10"/>
  <c r="CB60" i="10"/>
  <c r="C811" i="10" s="1"/>
  <c r="BN60" i="10"/>
  <c r="C797" i="10" s="1"/>
  <c r="AZ59" i="10"/>
  <c r="C59" i="10"/>
  <c r="B734" i="10" s="1"/>
  <c r="CB52" i="10"/>
  <c r="BT52" i="10"/>
  <c r="BT67" i="10" s="1"/>
  <c r="J803" i="10" s="1"/>
  <c r="BL52" i="10"/>
  <c r="BD52" i="10"/>
  <c r="BD67" i="10" s="1"/>
  <c r="J787" i="10" s="1"/>
  <c r="AV52" i="10"/>
  <c r="AN52" i="10"/>
  <c r="AN67" i="10" s="1"/>
  <c r="J771" i="10" s="1"/>
  <c r="AF52" i="10"/>
  <c r="X52" i="10"/>
  <c r="X67" i="10" s="1"/>
  <c r="J755" i="10" s="1"/>
  <c r="P52" i="10"/>
  <c r="H52" i="10"/>
  <c r="H67" i="10" s="1"/>
  <c r="J739" i="10" s="1"/>
  <c r="CA52" i="10"/>
  <c r="CB67" i="10"/>
  <c r="J811" i="10" s="1"/>
  <c r="CA67" i="10"/>
  <c r="J810" i="10" s="1"/>
  <c r="BZ67" i="10"/>
  <c r="J809" i="10" s="1"/>
  <c r="BL67" i="10"/>
  <c r="J795" i="10" s="1"/>
  <c r="AV67" i="10"/>
  <c r="J779" i="10" s="1"/>
  <c r="AF67" i="10"/>
  <c r="J763" i="10" s="1"/>
  <c r="P67" i="10"/>
  <c r="J747" i="10" s="1"/>
  <c r="B53" i="10"/>
  <c r="B49" i="10"/>
  <c r="CE47" i="10"/>
  <c r="D181" i="10" l="1"/>
  <c r="D435" i="10" s="1"/>
  <c r="E199" i="10"/>
  <c r="C472" i="10" s="1"/>
  <c r="E213" i="10"/>
  <c r="D328" i="10"/>
  <c r="D415" i="10"/>
  <c r="B432" i="10"/>
  <c r="D330" i="10"/>
  <c r="B438" i="10"/>
  <c r="B475" i="10"/>
  <c r="CE60" i="10"/>
  <c r="H612" i="10" s="1"/>
  <c r="CE79" i="10"/>
  <c r="S816" i="10" s="1"/>
  <c r="E212" i="10"/>
  <c r="D260" i="10"/>
  <c r="B465" i="10"/>
  <c r="B575" i="1"/>
  <c r="BE67" i="10"/>
  <c r="J788" i="10" s="1"/>
  <c r="AI67" i="10"/>
  <c r="J766" i="10" s="1"/>
  <c r="BP67" i="10"/>
  <c r="J799" i="10" s="1"/>
  <c r="CE51" i="10"/>
  <c r="I52" i="10"/>
  <c r="I67" i="10" s="1"/>
  <c r="J740" i="10" s="1"/>
  <c r="Q52" i="10"/>
  <c r="Q67" i="10" s="1"/>
  <c r="J748" i="10" s="1"/>
  <c r="Y52" i="10"/>
  <c r="Y67" i="10" s="1"/>
  <c r="J756" i="10" s="1"/>
  <c r="AG52" i="10"/>
  <c r="AG67" i="10" s="1"/>
  <c r="J764" i="10" s="1"/>
  <c r="AO52" i="10"/>
  <c r="AO67" i="10" s="1"/>
  <c r="J772" i="10" s="1"/>
  <c r="AW52" i="10"/>
  <c r="AW67" i="10" s="1"/>
  <c r="J780" i="10" s="1"/>
  <c r="BE52" i="10"/>
  <c r="BM52" i="10"/>
  <c r="BM67" i="10" s="1"/>
  <c r="J796" i="10" s="1"/>
  <c r="BU52" i="10"/>
  <c r="BU67" i="10" s="1"/>
  <c r="J804" i="10" s="1"/>
  <c r="CC52" i="10"/>
  <c r="CC67" i="10" s="1"/>
  <c r="J812" i="10" s="1"/>
  <c r="D815" i="10"/>
  <c r="F815" i="10"/>
  <c r="G815" i="10"/>
  <c r="H815" i="10"/>
  <c r="I815" i="10"/>
  <c r="K815" i="10"/>
  <c r="C439" i="10"/>
  <c r="CE69" i="10"/>
  <c r="O739" i="10"/>
  <c r="H75" i="10"/>
  <c r="N739" i="10" s="1"/>
  <c r="O747" i="10"/>
  <c r="P75" i="10"/>
  <c r="N747" i="10" s="1"/>
  <c r="O755" i="10"/>
  <c r="X75" i="10"/>
  <c r="N755" i="10" s="1"/>
  <c r="O763" i="10"/>
  <c r="AF75" i="10"/>
  <c r="N763" i="10" s="1"/>
  <c r="O771" i="10"/>
  <c r="AN75" i="10"/>
  <c r="N771" i="10" s="1"/>
  <c r="O779" i="10"/>
  <c r="AV75" i="10"/>
  <c r="N779" i="10" s="1"/>
  <c r="M75" i="10"/>
  <c r="N744" i="10" s="1"/>
  <c r="AA75" i="10"/>
  <c r="N758" i="10" s="1"/>
  <c r="AL75" i="10"/>
  <c r="N769" i="10" s="1"/>
  <c r="Q816" i="10"/>
  <c r="G612" i="10"/>
  <c r="D173" i="10"/>
  <c r="D428" i="10" s="1"/>
  <c r="W722" i="10"/>
  <c r="D204" i="10"/>
  <c r="E196" i="10"/>
  <c r="C469" i="10" s="1"/>
  <c r="E209" i="10"/>
  <c r="CD722" i="10"/>
  <c r="CC722" i="10"/>
  <c r="C366" i="10"/>
  <c r="D390" i="10"/>
  <c r="B441" i="10" s="1"/>
  <c r="F521" i="10"/>
  <c r="O754" i="10"/>
  <c r="W75" i="10"/>
  <c r="N754" i="10" s="1"/>
  <c r="J52" i="10"/>
  <c r="J67" i="10" s="1"/>
  <c r="J741" i="10" s="1"/>
  <c r="R52" i="10"/>
  <c r="R67" i="10" s="1"/>
  <c r="J749" i="10" s="1"/>
  <c r="Z52" i="10"/>
  <c r="Z67" i="10" s="1"/>
  <c r="J757" i="10" s="1"/>
  <c r="AH52" i="10"/>
  <c r="AH67" i="10" s="1"/>
  <c r="J765" i="10" s="1"/>
  <c r="AP52" i="10"/>
  <c r="AP67" i="10" s="1"/>
  <c r="J773" i="10" s="1"/>
  <c r="AX52" i="10"/>
  <c r="AX67" i="10" s="1"/>
  <c r="J781" i="10" s="1"/>
  <c r="BF52" i="10"/>
  <c r="BF67" i="10" s="1"/>
  <c r="J789" i="10" s="1"/>
  <c r="BN52" i="10"/>
  <c r="BN67" i="10" s="1"/>
  <c r="J797" i="10" s="1"/>
  <c r="BV52" i="10"/>
  <c r="BV67" i="10" s="1"/>
  <c r="J805" i="10" s="1"/>
  <c r="M815" i="10"/>
  <c r="CE70" i="10"/>
  <c r="O740" i="10"/>
  <c r="I75" i="10"/>
  <c r="N740" i="10" s="1"/>
  <c r="O748" i="10"/>
  <c r="Q75" i="10"/>
  <c r="N748" i="10" s="1"/>
  <c r="O756" i="10"/>
  <c r="Y75" i="10"/>
  <c r="N756" i="10" s="1"/>
  <c r="O764" i="10"/>
  <c r="AG75" i="10"/>
  <c r="N764" i="10" s="1"/>
  <c r="O772" i="10"/>
  <c r="AO75" i="10"/>
  <c r="N772" i="10" s="1"/>
  <c r="CE73" i="10"/>
  <c r="C75" i="10"/>
  <c r="N75" i="10"/>
  <c r="N745" i="10" s="1"/>
  <c r="AB75" i="10"/>
  <c r="N759" i="10" s="1"/>
  <c r="AP75" i="10"/>
  <c r="N773" i="10" s="1"/>
  <c r="E142" i="10"/>
  <c r="D464" i="10" s="1"/>
  <c r="D465" i="10" s="1"/>
  <c r="J722" i="10"/>
  <c r="D177" i="10"/>
  <c r="D434" i="10" s="1"/>
  <c r="H544" i="10"/>
  <c r="F544" i="10"/>
  <c r="CE63" i="10"/>
  <c r="CE68" i="10"/>
  <c r="C468" i="10"/>
  <c r="C52" i="10"/>
  <c r="C67" i="10" s="1"/>
  <c r="K52" i="10"/>
  <c r="K67" i="10" s="1"/>
  <c r="J742" i="10" s="1"/>
  <c r="S52" i="10"/>
  <c r="S67" i="10" s="1"/>
  <c r="J750" i="10" s="1"/>
  <c r="AA52" i="10"/>
  <c r="AA67" i="10" s="1"/>
  <c r="J758" i="10" s="1"/>
  <c r="AI52" i="10"/>
  <c r="AQ52" i="10"/>
  <c r="AQ67" i="10" s="1"/>
  <c r="J774" i="10" s="1"/>
  <c r="AY52" i="10"/>
  <c r="AY67" i="10" s="1"/>
  <c r="J782" i="10" s="1"/>
  <c r="BG52" i="10"/>
  <c r="BG67" i="10" s="1"/>
  <c r="J790" i="10" s="1"/>
  <c r="BO52" i="10"/>
  <c r="BO67" i="10" s="1"/>
  <c r="J798" i="10" s="1"/>
  <c r="BW52" i="10"/>
  <c r="BW67" i="10" s="1"/>
  <c r="J806" i="10" s="1"/>
  <c r="D75" i="10"/>
  <c r="N735" i="10" s="1"/>
  <c r="R75" i="10"/>
  <c r="N749" i="10" s="1"/>
  <c r="AC75" i="10"/>
  <c r="N760" i="10" s="1"/>
  <c r="AI726" i="10"/>
  <c r="E139" i="10"/>
  <c r="C415" i="10" s="1"/>
  <c r="BU722" i="10"/>
  <c r="C227" i="10"/>
  <c r="BX722" i="10" s="1"/>
  <c r="M817" i="10"/>
  <c r="BO730" i="10"/>
  <c r="B458" i="10"/>
  <c r="E496" i="10"/>
  <c r="CE64" i="10"/>
  <c r="O738" i="10"/>
  <c r="O815" i="10" s="1"/>
  <c r="G75" i="10"/>
  <c r="N738" i="10" s="1"/>
  <c r="O778" i="10"/>
  <c r="AU75" i="10"/>
  <c r="N778" i="10" s="1"/>
  <c r="F535" i="10"/>
  <c r="D52" i="10"/>
  <c r="D67" i="10" s="1"/>
  <c r="J735" i="10" s="1"/>
  <c r="L52" i="10"/>
  <c r="L67" i="10" s="1"/>
  <c r="J743" i="10" s="1"/>
  <c r="T52" i="10"/>
  <c r="T67" i="10" s="1"/>
  <c r="J751" i="10" s="1"/>
  <c r="AB52" i="10"/>
  <c r="AB67" i="10" s="1"/>
  <c r="J759" i="10" s="1"/>
  <c r="AJ52" i="10"/>
  <c r="AJ67" i="10" s="1"/>
  <c r="J767" i="10" s="1"/>
  <c r="AR52" i="10"/>
  <c r="AR67" i="10" s="1"/>
  <c r="J775" i="10" s="1"/>
  <c r="AZ52" i="10"/>
  <c r="AZ67" i="10" s="1"/>
  <c r="J783" i="10" s="1"/>
  <c r="BH52" i="10"/>
  <c r="BH67" i="10" s="1"/>
  <c r="J791" i="10" s="1"/>
  <c r="BP52" i="10"/>
  <c r="BX52" i="10"/>
  <c r="BX67" i="10" s="1"/>
  <c r="J807" i="10" s="1"/>
  <c r="E75" i="10"/>
  <c r="N736" i="10" s="1"/>
  <c r="S75" i="10"/>
  <c r="N750" i="10" s="1"/>
  <c r="AD75" i="10"/>
  <c r="N761" i="10" s="1"/>
  <c r="AR75" i="10"/>
  <c r="N775" i="10" s="1"/>
  <c r="E203" i="10"/>
  <c r="C475" i="10" s="1"/>
  <c r="E215" i="10"/>
  <c r="D283" i="10"/>
  <c r="D372" i="10"/>
  <c r="O762" i="10"/>
  <c r="AE75" i="10"/>
  <c r="N762" i="10" s="1"/>
  <c r="Q730" i="10"/>
  <c r="B470" i="10"/>
  <c r="D275" i="10"/>
  <c r="E52" i="10"/>
  <c r="E67" i="10" s="1"/>
  <c r="J736" i="10" s="1"/>
  <c r="M52" i="10"/>
  <c r="M67" i="10" s="1"/>
  <c r="J744" i="10" s="1"/>
  <c r="U52" i="10"/>
  <c r="U67" i="10" s="1"/>
  <c r="J752" i="10" s="1"/>
  <c r="AC52" i="10"/>
  <c r="AC67" i="10" s="1"/>
  <c r="J760" i="10" s="1"/>
  <c r="AK52" i="10"/>
  <c r="AK67" i="10" s="1"/>
  <c r="J768" i="10" s="1"/>
  <c r="AS52" i="10"/>
  <c r="AS67" i="10" s="1"/>
  <c r="J776" i="10" s="1"/>
  <c r="BA52" i="10"/>
  <c r="BA67" i="10" s="1"/>
  <c r="J784" i="10" s="1"/>
  <c r="BI52" i="10"/>
  <c r="BI67" i="10" s="1"/>
  <c r="J792" i="10" s="1"/>
  <c r="BQ52" i="10"/>
  <c r="BQ67" i="10" s="1"/>
  <c r="J800" i="10" s="1"/>
  <c r="BY52" i="10"/>
  <c r="BY67" i="10" s="1"/>
  <c r="J808" i="10" s="1"/>
  <c r="B783" i="10"/>
  <c r="E545" i="10"/>
  <c r="F75" i="10"/>
  <c r="N737" i="10" s="1"/>
  <c r="T75" i="10"/>
  <c r="N751" i="10" s="1"/>
  <c r="AH75" i="10"/>
  <c r="N765" i="10" s="1"/>
  <c r="AS75" i="10"/>
  <c r="N776" i="10" s="1"/>
  <c r="L734" i="10"/>
  <c r="CE61" i="10"/>
  <c r="O770" i="10"/>
  <c r="AM75" i="10"/>
  <c r="N770" i="10" s="1"/>
  <c r="F52" i="10"/>
  <c r="F67" i="10" s="1"/>
  <c r="J737" i="10" s="1"/>
  <c r="N52" i="10"/>
  <c r="N67" i="10" s="1"/>
  <c r="J745" i="10" s="1"/>
  <c r="V52" i="10"/>
  <c r="V67" i="10" s="1"/>
  <c r="J753" i="10" s="1"/>
  <c r="AD52" i="10"/>
  <c r="AD67" i="10" s="1"/>
  <c r="J761" i="10" s="1"/>
  <c r="AL52" i="10"/>
  <c r="AL67" i="10" s="1"/>
  <c r="J769" i="10" s="1"/>
  <c r="AT52" i="10"/>
  <c r="AT67" i="10" s="1"/>
  <c r="J777" i="10" s="1"/>
  <c r="BB52" i="10"/>
  <c r="BB67" i="10" s="1"/>
  <c r="J785" i="10" s="1"/>
  <c r="BJ52" i="10"/>
  <c r="BJ67" i="10" s="1"/>
  <c r="J793" i="10" s="1"/>
  <c r="BR52" i="10"/>
  <c r="BR67" i="10" s="1"/>
  <c r="J801" i="10" s="1"/>
  <c r="J75" i="10"/>
  <c r="N741" i="10" s="1"/>
  <c r="U75" i="10"/>
  <c r="N752" i="10" s="1"/>
  <c r="AT75" i="10"/>
  <c r="N777" i="10" s="1"/>
  <c r="D229" i="10"/>
  <c r="B445" i="10" s="1"/>
  <c r="D438" i="10"/>
  <c r="F501" i="10"/>
  <c r="F509" i="10"/>
  <c r="C816" i="10"/>
  <c r="BI730" i="10"/>
  <c r="CE65" i="10"/>
  <c r="CE66" i="10"/>
  <c r="U813" i="10"/>
  <c r="U815" i="10" s="1"/>
  <c r="C615" i="10"/>
  <c r="O746" i="10"/>
  <c r="O75" i="10"/>
  <c r="N746" i="10" s="1"/>
  <c r="G52" i="10"/>
  <c r="G67" i="10" s="1"/>
  <c r="J738" i="10" s="1"/>
  <c r="O52" i="10"/>
  <c r="O67" i="10" s="1"/>
  <c r="J746" i="10" s="1"/>
  <c r="W52" i="10"/>
  <c r="W67" i="10" s="1"/>
  <c r="J754" i="10" s="1"/>
  <c r="AE52" i="10"/>
  <c r="AE67" i="10" s="1"/>
  <c r="J762" i="10" s="1"/>
  <c r="AM52" i="10"/>
  <c r="AM67" i="10" s="1"/>
  <c r="J770" i="10" s="1"/>
  <c r="AU52" i="10"/>
  <c r="AU67" i="10" s="1"/>
  <c r="J778" i="10" s="1"/>
  <c r="BC52" i="10"/>
  <c r="BC67" i="10" s="1"/>
  <c r="J786" i="10" s="1"/>
  <c r="BK52" i="10"/>
  <c r="BK67" i="10" s="1"/>
  <c r="J794" i="10" s="1"/>
  <c r="BS52" i="10"/>
  <c r="BS67" i="10" s="1"/>
  <c r="J802" i="10" s="1"/>
  <c r="K75" i="10"/>
  <c r="N742" i="10" s="1"/>
  <c r="V75" i="10"/>
  <c r="N753" i="10" s="1"/>
  <c r="AJ75" i="10"/>
  <c r="N767" i="10" s="1"/>
  <c r="P816" i="10"/>
  <c r="D612" i="10"/>
  <c r="T816" i="10"/>
  <c r="L612" i="10"/>
  <c r="E200" i="10"/>
  <c r="C473" i="10" s="1"/>
  <c r="D217" i="10"/>
  <c r="CB722" i="10"/>
  <c r="B455" i="10"/>
  <c r="AJ730" i="10"/>
  <c r="D314" i="10"/>
  <c r="B439" i="10"/>
  <c r="B440" i="10" s="1"/>
  <c r="H527" i="10"/>
  <c r="F527" i="10"/>
  <c r="F496" i="10"/>
  <c r="F504" i="10"/>
  <c r="F516" i="10"/>
  <c r="F522" i="10"/>
  <c r="F530" i="10"/>
  <c r="F538" i="10"/>
  <c r="BV730" i="10"/>
  <c r="D817" i="10"/>
  <c r="BQ730" i="10"/>
  <c r="B464" i="10"/>
  <c r="F503" i="10"/>
  <c r="F511" i="10"/>
  <c r="F515" i="10"/>
  <c r="F529" i="10"/>
  <c r="F537" i="10"/>
  <c r="F546" i="10"/>
  <c r="E197" i="10"/>
  <c r="C470" i="10" s="1"/>
  <c r="E202" i="10"/>
  <c r="C474" i="10" s="1"/>
  <c r="C217" i="10"/>
  <c r="D433" i="10" s="1"/>
  <c r="F502" i="10"/>
  <c r="F510" i="10"/>
  <c r="F514" i="10"/>
  <c r="F528" i="10"/>
  <c r="F536" i="10"/>
  <c r="L817" i="10"/>
  <c r="BZ730" i="10"/>
  <c r="T815" i="10"/>
  <c r="Q815" i="10"/>
  <c r="P815" i="10"/>
  <c r="R815" i="10"/>
  <c r="C815" i="10"/>
  <c r="S815" i="10"/>
  <c r="J612" i="10" l="1"/>
  <c r="D339" i="10"/>
  <c r="C482" i="10" s="1"/>
  <c r="G816" i="10"/>
  <c r="F612" i="10"/>
  <c r="C430" i="10"/>
  <c r="O816" i="10"/>
  <c r="C463" i="10"/>
  <c r="D242" i="10"/>
  <c r="B448" i="10" s="1"/>
  <c r="E204" i="10"/>
  <c r="C476" i="10" s="1"/>
  <c r="I816" i="10"/>
  <c r="C432" i="10"/>
  <c r="K816" i="10"/>
  <c r="C434" i="10"/>
  <c r="E217" i="10"/>
  <c r="C478" i="10" s="1"/>
  <c r="L816" i="10"/>
  <c r="C440" i="10"/>
  <c r="H816" i="10"/>
  <c r="C431" i="10"/>
  <c r="M816" i="10"/>
  <c r="C458" i="10"/>
  <c r="F816" i="10"/>
  <c r="C429" i="10"/>
  <c r="D816" i="10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C427" i="10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BG48" i="10"/>
  <c r="BG62" i="10" s="1"/>
  <c r="AA48" i="10"/>
  <c r="AA62" i="10" s="1"/>
  <c r="K48" i="10"/>
  <c r="K62" i="10" s="1"/>
  <c r="C48" i="10"/>
  <c r="CA48" i="10"/>
  <c r="CA62" i="10" s="1"/>
  <c r="BS48" i="10"/>
  <c r="BS62" i="10" s="1"/>
  <c r="BK48" i="10"/>
  <c r="BK62" i="10" s="1"/>
  <c r="BC48" i="10"/>
  <c r="BC62" i="10" s="1"/>
  <c r="AU48" i="10"/>
  <c r="AU62" i="10" s="1"/>
  <c r="AM48" i="10"/>
  <c r="AM62" i="10" s="1"/>
  <c r="AE48" i="10"/>
  <c r="AE62" i="10" s="1"/>
  <c r="W48" i="10"/>
  <c r="W62" i="10" s="1"/>
  <c r="O48" i="10"/>
  <c r="O62" i="10" s="1"/>
  <c r="G48" i="10"/>
  <c r="G62" i="10" s="1"/>
  <c r="F48" i="10"/>
  <c r="F62" i="10" s="1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AQ48" i="10"/>
  <c r="AQ62" i="10" s="1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E48" i="10"/>
  <c r="E62" i="10" s="1"/>
  <c r="AY48" i="10"/>
  <c r="AY62" i="10" s="1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BW48" i="10"/>
  <c r="BW62" i="10" s="1"/>
  <c r="BO48" i="10"/>
  <c r="BO62" i="10" s="1"/>
  <c r="AI48" i="10"/>
  <c r="AI62" i="10" s="1"/>
  <c r="S48" i="10"/>
  <c r="S62" i="10" s="1"/>
  <c r="J734" i="10"/>
  <c r="J815" i="10" s="1"/>
  <c r="CE67" i="10"/>
  <c r="L815" i="10"/>
  <c r="D277" i="10"/>
  <c r="D292" i="10" s="1"/>
  <c r="D341" i="10" s="1"/>
  <c r="C481" i="10" s="1"/>
  <c r="B476" i="10"/>
  <c r="CE52" i="10"/>
  <c r="N734" i="10"/>
  <c r="N815" i="10" s="1"/>
  <c r="CE75" i="10"/>
  <c r="BN730" i="10"/>
  <c r="C447" i="10"/>
  <c r="C364" i="10"/>
  <c r="E776" i="10" l="1"/>
  <c r="AS71" i="10"/>
  <c r="B538" i="1" s="1"/>
  <c r="E784" i="10"/>
  <c r="BA71" i="10"/>
  <c r="B546" i="1" s="1"/>
  <c r="E782" i="10"/>
  <c r="AY71" i="10"/>
  <c r="B544" i="1" s="1"/>
  <c r="E792" i="10"/>
  <c r="BI71" i="10"/>
  <c r="B554" i="1" s="1"/>
  <c r="E777" i="10"/>
  <c r="AT71" i="10"/>
  <c r="B539" i="1" s="1"/>
  <c r="E754" i="10"/>
  <c r="W71" i="10"/>
  <c r="B516" i="1" s="1"/>
  <c r="CE48" i="10"/>
  <c r="C62" i="10"/>
  <c r="E771" i="10"/>
  <c r="AN71" i="10"/>
  <c r="B533" i="1" s="1"/>
  <c r="E748" i="10"/>
  <c r="Q71" i="10"/>
  <c r="B510" i="1" s="1"/>
  <c r="E812" i="10"/>
  <c r="CC71" i="10"/>
  <c r="B574" i="1" s="1"/>
  <c r="E797" i="10"/>
  <c r="BN71" i="10"/>
  <c r="B559" i="1" s="1"/>
  <c r="E759" i="10"/>
  <c r="AB71" i="10"/>
  <c r="B521" i="1" s="1"/>
  <c r="E736" i="10"/>
  <c r="E71" i="10"/>
  <c r="B498" i="1" s="1"/>
  <c r="E800" i="10"/>
  <c r="BQ71" i="10"/>
  <c r="B562" i="1" s="1"/>
  <c r="E785" i="10"/>
  <c r="BB71" i="10"/>
  <c r="B547" i="1" s="1"/>
  <c r="E762" i="10"/>
  <c r="AE71" i="10"/>
  <c r="B524" i="1" s="1"/>
  <c r="E742" i="10"/>
  <c r="K71" i="10"/>
  <c r="B504" i="1" s="1"/>
  <c r="E779" i="10"/>
  <c r="AV71" i="10"/>
  <c r="B541" i="1" s="1"/>
  <c r="E756" i="10"/>
  <c r="Y71" i="10"/>
  <c r="B518" i="1" s="1"/>
  <c r="E741" i="10"/>
  <c r="J71" i="10"/>
  <c r="B503" i="1" s="1"/>
  <c r="E805" i="10"/>
  <c r="BV71" i="10"/>
  <c r="B567" i="1" s="1"/>
  <c r="E799" i="10"/>
  <c r="BP71" i="10"/>
  <c r="B561" i="1" s="1"/>
  <c r="E755" i="10"/>
  <c r="X71" i="10"/>
  <c r="B517" i="1" s="1"/>
  <c r="E743" i="10"/>
  <c r="L71" i="10"/>
  <c r="B505" i="1" s="1"/>
  <c r="J816" i="10"/>
  <c r="C433" i="10"/>
  <c r="E750" i="10"/>
  <c r="S71" i="10"/>
  <c r="B512" i="1" s="1"/>
  <c r="E744" i="10"/>
  <c r="M71" i="10"/>
  <c r="B506" i="1" s="1"/>
  <c r="E793" i="10"/>
  <c r="BJ71" i="10"/>
  <c r="B555" i="1" s="1"/>
  <c r="E770" i="10"/>
  <c r="AM71" i="10"/>
  <c r="B532" i="1" s="1"/>
  <c r="E758" i="10"/>
  <c r="AA71" i="10"/>
  <c r="B520" i="1" s="1"/>
  <c r="E787" i="10"/>
  <c r="BD71" i="10"/>
  <c r="B549" i="1" s="1"/>
  <c r="E764" i="10"/>
  <c r="AG71" i="10"/>
  <c r="B526" i="1" s="1"/>
  <c r="E749" i="10"/>
  <c r="R71" i="10"/>
  <c r="B511" i="1" s="1"/>
  <c r="E766" i="10"/>
  <c r="AI71" i="10"/>
  <c r="B528" i="1" s="1"/>
  <c r="E775" i="10"/>
  <c r="AR71" i="10"/>
  <c r="B537" i="1" s="1"/>
  <c r="E752" i="10"/>
  <c r="U71" i="10"/>
  <c r="B514" i="1" s="1"/>
  <c r="E774" i="10"/>
  <c r="AQ71" i="10"/>
  <c r="B536" i="1" s="1"/>
  <c r="E801" i="10"/>
  <c r="BR71" i="10"/>
  <c r="B563" i="1" s="1"/>
  <c r="E778" i="10"/>
  <c r="AU71" i="10"/>
  <c r="B540" i="1" s="1"/>
  <c r="E790" i="10"/>
  <c r="BG71" i="10"/>
  <c r="B552" i="1" s="1"/>
  <c r="E795" i="10"/>
  <c r="BL71" i="10"/>
  <c r="B557" i="1" s="1"/>
  <c r="E772" i="10"/>
  <c r="AO71" i="10"/>
  <c r="B534" i="1" s="1"/>
  <c r="E757" i="10"/>
  <c r="Z71" i="10"/>
  <c r="B519" i="1" s="1"/>
  <c r="E802" i="10"/>
  <c r="BS71" i="10"/>
  <c r="B564" i="1" s="1"/>
  <c r="E796" i="10"/>
  <c r="BM71" i="10"/>
  <c r="B558" i="1" s="1"/>
  <c r="E769" i="10"/>
  <c r="AL71" i="10"/>
  <c r="B531" i="1" s="1"/>
  <c r="N816" i="10"/>
  <c r="K612" i="10"/>
  <c r="C465" i="10"/>
  <c r="E739" i="10"/>
  <c r="H71" i="10"/>
  <c r="B501" i="1" s="1"/>
  <c r="E761" i="10"/>
  <c r="AD71" i="10"/>
  <c r="B523" i="1" s="1"/>
  <c r="E807" i="10"/>
  <c r="BX71" i="10"/>
  <c r="B569" i="1" s="1"/>
  <c r="E751" i="10"/>
  <c r="T71" i="10"/>
  <c r="B513" i="1" s="1"/>
  <c r="E767" i="10"/>
  <c r="AJ71" i="10"/>
  <c r="B529" i="1" s="1"/>
  <c r="E808" i="10"/>
  <c r="BY71" i="10"/>
  <c r="B570" i="1" s="1"/>
  <c r="E798" i="10"/>
  <c r="BO71" i="10"/>
  <c r="B560" i="1" s="1"/>
  <c r="E783" i="10"/>
  <c r="AZ71" i="10"/>
  <c r="B545" i="1" s="1"/>
  <c r="E760" i="10"/>
  <c r="AC71" i="10"/>
  <c r="B522" i="1" s="1"/>
  <c r="E745" i="10"/>
  <c r="N71" i="10"/>
  <c r="B507" i="1" s="1"/>
  <c r="E809" i="10"/>
  <c r="BZ71" i="10"/>
  <c r="B571" i="1" s="1"/>
  <c r="E786" i="10"/>
  <c r="BC71" i="10"/>
  <c r="B548" i="1" s="1"/>
  <c r="E803" i="10"/>
  <c r="BT71" i="10"/>
  <c r="B565" i="1" s="1"/>
  <c r="E780" i="10"/>
  <c r="AW71" i="10"/>
  <c r="B542" i="1" s="1"/>
  <c r="E765" i="10"/>
  <c r="AH71" i="10"/>
  <c r="B527" i="1" s="1"/>
  <c r="E806" i="10"/>
  <c r="BW71" i="10"/>
  <c r="B568" i="1" s="1"/>
  <c r="E791" i="10"/>
  <c r="BH71" i="10"/>
  <c r="B553" i="1" s="1"/>
  <c r="E768" i="10"/>
  <c r="AK71" i="10"/>
  <c r="B530" i="1" s="1"/>
  <c r="E753" i="10"/>
  <c r="V71" i="10"/>
  <c r="B515" i="1" s="1"/>
  <c r="E737" i="10"/>
  <c r="F71" i="10"/>
  <c r="B499" i="1" s="1"/>
  <c r="E794" i="10"/>
  <c r="BK71" i="10"/>
  <c r="B556" i="1" s="1"/>
  <c r="E747" i="10"/>
  <c r="P71" i="10"/>
  <c r="B509" i="1" s="1"/>
  <c r="E811" i="10"/>
  <c r="CB71" i="10"/>
  <c r="B573" i="1" s="1"/>
  <c r="E788" i="10"/>
  <c r="BE71" i="10"/>
  <c r="B550" i="1" s="1"/>
  <c r="E773" i="10"/>
  <c r="AP71" i="10"/>
  <c r="B535" i="1" s="1"/>
  <c r="E735" i="10"/>
  <c r="D71" i="10"/>
  <c r="B497" i="1" s="1"/>
  <c r="E738" i="10"/>
  <c r="G71" i="10"/>
  <c r="B500" i="1" s="1"/>
  <c r="E781" i="10"/>
  <c r="AX71" i="10"/>
  <c r="B543" i="1" s="1"/>
  <c r="BL730" i="10"/>
  <c r="C445" i="10"/>
  <c r="D367" i="10"/>
  <c r="E746" i="10"/>
  <c r="O71" i="10"/>
  <c r="B508" i="1" s="1"/>
  <c r="E810" i="10"/>
  <c r="CA71" i="10"/>
  <c r="B572" i="1" s="1"/>
  <c r="E763" i="10"/>
  <c r="AF71" i="10"/>
  <c r="B525" i="1" s="1"/>
  <c r="E740" i="10"/>
  <c r="I71" i="10"/>
  <c r="B502" i="1" s="1"/>
  <c r="E804" i="10"/>
  <c r="BU71" i="10"/>
  <c r="B566" i="1" s="1"/>
  <c r="E789" i="10"/>
  <c r="BF71" i="10"/>
  <c r="B551" i="1" s="1"/>
  <c r="C616" i="10" l="1"/>
  <c r="C543" i="10"/>
  <c r="C614" i="10"/>
  <c r="C550" i="10"/>
  <c r="C671" i="10"/>
  <c r="C499" i="10"/>
  <c r="G499" i="10" s="1"/>
  <c r="C643" i="10"/>
  <c r="C568" i="10"/>
  <c r="C633" i="10"/>
  <c r="C548" i="10"/>
  <c r="C628" i="10"/>
  <c r="C545" i="10"/>
  <c r="C685" i="10"/>
  <c r="C513" i="10"/>
  <c r="C698" i="10"/>
  <c r="C526" i="10"/>
  <c r="C555" i="10"/>
  <c r="C617" i="10"/>
  <c r="C677" i="10"/>
  <c r="C505" i="10"/>
  <c r="G505" i="10" s="1"/>
  <c r="C675" i="10"/>
  <c r="C503" i="10"/>
  <c r="C696" i="10"/>
  <c r="C524" i="10"/>
  <c r="C693" i="10"/>
  <c r="C521" i="10"/>
  <c r="C705" i="10"/>
  <c r="C533" i="10"/>
  <c r="C634" i="10"/>
  <c r="C554" i="10"/>
  <c r="C551" i="10"/>
  <c r="C629" i="10"/>
  <c r="C572" i="10"/>
  <c r="C647" i="10"/>
  <c r="C691" i="10"/>
  <c r="C519" i="10"/>
  <c r="G519" i="10" s="1"/>
  <c r="C712" i="10"/>
  <c r="C540" i="10"/>
  <c r="G540" i="10" s="1"/>
  <c r="C709" i="10"/>
  <c r="C537" i="10"/>
  <c r="C687" i="10"/>
  <c r="C515" i="10"/>
  <c r="G515" i="10" s="1"/>
  <c r="C627" i="10"/>
  <c r="C560" i="10"/>
  <c r="C506" i="10"/>
  <c r="G506" i="10" s="1"/>
  <c r="C678" i="10"/>
  <c r="C517" i="10"/>
  <c r="C689" i="10"/>
  <c r="C632" i="10"/>
  <c r="C547" i="10"/>
  <c r="C619" i="10"/>
  <c r="C559" i="10"/>
  <c r="E734" i="10"/>
  <c r="E815" i="10" s="1"/>
  <c r="CE62" i="10"/>
  <c r="C71" i="10"/>
  <c r="B496" i="1" s="1"/>
  <c r="C672" i="10"/>
  <c r="C500" i="10"/>
  <c r="C573" i="10"/>
  <c r="C622" i="10"/>
  <c r="C699" i="10"/>
  <c r="C527" i="10"/>
  <c r="G527" i="10" s="1"/>
  <c r="C646" i="10"/>
  <c r="C571" i="10"/>
  <c r="C569" i="10"/>
  <c r="C644" i="10"/>
  <c r="C624" i="10"/>
  <c r="C549" i="10"/>
  <c r="C690" i="10"/>
  <c r="C518" i="10"/>
  <c r="C625" i="10"/>
  <c r="C544" i="10"/>
  <c r="G544" i="10" s="1"/>
  <c r="C641" i="10"/>
  <c r="C566" i="10"/>
  <c r="C680" i="10"/>
  <c r="C508" i="10"/>
  <c r="C703" i="10"/>
  <c r="C531" i="10"/>
  <c r="C706" i="10"/>
  <c r="C534" i="10"/>
  <c r="G534" i="10" s="1"/>
  <c r="C626" i="10"/>
  <c r="C563" i="10"/>
  <c r="C700" i="10"/>
  <c r="C528" i="10"/>
  <c r="C530" i="10"/>
  <c r="C702" i="10"/>
  <c r="C561" i="10"/>
  <c r="C621" i="10"/>
  <c r="C516" i="10"/>
  <c r="G516" i="10" s="1"/>
  <c r="C688" i="10"/>
  <c r="C669" i="10"/>
  <c r="C497" i="10"/>
  <c r="G497" i="10" s="1"/>
  <c r="C681" i="10"/>
  <c r="C509" i="10"/>
  <c r="C542" i="10"/>
  <c r="C631" i="10"/>
  <c r="C679" i="10"/>
  <c r="C507" i="10"/>
  <c r="G507" i="10" s="1"/>
  <c r="C645" i="10"/>
  <c r="C570" i="10"/>
  <c r="C695" i="10"/>
  <c r="C523" i="10"/>
  <c r="C692" i="10"/>
  <c r="C520" i="10"/>
  <c r="C684" i="10"/>
  <c r="C512" i="10"/>
  <c r="C713" i="10"/>
  <c r="C541" i="10"/>
  <c r="C623" i="10"/>
  <c r="C562" i="10"/>
  <c r="C620" i="10"/>
  <c r="C574" i="10"/>
  <c r="C546" i="10"/>
  <c r="C630" i="10"/>
  <c r="C674" i="10"/>
  <c r="C502" i="10"/>
  <c r="G502" i="10" s="1"/>
  <c r="C448" i="10"/>
  <c r="D368" i="10"/>
  <c r="D373" i="10" s="1"/>
  <c r="D391" i="10" s="1"/>
  <c r="D393" i="10" s="1"/>
  <c r="D396" i="10" s="1"/>
  <c r="C638" i="10"/>
  <c r="C558" i="10"/>
  <c r="C557" i="10"/>
  <c r="C637" i="10"/>
  <c r="C708" i="10"/>
  <c r="C536" i="10"/>
  <c r="G536" i="10" s="1"/>
  <c r="C707" i="10"/>
  <c r="C535" i="10"/>
  <c r="C635" i="10"/>
  <c r="C556" i="10"/>
  <c r="C553" i="10"/>
  <c r="C636" i="10"/>
  <c r="C640" i="10"/>
  <c r="C565" i="10"/>
  <c r="C694" i="10"/>
  <c r="C522" i="10"/>
  <c r="C701" i="10"/>
  <c r="C529" i="10"/>
  <c r="C673" i="10"/>
  <c r="C501" i="10"/>
  <c r="C683" i="10"/>
  <c r="C511" i="10"/>
  <c r="G511" i="10" s="1"/>
  <c r="C704" i="10"/>
  <c r="C532" i="10"/>
  <c r="G532" i="10" s="1"/>
  <c r="C567" i="10"/>
  <c r="C642" i="10"/>
  <c r="C676" i="10"/>
  <c r="C504" i="10"/>
  <c r="G504" i="10" s="1"/>
  <c r="C670" i="10"/>
  <c r="C498" i="10"/>
  <c r="C682" i="10"/>
  <c r="C510" i="10"/>
  <c r="C711" i="10"/>
  <c r="C539" i="10"/>
  <c r="G539" i="10" s="1"/>
  <c r="C710" i="10"/>
  <c r="C538" i="10"/>
  <c r="G538" i="10" s="1"/>
  <c r="C525" i="10"/>
  <c r="G525" i="10" s="1"/>
  <c r="C697" i="10"/>
  <c r="C564" i="10"/>
  <c r="C639" i="10"/>
  <c r="C552" i="10"/>
  <c r="C618" i="10"/>
  <c r="C686" i="10"/>
  <c r="C514" i="10"/>
  <c r="G514" i="10" l="1"/>
  <c r="H514" i="10" s="1"/>
  <c r="G501" i="10"/>
  <c r="H501" i="10"/>
  <c r="G512" i="10"/>
  <c r="H512" i="10"/>
  <c r="G500" i="10"/>
  <c r="H500" i="10" s="1"/>
  <c r="G546" i="10"/>
  <c r="H546" i="10"/>
  <c r="G537" i="10"/>
  <c r="H537" i="10" s="1"/>
  <c r="G524" i="10"/>
  <c r="H524" i="10" s="1"/>
  <c r="G526" i="10"/>
  <c r="H526" i="10" s="1"/>
  <c r="G529" i="10"/>
  <c r="H529" i="10" s="1"/>
  <c r="G520" i="10"/>
  <c r="H520" i="10" s="1"/>
  <c r="C496" i="10"/>
  <c r="C668" i="10"/>
  <c r="C715" i="10" s="1"/>
  <c r="G517" i="10"/>
  <c r="H517" i="10" s="1"/>
  <c r="E816" i="10"/>
  <c r="C428" i="10"/>
  <c r="C441" i="10" s="1"/>
  <c r="CE71" i="10"/>
  <c r="C716" i="10" s="1"/>
  <c r="G510" i="10"/>
  <c r="H510" i="10" s="1"/>
  <c r="G522" i="10"/>
  <c r="H522" i="10" s="1"/>
  <c r="G535" i="10"/>
  <c r="H535" i="10" s="1"/>
  <c r="G523" i="10"/>
  <c r="H523" i="10"/>
  <c r="G509" i="10"/>
  <c r="H509" i="10" s="1"/>
  <c r="G531" i="10"/>
  <c r="H531" i="10" s="1"/>
  <c r="H518" i="10"/>
  <c r="G518" i="10"/>
  <c r="G503" i="10"/>
  <c r="H503" i="10"/>
  <c r="H513" i="10"/>
  <c r="G513" i="10"/>
  <c r="G530" i="10"/>
  <c r="H530" i="10"/>
  <c r="G533" i="10"/>
  <c r="H533" i="10"/>
  <c r="G545" i="10"/>
  <c r="H545" i="10" s="1"/>
  <c r="G550" i="10"/>
  <c r="H550" i="10" s="1"/>
  <c r="G498" i="10"/>
  <c r="H498" i="10" s="1"/>
  <c r="G528" i="10"/>
  <c r="H528" i="10" s="1"/>
  <c r="G508" i="10"/>
  <c r="H508" i="10" s="1"/>
  <c r="D615" i="10"/>
  <c r="C648" i="10"/>
  <c r="M716" i="10" s="1"/>
  <c r="Y816" i="10" s="1"/>
  <c r="G521" i="10"/>
  <c r="H521" i="10"/>
  <c r="D716" i="10" l="1"/>
  <c r="D712" i="10"/>
  <c r="D709" i="10"/>
  <c r="D706" i="10"/>
  <c r="D698" i="10"/>
  <c r="D690" i="10"/>
  <c r="D682" i="10"/>
  <c r="D674" i="10"/>
  <c r="D703" i="10"/>
  <c r="D695" i="10"/>
  <c r="D687" i="10"/>
  <c r="D713" i="10"/>
  <c r="D708" i="10"/>
  <c r="D700" i="10"/>
  <c r="D692" i="10"/>
  <c r="D684" i="10"/>
  <c r="D699" i="10"/>
  <c r="D676" i="10"/>
  <c r="D707" i="10"/>
  <c r="D686" i="10"/>
  <c r="D685" i="10"/>
  <c r="D683" i="10"/>
  <c r="D681" i="10"/>
  <c r="D671" i="10"/>
  <c r="D711" i="10"/>
  <c r="D694" i="10"/>
  <c r="D693" i="10"/>
  <c r="D680" i="10"/>
  <c r="D675" i="10"/>
  <c r="D668" i="10"/>
  <c r="D628" i="10"/>
  <c r="D622" i="10"/>
  <c r="D618" i="10"/>
  <c r="D646" i="10"/>
  <c r="D643" i="10"/>
  <c r="D635" i="10"/>
  <c r="D626" i="10"/>
  <c r="D624" i="10"/>
  <c r="D620" i="10"/>
  <c r="D696" i="10"/>
  <c r="D638" i="10"/>
  <c r="D630" i="10"/>
  <c r="D705" i="10"/>
  <c r="D641" i="10"/>
  <c r="D633" i="10"/>
  <c r="D619" i="10"/>
  <c r="D701" i="10"/>
  <c r="D688" i="10"/>
  <c r="D672" i="10"/>
  <c r="D647" i="10"/>
  <c r="D644" i="10"/>
  <c r="D636" i="10"/>
  <c r="D623" i="10"/>
  <c r="D697" i="10"/>
  <c r="D673" i="10"/>
  <c r="D639" i="10"/>
  <c r="D631" i="10"/>
  <c r="D677" i="10"/>
  <c r="D645" i="10"/>
  <c r="D642" i="10"/>
  <c r="D634" i="10"/>
  <c r="D629" i="10"/>
  <c r="D627" i="10"/>
  <c r="D625" i="10"/>
  <c r="D617" i="10"/>
  <c r="D702" i="10"/>
  <c r="D689" i="10"/>
  <c r="D678" i="10"/>
  <c r="D637" i="10"/>
  <c r="D621" i="10"/>
  <c r="D710" i="10"/>
  <c r="D670" i="10"/>
  <c r="D679" i="10"/>
  <c r="D669" i="10"/>
  <c r="D691" i="10"/>
  <c r="D616" i="10"/>
  <c r="D704" i="10"/>
  <c r="D640" i="10"/>
  <c r="D632" i="10"/>
  <c r="G496" i="10"/>
  <c r="H496" i="10" s="1"/>
  <c r="D715" i="10" l="1"/>
  <c r="E623" i="10"/>
  <c r="E612" i="10"/>
  <c r="E712" i="10" l="1"/>
  <c r="E711" i="10"/>
  <c r="E703" i="10"/>
  <c r="E695" i="10"/>
  <c r="E687" i="10"/>
  <c r="E679" i="10"/>
  <c r="E713" i="10"/>
  <c r="E708" i="10"/>
  <c r="E700" i="10"/>
  <c r="E692" i="10"/>
  <c r="E705" i="10"/>
  <c r="E697" i="10"/>
  <c r="E689" i="10"/>
  <c r="E681" i="10"/>
  <c r="E716" i="10"/>
  <c r="E707" i="10"/>
  <c r="E706" i="10"/>
  <c r="E686" i="10"/>
  <c r="E685" i="10"/>
  <c r="E684" i="10"/>
  <c r="E683" i="10"/>
  <c r="E671" i="10"/>
  <c r="E694" i="10"/>
  <c r="E693" i="10"/>
  <c r="E682" i="10"/>
  <c r="E680" i="10"/>
  <c r="E675" i="10"/>
  <c r="E668" i="10"/>
  <c r="E628" i="10"/>
  <c r="E702" i="10"/>
  <c r="E701" i="10"/>
  <c r="E696" i="10"/>
  <c r="E638" i="10"/>
  <c r="E630" i="10"/>
  <c r="E709" i="10"/>
  <c r="E698" i="10"/>
  <c r="E641" i="10"/>
  <c r="E633" i="10"/>
  <c r="E688" i="10"/>
  <c r="E676" i="10"/>
  <c r="E672" i="10"/>
  <c r="E647" i="10"/>
  <c r="E644" i="10"/>
  <c r="E636" i="10"/>
  <c r="E690" i="10"/>
  <c r="E673" i="10"/>
  <c r="E639" i="10"/>
  <c r="E631" i="10"/>
  <c r="E699" i="10"/>
  <c r="E677" i="10"/>
  <c r="E645" i="10"/>
  <c r="E642" i="10"/>
  <c r="E634" i="10"/>
  <c r="E629" i="10"/>
  <c r="E627" i="10"/>
  <c r="E625" i="10"/>
  <c r="E678" i="10"/>
  <c r="E674" i="10"/>
  <c r="E637" i="10"/>
  <c r="E710" i="10"/>
  <c r="E704" i="10"/>
  <c r="E691" i="10"/>
  <c r="E670" i="10"/>
  <c r="E669" i="10"/>
  <c r="E640" i="10"/>
  <c r="E632" i="10"/>
  <c r="E624" i="10"/>
  <c r="E635" i="10"/>
  <c r="E646" i="10"/>
  <c r="E626" i="10"/>
  <c r="E643" i="10"/>
  <c r="E715" i="10" l="1"/>
  <c r="F624" i="10"/>
  <c r="F713" i="10" l="1"/>
  <c r="F712" i="10"/>
  <c r="F708" i="10"/>
  <c r="F700" i="10"/>
  <c r="F692" i="10"/>
  <c r="F684" i="10"/>
  <c r="F676" i="10"/>
  <c r="F705" i="10"/>
  <c r="F697" i="10"/>
  <c r="F689" i="10"/>
  <c r="F702" i="10"/>
  <c r="F694" i="10"/>
  <c r="F686" i="10"/>
  <c r="F693" i="10"/>
  <c r="F682" i="10"/>
  <c r="F681" i="10"/>
  <c r="F680" i="10"/>
  <c r="F675" i="10"/>
  <c r="F668" i="10"/>
  <c r="F628" i="10"/>
  <c r="F711" i="10"/>
  <c r="F701" i="10"/>
  <c r="F688" i="10"/>
  <c r="F687" i="10"/>
  <c r="F679" i="10"/>
  <c r="F674" i="10"/>
  <c r="F670" i="10"/>
  <c r="F647" i="10"/>
  <c r="F646" i="10"/>
  <c r="F645" i="10"/>
  <c r="F629" i="10"/>
  <c r="F626" i="10"/>
  <c r="F716" i="10"/>
  <c r="F709" i="10"/>
  <c r="F698" i="10"/>
  <c r="F685" i="10"/>
  <c r="F671" i="10"/>
  <c r="F641" i="10"/>
  <c r="F633" i="10"/>
  <c r="F707" i="10"/>
  <c r="F672" i="10"/>
  <c r="F644" i="10"/>
  <c r="F636" i="10"/>
  <c r="F703" i="10"/>
  <c r="F690" i="10"/>
  <c r="F683" i="10"/>
  <c r="F673" i="10"/>
  <c r="F639" i="10"/>
  <c r="F631" i="10"/>
  <c r="F699" i="10"/>
  <c r="F677" i="10"/>
  <c r="F642" i="10"/>
  <c r="F634" i="10"/>
  <c r="F627" i="10"/>
  <c r="F625" i="10"/>
  <c r="F695" i="10"/>
  <c r="F678" i="10"/>
  <c r="F637" i="10"/>
  <c r="F710" i="10"/>
  <c r="F704" i="10"/>
  <c r="F691" i="10"/>
  <c r="F669" i="10"/>
  <c r="F640" i="10"/>
  <c r="F632" i="10"/>
  <c r="F706" i="10"/>
  <c r="F643" i="10"/>
  <c r="F635" i="10"/>
  <c r="F638" i="10"/>
  <c r="F630" i="10"/>
  <c r="F696" i="10"/>
  <c r="F715" i="10" l="1"/>
  <c r="G625" i="10"/>
  <c r="G711" i="10" l="1"/>
  <c r="G713" i="10"/>
  <c r="G705" i="10"/>
  <c r="G697" i="10"/>
  <c r="G689" i="10"/>
  <c r="G681" i="10"/>
  <c r="G673" i="10"/>
  <c r="G702" i="10"/>
  <c r="G694" i="10"/>
  <c r="G686" i="10"/>
  <c r="G716" i="10"/>
  <c r="G707" i="10"/>
  <c r="G699" i="10"/>
  <c r="G691" i="10"/>
  <c r="G683" i="10"/>
  <c r="G701" i="10"/>
  <c r="G700" i="10"/>
  <c r="G708" i="10"/>
  <c r="G688" i="10"/>
  <c r="G687" i="10"/>
  <c r="G679" i="10"/>
  <c r="G674" i="10"/>
  <c r="G670" i="10"/>
  <c r="G647" i="10"/>
  <c r="G646" i="10"/>
  <c r="G645" i="10"/>
  <c r="G629" i="10"/>
  <c r="G709" i="10"/>
  <c r="G696" i="10"/>
  <c r="G695" i="10"/>
  <c r="G678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12" i="10"/>
  <c r="G672" i="10"/>
  <c r="G628" i="10"/>
  <c r="G703" i="10"/>
  <c r="G690" i="10"/>
  <c r="G680" i="10"/>
  <c r="G676" i="10"/>
  <c r="G692" i="10"/>
  <c r="G677" i="10"/>
  <c r="G627" i="10"/>
  <c r="G710" i="10"/>
  <c r="G704" i="10"/>
  <c r="G669" i="10"/>
  <c r="G668" i="10"/>
  <c r="G706" i="10"/>
  <c r="G693" i="10"/>
  <c r="G684" i="10"/>
  <c r="G626" i="10"/>
  <c r="G682" i="10"/>
  <c r="G675" i="10"/>
  <c r="G685" i="10"/>
  <c r="G698" i="10"/>
  <c r="G671" i="10"/>
  <c r="G715" i="10" l="1"/>
  <c r="H628" i="10"/>
  <c r="H711" i="10" l="1"/>
  <c r="H710" i="10"/>
  <c r="H702" i="10"/>
  <c r="H694" i="10"/>
  <c r="H686" i="10"/>
  <c r="H678" i="10"/>
  <c r="H716" i="10"/>
  <c r="H707" i="10"/>
  <c r="H699" i="10"/>
  <c r="H691" i="10"/>
  <c r="H704" i="10"/>
  <c r="H696" i="10"/>
  <c r="H688" i="10"/>
  <c r="H680" i="10"/>
  <c r="H713" i="10"/>
  <c r="H708" i="10"/>
  <c r="H687" i="10"/>
  <c r="H679" i="10"/>
  <c r="H674" i="10"/>
  <c r="H670" i="10"/>
  <c r="H647" i="10"/>
  <c r="H646" i="10"/>
  <c r="H645" i="10"/>
  <c r="H629" i="10"/>
  <c r="H709" i="10"/>
  <c r="H69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3" i="10"/>
  <c r="H673" i="10"/>
  <c r="H690" i="10"/>
  <c r="H676" i="10"/>
  <c r="H705" i="10"/>
  <c r="H692" i="10"/>
  <c r="H683" i="10"/>
  <c r="H677" i="10"/>
  <c r="H701" i="10"/>
  <c r="H697" i="10"/>
  <c r="H669" i="10"/>
  <c r="H668" i="10"/>
  <c r="H706" i="10"/>
  <c r="H693" i="10"/>
  <c r="H684" i="10"/>
  <c r="H681" i="10"/>
  <c r="H689" i="10"/>
  <c r="H698" i="10"/>
  <c r="H685" i="10"/>
  <c r="H682" i="10"/>
  <c r="H675" i="10"/>
  <c r="H671" i="10"/>
  <c r="H712" i="10"/>
  <c r="H700" i="10"/>
  <c r="H672" i="10"/>
  <c r="H715" i="10" l="1"/>
  <c r="I629" i="10"/>
  <c r="I713" i="10" l="1"/>
  <c r="I716" i="10"/>
  <c r="I707" i="10"/>
  <c r="I699" i="10"/>
  <c r="I691" i="10"/>
  <c r="I683" i="10"/>
  <c r="I675" i="10"/>
  <c r="I704" i="10"/>
  <c r="I696" i="10"/>
  <c r="I688" i="10"/>
  <c r="I701" i="10"/>
  <c r="I693" i="10"/>
  <c r="I685" i="10"/>
  <c r="I711" i="10"/>
  <c r="I709" i="10"/>
  <c r="I695" i="10"/>
  <c r="I694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3" i="10"/>
  <c r="I702" i="10"/>
  <c r="I678" i="10"/>
  <c r="I673" i="10"/>
  <c r="I690" i="10"/>
  <c r="I689" i="10"/>
  <c r="I677" i="10"/>
  <c r="I672" i="10"/>
  <c r="I669" i="10"/>
  <c r="I705" i="10"/>
  <c r="I692" i="10"/>
  <c r="I680" i="10"/>
  <c r="I647" i="10"/>
  <c r="I697" i="10"/>
  <c r="I668" i="10"/>
  <c r="I710" i="10"/>
  <c r="I706" i="10"/>
  <c r="I686" i="10"/>
  <c r="I684" i="10"/>
  <c r="I681" i="10"/>
  <c r="I645" i="10"/>
  <c r="I708" i="10"/>
  <c r="I674" i="10"/>
  <c r="I698" i="10"/>
  <c r="I682" i="10"/>
  <c r="I671" i="10"/>
  <c r="I670" i="10"/>
  <c r="I712" i="10"/>
  <c r="I700" i="10"/>
  <c r="I687" i="10"/>
  <c r="I679" i="10"/>
  <c r="I646" i="10"/>
  <c r="I676" i="10"/>
  <c r="I715" i="10" l="1"/>
  <c r="J630" i="10"/>
  <c r="J713" i="10" l="1"/>
  <c r="J710" i="10"/>
  <c r="J712" i="10"/>
  <c r="J716" i="10"/>
  <c r="J704" i="10"/>
  <c r="J696" i="10"/>
  <c r="J688" i="10"/>
  <c r="J680" i="10"/>
  <c r="J672" i="10"/>
  <c r="J701" i="10"/>
  <c r="J693" i="10"/>
  <c r="J685" i="10"/>
  <c r="J709" i="10"/>
  <c r="J706" i="10"/>
  <c r="J698" i="10"/>
  <c r="J690" i="10"/>
  <c r="J682" i="10"/>
  <c r="J703" i="10"/>
  <c r="J702" i="10"/>
  <c r="J678" i="10"/>
  <c r="J673" i="10"/>
  <c r="J689" i="10"/>
  <c r="J677" i="10"/>
  <c r="J669" i="10"/>
  <c r="J697" i="10"/>
  <c r="J707" i="10"/>
  <c r="J694" i="10"/>
  <c r="J683" i="10"/>
  <c r="J647" i="10"/>
  <c r="J644" i="10"/>
  <c r="J636" i="10"/>
  <c r="J668" i="10"/>
  <c r="J639" i="10"/>
  <c r="J631" i="10"/>
  <c r="J711" i="10"/>
  <c r="J699" i="10"/>
  <c r="J686" i="10"/>
  <c r="J684" i="10"/>
  <c r="J681" i="10"/>
  <c r="J645" i="10"/>
  <c r="J642" i="10"/>
  <c r="J634" i="10"/>
  <c r="J708" i="10"/>
  <c r="J695" i="10"/>
  <c r="J674" i="10"/>
  <c r="J637" i="10"/>
  <c r="J691" i="10"/>
  <c r="J671" i="10"/>
  <c r="J670" i="10"/>
  <c r="J640" i="10"/>
  <c r="J632" i="10"/>
  <c r="J700" i="10"/>
  <c r="J687" i="10"/>
  <c r="J679" i="10"/>
  <c r="J675" i="10"/>
  <c r="J646" i="10"/>
  <c r="J643" i="10"/>
  <c r="J635" i="10"/>
  <c r="J676" i="10"/>
  <c r="J638" i="10"/>
  <c r="J692" i="10"/>
  <c r="J705" i="10"/>
  <c r="J633" i="10"/>
  <c r="J641" i="10"/>
  <c r="K644" i="10" l="1"/>
  <c r="L647" i="10"/>
  <c r="J715" i="10"/>
  <c r="L716" i="10" l="1"/>
  <c r="L712" i="10"/>
  <c r="L706" i="10"/>
  <c r="L698" i="10"/>
  <c r="L690" i="10"/>
  <c r="L682" i="10"/>
  <c r="L674" i="10"/>
  <c r="L709" i="10"/>
  <c r="L703" i="10"/>
  <c r="L695" i="10"/>
  <c r="L687" i="10"/>
  <c r="L711" i="10"/>
  <c r="L710" i="10"/>
  <c r="L708" i="10"/>
  <c r="L700" i="10"/>
  <c r="L692" i="10"/>
  <c r="L684" i="10"/>
  <c r="L697" i="10"/>
  <c r="L696" i="10"/>
  <c r="L677" i="10"/>
  <c r="L672" i="10"/>
  <c r="L705" i="10"/>
  <c r="L704" i="10"/>
  <c r="L676" i="10"/>
  <c r="L671" i="10"/>
  <c r="L691" i="10"/>
  <c r="L668" i="10"/>
  <c r="L699" i="10"/>
  <c r="L686" i="10"/>
  <c r="L681" i="10"/>
  <c r="L673" i="10"/>
  <c r="L701" i="10"/>
  <c r="L688" i="10"/>
  <c r="L678" i="10"/>
  <c r="L670" i="10"/>
  <c r="L669" i="10"/>
  <c r="L693" i="10"/>
  <c r="L679" i="10"/>
  <c r="L675" i="10"/>
  <c r="L713" i="10"/>
  <c r="L702" i="10"/>
  <c r="L689" i="10"/>
  <c r="L685" i="10"/>
  <c r="L707" i="10"/>
  <c r="L694" i="10"/>
  <c r="L683" i="10"/>
  <c r="L680" i="10"/>
  <c r="K710" i="10"/>
  <c r="K716" i="10"/>
  <c r="K709" i="10"/>
  <c r="K701" i="10"/>
  <c r="K693" i="10"/>
  <c r="K685" i="10"/>
  <c r="K677" i="10"/>
  <c r="K706" i="10"/>
  <c r="K698" i="10"/>
  <c r="K690" i="10"/>
  <c r="K703" i="10"/>
  <c r="K695" i="10"/>
  <c r="K687" i="10"/>
  <c r="K689" i="10"/>
  <c r="K688" i="10"/>
  <c r="K669" i="10"/>
  <c r="K697" i="10"/>
  <c r="K696" i="10"/>
  <c r="K672" i="10"/>
  <c r="K712" i="10"/>
  <c r="K705" i="10"/>
  <c r="K704" i="10"/>
  <c r="K676" i="10"/>
  <c r="K671" i="10"/>
  <c r="K668" i="10"/>
  <c r="K711" i="10"/>
  <c r="K699" i="10"/>
  <c r="K686" i="10"/>
  <c r="K684" i="10"/>
  <c r="K681" i="10"/>
  <c r="K673" i="10"/>
  <c r="K708" i="10"/>
  <c r="K674" i="10"/>
  <c r="K691" i="10"/>
  <c r="K678" i="10"/>
  <c r="K670" i="10"/>
  <c r="K700" i="10"/>
  <c r="K682" i="10"/>
  <c r="K679" i="10"/>
  <c r="K675" i="10"/>
  <c r="K713" i="10"/>
  <c r="K702" i="10"/>
  <c r="K692" i="10"/>
  <c r="K694" i="10"/>
  <c r="K680" i="10"/>
  <c r="K707" i="10"/>
  <c r="K683" i="10"/>
  <c r="K715" i="10" l="1"/>
  <c r="M701" i="10"/>
  <c r="Y767" i="10" s="1"/>
  <c r="M676" i="10"/>
  <c r="Y742" i="10" s="1"/>
  <c r="M692" i="10"/>
  <c r="Y758" i="10" s="1"/>
  <c r="M709" i="10"/>
  <c r="Y775" i="10" s="1"/>
  <c r="M680" i="10"/>
  <c r="Y746" i="10" s="1"/>
  <c r="M694" i="10"/>
  <c r="Y760" i="10" s="1"/>
  <c r="M693" i="10"/>
  <c r="Y759" i="10" s="1"/>
  <c r="M686" i="10"/>
  <c r="Y752" i="10" s="1"/>
  <c r="M672" i="10"/>
  <c r="Y738" i="10" s="1"/>
  <c r="M690" i="10"/>
  <c r="Y756" i="10" s="1"/>
  <c r="M675" i="10"/>
  <c r="Y741" i="10" s="1"/>
  <c r="M673" i="10"/>
  <c r="Y739" i="10" s="1"/>
  <c r="M704" i="10"/>
  <c r="Y770" i="10" s="1"/>
  <c r="M700" i="10"/>
  <c r="Y766" i="10" s="1"/>
  <c r="M674" i="10"/>
  <c r="Y740" i="10" s="1"/>
  <c r="M683" i="10"/>
  <c r="Y749" i="10" s="1"/>
  <c r="M679" i="10"/>
  <c r="Y745" i="10" s="1"/>
  <c r="M681" i="10"/>
  <c r="Y747" i="10" s="1"/>
  <c r="M705" i="10"/>
  <c r="Y771" i="10" s="1"/>
  <c r="M708" i="10"/>
  <c r="Y774" i="10" s="1"/>
  <c r="M682" i="10"/>
  <c r="Y748" i="10" s="1"/>
  <c r="M710" i="10"/>
  <c r="Y776" i="10" s="1"/>
  <c r="M707" i="10"/>
  <c r="Y773" i="10" s="1"/>
  <c r="M669" i="10"/>
  <c r="Y735" i="10" s="1"/>
  <c r="M699" i="10"/>
  <c r="Y765" i="10" s="1"/>
  <c r="M677" i="10"/>
  <c r="Y743" i="10" s="1"/>
  <c r="M711" i="10"/>
  <c r="Y777" i="10" s="1"/>
  <c r="M698" i="10"/>
  <c r="Y764" i="10" s="1"/>
  <c r="M685" i="10"/>
  <c r="Y751" i="10" s="1"/>
  <c r="M670" i="10"/>
  <c r="Y736" i="10" s="1"/>
  <c r="L715" i="10"/>
  <c r="M668" i="10"/>
  <c r="M696" i="10"/>
  <c r="Y762" i="10" s="1"/>
  <c r="M687" i="10"/>
  <c r="Y753" i="10" s="1"/>
  <c r="M706" i="10"/>
  <c r="Y772" i="10" s="1"/>
  <c r="M689" i="10"/>
  <c r="Y755" i="10" s="1"/>
  <c r="M678" i="10"/>
  <c r="Y744" i="10" s="1"/>
  <c r="M691" i="10"/>
  <c r="Y757" i="10" s="1"/>
  <c r="M697" i="10"/>
  <c r="Y763" i="10" s="1"/>
  <c r="M695" i="10"/>
  <c r="Y761" i="10" s="1"/>
  <c r="M712" i="10"/>
  <c r="Y778" i="10" s="1"/>
  <c r="M713" i="10"/>
  <c r="Y779" i="10" s="1"/>
  <c r="M702" i="10"/>
  <c r="Y768" i="10" s="1"/>
  <c r="M688" i="10"/>
  <c r="Y754" i="10" s="1"/>
  <c r="M671" i="10"/>
  <c r="Y737" i="10" s="1"/>
  <c r="M684" i="10"/>
  <c r="Y750" i="10" s="1"/>
  <c r="M703" i="10"/>
  <c r="Y769" i="10" s="1"/>
  <c r="M715" i="10" l="1"/>
  <c r="Y734" i="10"/>
  <c r="Y815" i="10" s="1"/>
  <c r="C115" i="8" l="1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/>
  <c r="P75" i="1"/>
  <c r="I58" i="9" s="1"/>
  <c r="O75" i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/>
  <c r="AB75" i="1"/>
  <c r="Y75" i="1"/>
  <c r="D122" i="9" s="1"/>
  <c r="U75" i="1"/>
  <c r="G90" i="9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C22" i="8" s="1"/>
  <c r="D275" i="1"/>
  <c r="B476" i="1" s="1"/>
  <c r="D290" i="1"/>
  <c r="D314" i="1"/>
  <c r="C68" i="8" s="1"/>
  <c r="D319" i="1"/>
  <c r="C74" i="8" s="1"/>
  <c r="D328" i="1"/>
  <c r="D329" i="1"/>
  <c r="C85" i="8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F8" i="6" s="1"/>
  <c r="E197" i="1"/>
  <c r="C470" i="1" s="1"/>
  <c r="E198" i="1"/>
  <c r="E199" i="1"/>
  <c r="C472" i="1" s="1"/>
  <c r="E200" i="1"/>
  <c r="E201" i="1"/>
  <c r="F13" i="6" s="1"/>
  <c r="E202" i="1"/>
  <c r="C474" i="1" s="1"/>
  <c r="E203" i="1"/>
  <c r="F15" i="6" s="1"/>
  <c r="D204" i="1"/>
  <c r="B204" i="1"/>
  <c r="C16" i="6" s="1"/>
  <c r="D190" i="1"/>
  <c r="D437" i="1" s="1"/>
  <c r="D186" i="1"/>
  <c r="D181" i="1"/>
  <c r="D435" i="1" s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C415" i="1" s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C440" i="1"/>
  <c r="C431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0" i="7"/>
  <c r="D9" i="7"/>
  <c r="D8" i="7"/>
  <c r="D7" i="7"/>
  <c r="B28" i="2"/>
  <c r="E21" i="2"/>
  <c r="E18" i="2"/>
  <c r="E17" i="2"/>
  <c r="X48" i="1"/>
  <c r="X62" i="1" s="1"/>
  <c r="H48" i="1"/>
  <c r="H62" i="1" s="1"/>
  <c r="D330" i="1"/>
  <c r="C86" i="8" s="1"/>
  <c r="D436" i="1"/>
  <c r="C34" i="5"/>
  <c r="G122" i="9"/>
  <c r="H58" i="9"/>
  <c r="C218" i="9"/>
  <c r="D366" i="9"/>
  <c r="CE64" i="1"/>
  <c r="F612" i="1" s="1"/>
  <c r="D368" i="9"/>
  <c r="C276" i="9"/>
  <c r="CE70" i="1"/>
  <c r="C458" i="1" s="1"/>
  <c r="CE76" i="1"/>
  <c r="BL52" i="1" s="1"/>
  <c r="BL67" i="1" s="1"/>
  <c r="CE77" i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AU48" i="1"/>
  <c r="AU62" i="1" s="1"/>
  <c r="AE48" i="1"/>
  <c r="AE62" i="1" s="1"/>
  <c r="AM48" i="1"/>
  <c r="AM62" i="1" s="1"/>
  <c r="CD71" i="1"/>
  <c r="E373" i="9" s="1"/>
  <c r="BM48" i="1"/>
  <c r="BM62" i="1" s="1"/>
  <c r="I268" i="9" s="1"/>
  <c r="AO48" i="1"/>
  <c r="AO62" i="1" s="1"/>
  <c r="I48" i="1"/>
  <c r="I62" i="1" s="1"/>
  <c r="BO48" i="1"/>
  <c r="BO62" i="1" s="1"/>
  <c r="D300" i="9" s="1"/>
  <c r="AI48" i="1"/>
  <c r="AI62" i="1" s="1"/>
  <c r="K48" i="1"/>
  <c r="K62" i="1" s="1"/>
  <c r="C615" i="1"/>
  <c r="B440" i="1"/>
  <c r="CB48" i="1"/>
  <c r="CB62" i="1" s="1"/>
  <c r="C364" i="9" s="1"/>
  <c r="E372" i="9"/>
  <c r="BY48" i="1"/>
  <c r="BY62" i="1" s="1"/>
  <c r="BR48" i="1"/>
  <c r="BR62" i="1" s="1"/>
  <c r="BL48" i="1"/>
  <c r="BL62" i="1" s="1"/>
  <c r="BD48" i="1"/>
  <c r="BD62" i="1" s="1"/>
  <c r="AX48" i="1"/>
  <c r="AX62" i="1" s="1"/>
  <c r="AP48" i="1"/>
  <c r="AP62" i="1" s="1"/>
  <c r="AH48" i="1"/>
  <c r="AH62" i="1" s="1"/>
  <c r="V48" i="1"/>
  <c r="V62" i="1" s="1"/>
  <c r="C575" i="1"/>
  <c r="CF76" i="1"/>
  <c r="BC52" i="1" s="1"/>
  <c r="BC67" i="1" s="1"/>
  <c r="F499" i="1"/>
  <c r="F511" i="1"/>
  <c r="BZ52" i="1"/>
  <c r="BZ67" i="1" s="1"/>
  <c r="H337" i="9" s="1"/>
  <c r="H52" i="1"/>
  <c r="H67" i="1" s="1"/>
  <c r="H17" i="9" s="1"/>
  <c r="AO52" i="1"/>
  <c r="AO67" i="1" s="1"/>
  <c r="F177" i="9" s="1"/>
  <c r="O52" i="1"/>
  <c r="O67" i="1" s="1"/>
  <c r="CA52" i="1"/>
  <c r="CA67" i="1" s="1"/>
  <c r="R52" i="1"/>
  <c r="R67" i="1" s="1"/>
  <c r="AU52" i="1"/>
  <c r="AU67" i="1" s="1"/>
  <c r="E209" i="9" s="1"/>
  <c r="BK52" i="1"/>
  <c r="BK67" i="1" s="1"/>
  <c r="G273" i="9" s="1"/>
  <c r="BT52" i="1"/>
  <c r="BT67" i="1" s="1"/>
  <c r="BX52" i="1"/>
  <c r="BX67" i="1" s="1"/>
  <c r="AG52" i="1"/>
  <c r="AG67" i="1" s="1"/>
  <c r="AC52" i="1"/>
  <c r="AC67" i="1" s="1"/>
  <c r="H113" i="9" s="1"/>
  <c r="BI52" i="1"/>
  <c r="BI67" i="1" s="1"/>
  <c r="AD52" i="1"/>
  <c r="AD67" i="1" s="1"/>
  <c r="AZ52" i="1"/>
  <c r="AZ67" i="1" s="1"/>
  <c r="E52" i="1"/>
  <c r="E67" i="1" s="1"/>
  <c r="BH52" i="1"/>
  <c r="BH67" i="1" s="1"/>
  <c r="AJ52" i="1"/>
  <c r="AJ67" i="1" s="1"/>
  <c r="H145" i="9" s="1"/>
  <c r="BG52" i="1"/>
  <c r="BG67" i="1" s="1"/>
  <c r="F517" i="1"/>
  <c r="J52" i="1"/>
  <c r="J67" i="1" s="1"/>
  <c r="BW52" i="1"/>
  <c r="BW67" i="1" s="1"/>
  <c r="H505" i="1"/>
  <c r="F505" i="1"/>
  <c r="F501" i="1"/>
  <c r="F497" i="1"/>
  <c r="H497" i="1"/>
  <c r="H499" i="1"/>
  <c r="H511" i="1"/>
  <c r="Q52" i="1" l="1"/>
  <c r="Q67" i="1" s="1"/>
  <c r="Z52" i="1"/>
  <c r="Z67" i="1" s="1"/>
  <c r="AB52" i="1"/>
  <c r="AB67" i="1" s="1"/>
  <c r="D612" i="1"/>
  <c r="Y52" i="1"/>
  <c r="Y67" i="1" s="1"/>
  <c r="D113" i="9" s="1"/>
  <c r="P52" i="1"/>
  <c r="P67" i="1" s="1"/>
  <c r="I49" i="9" s="1"/>
  <c r="AT52" i="1"/>
  <c r="AT67" i="1" s="1"/>
  <c r="D209" i="9" s="1"/>
  <c r="AF52" i="1"/>
  <c r="AF67" i="1" s="1"/>
  <c r="D145" i="9" s="1"/>
  <c r="AR52" i="1"/>
  <c r="AR67" i="1" s="1"/>
  <c r="BB52" i="1"/>
  <c r="BB67" i="1" s="1"/>
  <c r="W52" i="1"/>
  <c r="W67" i="1" s="1"/>
  <c r="BJ52" i="1"/>
  <c r="BJ67" i="1" s="1"/>
  <c r="AL52" i="1"/>
  <c r="AL67" i="1" s="1"/>
  <c r="AP52" i="1"/>
  <c r="AP67" i="1" s="1"/>
  <c r="I380" i="9"/>
  <c r="AN52" i="1"/>
  <c r="AN67" i="1" s="1"/>
  <c r="AH52" i="1"/>
  <c r="AH67" i="1" s="1"/>
  <c r="F145" i="9" s="1"/>
  <c r="N52" i="1"/>
  <c r="N67" i="1" s="1"/>
  <c r="X52" i="1"/>
  <c r="X67" i="1" s="1"/>
  <c r="AV52" i="1"/>
  <c r="AV67" i="1" s="1"/>
  <c r="AS52" i="1"/>
  <c r="AS67" i="1" s="1"/>
  <c r="C209" i="9" s="1"/>
  <c r="BO52" i="1"/>
  <c r="BO67" i="1" s="1"/>
  <c r="U52" i="1"/>
  <c r="U67" i="1" s="1"/>
  <c r="G81" i="9" s="1"/>
  <c r="S52" i="1"/>
  <c r="S67" i="1" s="1"/>
  <c r="BS52" i="1"/>
  <c r="BS67" i="1" s="1"/>
  <c r="C52" i="1"/>
  <c r="C67" i="1" s="1"/>
  <c r="BP52" i="1"/>
  <c r="BP67" i="1" s="1"/>
  <c r="K52" i="1"/>
  <c r="K67" i="1" s="1"/>
  <c r="K71" i="1" s="1"/>
  <c r="D53" i="9" s="1"/>
  <c r="BU52" i="1"/>
  <c r="BU67" i="1" s="1"/>
  <c r="I52" i="1"/>
  <c r="I67" i="1" s="1"/>
  <c r="I71" i="1" s="1"/>
  <c r="C674" i="1" s="1"/>
  <c r="V52" i="1"/>
  <c r="V67" i="1" s="1"/>
  <c r="AQ52" i="1"/>
  <c r="AQ67" i="1" s="1"/>
  <c r="BA52" i="1"/>
  <c r="BA67" i="1" s="1"/>
  <c r="L52" i="1"/>
  <c r="L67" i="1" s="1"/>
  <c r="AE52" i="1"/>
  <c r="AE67" i="1" s="1"/>
  <c r="C145" i="9" s="1"/>
  <c r="CC52" i="1"/>
  <c r="CC67" i="1" s="1"/>
  <c r="AI52" i="1"/>
  <c r="AI67" i="1" s="1"/>
  <c r="G28" i="4"/>
  <c r="AU71" i="1"/>
  <c r="C540" i="1" s="1"/>
  <c r="G540" i="1" s="1"/>
  <c r="X71" i="1"/>
  <c r="C117" i="9" s="1"/>
  <c r="C113" i="9"/>
  <c r="I612" i="1"/>
  <c r="CF77" i="1"/>
  <c r="I381" i="9"/>
  <c r="G612" i="1"/>
  <c r="G10" i="4"/>
  <c r="E10" i="4"/>
  <c r="D463" i="1"/>
  <c r="B10" i="4"/>
  <c r="C434" i="1"/>
  <c r="AE71" i="1"/>
  <c r="C524" i="1" s="1"/>
  <c r="G524" i="1" s="1"/>
  <c r="J48" i="1"/>
  <c r="J62" i="1" s="1"/>
  <c r="Z48" i="1"/>
  <c r="Z62" i="1" s="1"/>
  <c r="E108" i="9" s="1"/>
  <c r="AJ48" i="1"/>
  <c r="AJ62" i="1" s="1"/>
  <c r="AR48" i="1"/>
  <c r="AR62" i="1" s="1"/>
  <c r="BF48" i="1"/>
  <c r="BF62" i="1" s="1"/>
  <c r="BN48" i="1"/>
  <c r="BN62" i="1" s="1"/>
  <c r="BT48" i="1"/>
  <c r="BT62" i="1" s="1"/>
  <c r="CA48" i="1"/>
  <c r="CA62" i="1" s="1"/>
  <c r="C48" i="1"/>
  <c r="C62" i="1" s="1"/>
  <c r="C71" i="1" s="1"/>
  <c r="C21" i="9" s="1"/>
  <c r="S48" i="1"/>
  <c r="S62" i="1" s="1"/>
  <c r="S71" i="1" s="1"/>
  <c r="AQ48" i="1"/>
  <c r="AQ62" i="1" s="1"/>
  <c r="Q48" i="1"/>
  <c r="Q62" i="1" s="1"/>
  <c r="AW48" i="1"/>
  <c r="AW62" i="1" s="1"/>
  <c r="BU48" i="1"/>
  <c r="BU62" i="1" s="1"/>
  <c r="C332" i="9" s="1"/>
  <c r="AK48" i="1"/>
  <c r="AK62" i="1" s="1"/>
  <c r="O48" i="1"/>
  <c r="O62" i="1" s="1"/>
  <c r="M48" i="1"/>
  <c r="M62" i="1" s="1"/>
  <c r="AC48" i="1"/>
  <c r="AC62" i="1" s="1"/>
  <c r="H108" i="9" s="1"/>
  <c r="L48" i="1"/>
  <c r="L62" i="1" s="1"/>
  <c r="AB48" i="1"/>
  <c r="AB62" i="1" s="1"/>
  <c r="W48" i="1"/>
  <c r="W62" i="1" s="1"/>
  <c r="N48" i="1"/>
  <c r="N62" i="1" s="1"/>
  <c r="AD48" i="1"/>
  <c r="AD62" i="1" s="1"/>
  <c r="AL48" i="1"/>
  <c r="AL62" i="1" s="1"/>
  <c r="AT48" i="1"/>
  <c r="AT62" i="1" s="1"/>
  <c r="AZ48" i="1"/>
  <c r="AZ62" i="1" s="1"/>
  <c r="AZ71" i="1" s="1"/>
  <c r="C245" i="9" s="1"/>
  <c r="BH48" i="1"/>
  <c r="BH62" i="1" s="1"/>
  <c r="BV48" i="1"/>
  <c r="BV62" i="1" s="1"/>
  <c r="AA48" i="1"/>
  <c r="AA62" i="1" s="1"/>
  <c r="F108" i="9" s="1"/>
  <c r="AY48" i="1"/>
  <c r="AY62" i="1" s="1"/>
  <c r="BW48" i="1"/>
  <c r="BW62" i="1" s="1"/>
  <c r="Y48" i="1"/>
  <c r="Y62" i="1" s="1"/>
  <c r="Y71" i="1" s="1"/>
  <c r="C690" i="1" s="1"/>
  <c r="BE48" i="1"/>
  <c r="BE62" i="1" s="1"/>
  <c r="E48" i="1"/>
  <c r="E62" i="1" s="1"/>
  <c r="E12" i="9" s="1"/>
  <c r="BA48" i="1"/>
  <c r="BA62" i="1" s="1"/>
  <c r="C427" i="1"/>
  <c r="BC48" i="1"/>
  <c r="BC62" i="1" s="1"/>
  <c r="BS48" i="1"/>
  <c r="BS62" i="1" s="1"/>
  <c r="G48" i="1"/>
  <c r="G62" i="1" s="1"/>
  <c r="G12" i="9" s="1"/>
  <c r="P48" i="1"/>
  <c r="P62" i="1" s="1"/>
  <c r="I363" i="9"/>
  <c r="F48" i="1"/>
  <c r="F62" i="1" s="1"/>
  <c r="F12" i="9" s="1"/>
  <c r="R48" i="1"/>
  <c r="R62" i="1" s="1"/>
  <c r="AF48" i="1"/>
  <c r="AF62" i="1" s="1"/>
  <c r="AN48" i="1"/>
  <c r="AN62" i="1" s="1"/>
  <c r="AN71" i="1" s="1"/>
  <c r="AV48" i="1"/>
  <c r="AV62" i="1" s="1"/>
  <c r="BB48" i="1"/>
  <c r="BB62" i="1" s="1"/>
  <c r="BJ48" i="1"/>
  <c r="BJ62" i="1" s="1"/>
  <c r="F268" i="9" s="1"/>
  <c r="BP48" i="1"/>
  <c r="BP62" i="1" s="1"/>
  <c r="BP71" i="1" s="1"/>
  <c r="C561" i="1" s="1"/>
  <c r="BX48" i="1"/>
  <c r="BX62" i="1" s="1"/>
  <c r="BX71" i="1" s="1"/>
  <c r="C569" i="1" s="1"/>
  <c r="BG48" i="1"/>
  <c r="BG62" i="1" s="1"/>
  <c r="CC48" i="1"/>
  <c r="CC62" i="1" s="1"/>
  <c r="AG48" i="1"/>
  <c r="AG62" i="1" s="1"/>
  <c r="U48" i="1"/>
  <c r="U62" i="1" s="1"/>
  <c r="BQ48" i="1"/>
  <c r="BQ62" i="1" s="1"/>
  <c r="F300" i="9" s="1"/>
  <c r="BI48" i="1"/>
  <c r="BI62" i="1" s="1"/>
  <c r="BZ48" i="1"/>
  <c r="BZ62" i="1" s="1"/>
  <c r="D48" i="1"/>
  <c r="D62" i="1" s="1"/>
  <c r="D12" i="9" s="1"/>
  <c r="T48" i="1"/>
  <c r="T62" i="1" s="1"/>
  <c r="AS48" i="1"/>
  <c r="AS62" i="1" s="1"/>
  <c r="I362" i="9"/>
  <c r="D186" i="9"/>
  <c r="C464" i="1"/>
  <c r="I372" i="9"/>
  <c r="I366" i="9"/>
  <c r="C432" i="1"/>
  <c r="C429" i="1"/>
  <c r="C430" i="1"/>
  <c r="BH71" i="1"/>
  <c r="D277" i="9" s="1"/>
  <c r="AJ71" i="1"/>
  <c r="H149" i="9" s="1"/>
  <c r="H140" i="9"/>
  <c r="D268" i="9"/>
  <c r="G76" i="9"/>
  <c r="AR71" i="1"/>
  <c r="I181" i="9" s="1"/>
  <c r="I172" i="9"/>
  <c r="D236" i="9"/>
  <c r="BA71" i="1"/>
  <c r="CE48" i="1"/>
  <c r="G145" i="9"/>
  <c r="C177" i="9"/>
  <c r="AO71" i="1"/>
  <c r="F181" i="9" s="1"/>
  <c r="C44" i="9"/>
  <c r="AS71" i="1"/>
  <c r="C538" i="1" s="1"/>
  <c r="G538" i="1" s="1"/>
  <c r="H12" i="9"/>
  <c r="BK71" i="1"/>
  <c r="H300" i="9"/>
  <c r="I12" i="9"/>
  <c r="C12" i="9"/>
  <c r="D433" i="1"/>
  <c r="C475" i="1"/>
  <c r="F11" i="6"/>
  <c r="I337" i="9"/>
  <c r="C273" i="9"/>
  <c r="C81" i="9"/>
  <c r="F337" i="9"/>
  <c r="I113" i="9"/>
  <c r="F241" i="9"/>
  <c r="E81" i="9"/>
  <c r="C241" i="9"/>
  <c r="H177" i="9"/>
  <c r="D49" i="9"/>
  <c r="D305" i="9"/>
  <c r="D368" i="1"/>
  <c r="C120" i="8" s="1"/>
  <c r="C141" i="8"/>
  <c r="D277" i="1"/>
  <c r="C35" i="8" s="1"/>
  <c r="C33" i="8"/>
  <c r="D5" i="7"/>
  <c r="F9" i="6"/>
  <c r="C473" i="1"/>
  <c r="C469" i="1"/>
  <c r="F12" i="6"/>
  <c r="C27" i="5"/>
  <c r="C14" i="5"/>
  <c r="D140" i="9"/>
  <c r="AF71" i="1"/>
  <c r="BT71" i="1"/>
  <c r="I300" i="9"/>
  <c r="C518" i="1"/>
  <c r="G518" i="1" s="1"/>
  <c r="AB71" i="1"/>
  <c r="G108" i="9"/>
  <c r="E113" i="9"/>
  <c r="H268" i="9"/>
  <c r="BL71" i="1"/>
  <c r="I81" i="9"/>
  <c r="AV71" i="1"/>
  <c r="F204" i="9"/>
  <c r="I332" i="9"/>
  <c r="CA71" i="1"/>
  <c r="H332" i="9"/>
  <c r="C76" i="9"/>
  <c r="Q71" i="1"/>
  <c r="E241" i="9"/>
  <c r="D273" i="9"/>
  <c r="D76" i="9"/>
  <c r="R71" i="1"/>
  <c r="D85" i="9" s="1"/>
  <c r="G236" i="9"/>
  <c r="D172" i="9"/>
  <c r="F76" i="9"/>
  <c r="I90" i="9"/>
  <c r="F172" i="9"/>
  <c r="D44" i="9"/>
  <c r="C140" i="9"/>
  <c r="C337" i="9"/>
  <c r="AH71" i="1"/>
  <c r="F140" i="9"/>
  <c r="C49" i="9"/>
  <c r="E49" i="9"/>
  <c r="E305" i="9"/>
  <c r="G113" i="9"/>
  <c r="F209" i="9"/>
  <c r="I108" i="9"/>
  <c r="AD71" i="1"/>
  <c r="BJ71" i="1"/>
  <c r="G332" i="9"/>
  <c r="E273" i="9"/>
  <c r="D241" i="9"/>
  <c r="E145" i="9"/>
  <c r="H305" i="9"/>
  <c r="V71" i="1"/>
  <c r="H76" i="9"/>
  <c r="G172" i="9"/>
  <c r="AP71" i="1"/>
  <c r="I236" i="9"/>
  <c r="D332" i="9"/>
  <c r="C17" i="9"/>
  <c r="H204" i="9"/>
  <c r="I177" i="9"/>
  <c r="D369" i="9"/>
  <c r="D81" i="9"/>
  <c r="G44" i="9"/>
  <c r="N71" i="1"/>
  <c r="C172" i="9"/>
  <c r="AL71" i="1"/>
  <c r="E236" i="9"/>
  <c r="BB71" i="1"/>
  <c r="G300" i="9"/>
  <c r="F44" i="9"/>
  <c r="H44" i="9"/>
  <c r="O71" i="1"/>
  <c r="B446" i="1"/>
  <c r="H273" i="9"/>
  <c r="H81" i="9"/>
  <c r="G140" i="9"/>
  <c r="AI71" i="1"/>
  <c r="E332" i="9"/>
  <c r="BW71" i="1"/>
  <c r="C418" i="1"/>
  <c r="D438" i="1"/>
  <c r="C108" i="9"/>
  <c r="F14" i="6"/>
  <c r="C471" i="1"/>
  <c r="F10" i="6"/>
  <c r="D339" i="1"/>
  <c r="D26" i="9"/>
  <c r="CE75" i="1"/>
  <c r="E177" i="9"/>
  <c r="E337" i="9"/>
  <c r="G49" i="9"/>
  <c r="I305" i="9"/>
  <c r="G177" i="9"/>
  <c r="H49" i="9"/>
  <c r="G204" i="9"/>
  <c r="D108" i="9"/>
  <c r="E204" i="9"/>
  <c r="F7" i="6"/>
  <c r="E204" i="1"/>
  <c r="C468" i="1"/>
  <c r="I383" i="9"/>
  <c r="D22" i="7"/>
  <c r="C40" i="5"/>
  <c r="W71" i="1"/>
  <c r="C420" i="1"/>
  <c r="B28" i="4"/>
  <c r="F186" i="9"/>
  <c r="I17" i="9"/>
  <c r="E17" i="9"/>
  <c r="F273" i="9"/>
  <c r="I204" i="9"/>
  <c r="H172" i="9"/>
  <c r="AQ71" i="1"/>
  <c r="BD52" i="1"/>
  <c r="BD67" i="1" s="1"/>
  <c r="BD71" i="1" s="1"/>
  <c r="AM52" i="1"/>
  <c r="AM67" i="1" s="1"/>
  <c r="AM71" i="1" s="1"/>
  <c r="BF52" i="1"/>
  <c r="BF67" i="1" s="1"/>
  <c r="BF71" i="1" s="1"/>
  <c r="BQ52" i="1"/>
  <c r="BQ67" i="1" s="1"/>
  <c r="BQ71" i="1" s="1"/>
  <c r="C623" i="1" s="1"/>
  <c r="F52" i="1"/>
  <c r="F67" i="1" s="1"/>
  <c r="BY52" i="1"/>
  <c r="BY67" i="1" s="1"/>
  <c r="BY71" i="1" s="1"/>
  <c r="AY52" i="1"/>
  <c r="AY67" i="1" s="1"/>
  <c r="AY71" i="1" s="1"/>
  <c r="BM52" i="1"/>
  <c r="BM67" i="1" s="1"/>
  <c r="BM71" i="1" s="1"/>
  <c r="C638" i="1" s="1"/>
  <c r="CB52" i="1"/>
  <c r="CB67" i="1" s="1"/>
  <c r="CB71" i="1" s="1"/>
  <c r="AW52" i="1"/>
  <c r="AW67" i="1" s="1"/>
  <c r="T52" i="1"/>
  <c r="T67" i="1" s="1"/>
  <c r="T71" i="1" s="1"/>
  <c r="BN52" i="1"/>
  <c r="BN67" i="1" s="1"/>
  <c r="M52" i="1"/>
  <c r="M67" i="1" s="1"/>
  <c r="M71" i="1" s="1"/>
  <c r="AK52" i="1"/>
  <c r="AK67" i="1" s="1"/>
  <c r="BV52" i="1"/>
  <c r="BV67" i="1" s="1"/>
  <c r="BV71" i="1" s="1"/>
  <c r="D52" i="1"/>
  <c r="D67" i="1" s="1"/>
  <c r="AA52" i="1"/>
  <c r="AA67" i="1" s="1"/>
  <c r="BE52" i="1"/>
  <c r="BE67" i="1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G26" i="9"/>
  <c r="E217" i="1"/>
  <c r="I384" i="9"/>
  <c r="L612" i="1"/>
  <c r="F218" i="9"/>
  <c r="D90" i="9"/>
  <c r="D364" i="9"/>
  <c r="CC71" i="1"/>
  <c r="D464" i="1"/>
  <c r="D465" i="1" s="1"/>
  <c r="H154" i="9"/>
  <c r="I367" i="9"/>
  <c r="H71" i="1"/>
  <c r="BO71" i="1"/>
  <c r="D373" i="1"/>
  <c r="D434" i="1"/>
  <c r="D292" i="1"/>
  <c r="C58" i="9"/>
  <c r="D71" i="1" l="1"/>
  <c r="U71" i="1"/>
  <c r="G85" i="9" s="1"/>
  <c r="F332" i="9"/>
  <c r="AT71" i="1"/>
  <c r="E213" i="9"/>
  <c r="E71" i="1"/>
  <c r="C236" i="9"/>
  <c r="E76" i="9"/>
  <c r="C628" i="1"/>
  <c r="C545" i="1"/>
  <c r="G545" i="1" s="1"/>
  <c r="C712" i="1"/>
  <c r="C496" i="1"/>
  <c r="G496" i="1" s="1"/>
  <c r="C668" i="1"/>
  <c r="C644" i="1"/>
  <c r="C696" i="1"/>
  <c r="C502" i="1"/>
  <c r="G502" i="1" s="1"/>
  <c r="C689" i="1"/>
  <c r="I21" i="9"/>
  <c r="C621" i="1"/>
  <c r="C517" i="1"/>
  <c r="G517" i="1" s="1"/>
  <c r="H517" i="1" s="1"/>
  <c r="BE71" i="1"/>
  <c r="H245" i="9" s="1"/>
  <c r="BN71" i="1"/>
  <c r="C559" i="1" s="1"/>
  <c r="C149" i="9"/>
  <c r="D117" i="9"/>
  <c r="F341" i="9"/>
  <c r="C676" i="1"/>
  <c r="C504" i="1"/>
  <c r="G504" i="1" s="1"/>
  <c r="F71" i="1"/>
  <c r="F236" i="9"/>
  <c r="BC71" i="1"/>
  <c r="E309" i="9"/>
  <c r="AG71" i="1"/>
  <c r="C526" i="1" s="1"/>
  <c r="G526" i="1" s="1"/>
  <c r="CE62" i="1"/>
  <c r="C428" i="1" s="1"/>
  <c r="H236" i="9"/>
  <c r="C204" i="9"/>
  <c r="E268" i="9"/>
  <c r="BI71" i="1"/>
  <c r="P71" i="1"/>
  <c r="I44" i="9"/>
  <c r="AW71" i="1"/>
  <c r="J71" i="1"/>
  <c r="E300" i="9"/>
  <c r="AC71" i="1"/>
  <c r="C522" i="1" s="1"/>
  <c r="G522" i="1" s="1"/>
  <c r="I76" i="9"/>
  <c r="AA71" i="1"/>
  <c r="C520" i="1" s="1"/>
  <c r="G520" i="1" s="1"/>
  <c r="C300" i="9"/>
  <c r="D204" i="9"/>
  <c r="BZ71" i="1"/>
  <c r="H341" i="9" s="1"/>
  <c r="E140" i="9"/>
  <c r="E172" i="9"/>
  <c r="Z71" i="1"/>
  <c r="C268" i="9"/>
  <c r="BG71" i="1"/>
  <c r="BU71" i="1"/>
  <c r="C641" i="1" s="1"/>
  <c r="BS71" i="1"/>
  <c r="L71" i="1"/>
  <c r="E44" i="9"/>
  <c r="AK71" i="1"/>
  <c r="I140" i="9"/>
  <c r="C701" i="1"/>
  <c r="C553" i="1"/>
  <c r="C636" i="1"/>
  <c r="C529" i="1"/>
  <c r="G529" i="1" s="1"/>
  <c r="C614" i="1"/>
  <c r="D615" i="1" s="1"/>
  <c r="D687" i="1" s="1"/>
  <c r="C514" i="1"/>
  <c r="G514" i="1" s="1"/>
  <c r="C537" i="1"/>
  <c r="G537" i="1" s="1"/>
  <c r="C709" i="1"/>
  <c r="C686" i="1"/>
  <c r="C630" i="1"/>
  <c r="C546" i="1"/>
  <c r="G546" i="1" s="1"/>
  <c r="D245" i="9"/>
  <c r="I277" i="9"/>
  <c r="C558" i="1"/>
  <c r="CE67" i="1"/>
  <c r="C433" i="1" s="1"/>
  <c r="C706" i="1"/>
  <c r="C534" i="1"/>
  <c r="G534" i="1" s="1"/>
  <c r="C556" i="1"/>
  <c r="G277" i="9"/>
  <c r="C635" i="1"/>
  <c r="F309" i="9"/>
  <c r="C562" i="1"/>
  <c r="C710" i="1"/>
  <c r="C213" i="9"/>
  <c r="CE52" i="1"/>
  <c r="C624" i="1"/>
  <c r="C549" i="1"/>
  <c r="G245" i="9"/>
  <c r="C693" i="1"/>
  <c r="C521" i="1"/>
  <c r="G521" i="1" s="1"/>
  <c r="G117" i="9"/>
  <c r="C685" i="1"/>
  <c r="C513" i="1"/>
  <c r="G513" i="1" s="1"/>
  <c r="F85" i="9"/>
  <c r="C85" i="9"/>
  <c r="C510" i="1"/>
  <c r="G510" i="1" s="1"/>
  <c r="C682" i="1"/>
  <c r="E85" i="9"/>
  <c r="C684" i="1"/>
  <c r="C512" i="1"/>
  <c r="G512" i="1" s="1"/>
  <c r="C640" i="1"/>
  <c r="C565" i="1"/>
  <c r="I309" i="9"/>
  <c r="E181" i="9"/>
  <c r="C533" i="1"/>
  <c r="G533" i="1" s="1"/>
  <c r="C705" i="1"/>
  <c r="C532" i="1"/>
  <c r="G532" i="1" s="1"/>
  <c r="D181" i="9"/>
  <c r="C704" i="1"/>
  <c r="C511" i="1"/>
  <c r="G511" i="1" s="1"/>
  <c r="C683" i="1"/>
  <c r="C541" i="1"/>
  <c r="C713" i="1"/>
  <c r="F213" i="9"/>
  <c r="C557" i="1"/>
  <c r="C637" i="1"/>
  <c r="H277" i="9"/>
  <c r="C698" i="1"/>
  <c r="I341" i="9"/>
  <c r="C647" i="1"/>
  <c r="C572" i="1"/>
  <c r="C697" i="1"/>
  <c r="D149" i="9"/>
  <c r="C525" i="1"/>
  <c r="G525" i="1" s="1"/>
  <c r="G17" i="9"/>
  <c r="I273" i="9"/>
  <c r="C497" i="1"/>
  <c r="G497" i="1" s="1"/>
  <c r="C669" i="1"/>
  <c r="D21" i="9"/>
  <c r="F544" i="1"/>
  <c r="H544" i="1"/>
  <c r="H536" i="1"/>
  <c r="F536" i="1"/>
  <c r="F528" i="1"/>
  <c r="F520" i="1"/>
  <c r="D341" i="1"/>
  <c r="C481" i="1" s="1"/>
  <c r="C50" i="8"/>
  <c r="D309" i="9"/>
  <c r="C627" i="1"/>
  <c r="C560" i="1"/>
  <c r="C620" i="1"/>
  <c r="C574" i="1"/>
  <c r="D373" i="9"/>
  <c r="H209" i="9"/>
  <c r="D337" i="9"/>
  <c r="F81" i="9"/>
  <c r="I209" i="9"/>
  <c r="I241" i="9"/>
  <c r="I378" i="9"/>
  <c r="K612" i="1"/>
  <c r="C465" i="1"/>
  <c r="G149" i="9"/>
  <c r="C528" i="1"/>
  <c r="G528" i="1" s="1"/>
  <c r="C700" i="1"/>
  <c r="C616" i="1"/>
  <c r="C543" i="1"/>
  <c r="H213" i="9"/>
  <c r="C619" i="1"/>
  <c r="C126" i="8"/>
  <c r="D391" i="1"/>
  <c r="F32" i="6"/>
  <c r="C478" i="1"/>
  <c r="C305" i="9"/>
  <c r="C536" i="1"/>
  <c r="G536" i="1" s="1"/>
  <c r="H181" i="9"/>
  <c r="C708" i="1"/>
  <c r="C102" i="8"/>
  <c r="C482" i="1"/>
  <c r="C498" i="1"/>
  <c r="G498" i="1" s="1"/>
  <c r="E21" i="9"/>
  <c r="C670" i="1"/>
  <c r="C687" i="1"/>
  <c r="C515" i="1"/>
  <c r="H85" i="9"/>
  <c r="F498" i="1"/>
  <c r="C501" i="1"/>
  <c r="H21" i="9"/>
  <c r="C673" i="1"/>
  <c r="H241" i="9"/>
  <c r="I145" i="9"/>
  <c r="G209" i="9"/>
  <c r="G337" i="9"/>
  <c r="D177" i="9"/>
  <c r="C516" i="1"/>
  <c r="G516" i="1" s="1"/>
  <c r="I85" i="9"/>
  <c r="C688" i="1"/>
  <c r="C476" i="1"/>
  <c r="F16" i="6"/>
  <c r="C672" i="1"/>
  <c r="C500" i="1"/>
  <c r="G500" i="1" s="1"/>
  <c r="G21" i="9"/>
  <c r="H53" i="9"/>
  <c r="C680" i="1"/>
  <c r="C508" i="1"/>
  <c r="G508" i="1" s="1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F516" i="1"/>
  <c r="H516" i="1"/>
  <c r="D17" i="9"/>
  <c r="F305" i="9"/>
  <c r="C622" i="1"/>
  <c r="C373" i="9"/>
  <c r="C573" i="1"/>
  <c r="C181" i="9"/>
  <c r="C703" i="1"/>
  <c r="C531" i="1"/>
  <c r="G531" i="1" s="1"/>
  <c r="C535" i="1"/>
  <c r="G535" i="1" s="1"/>
  <c r="C707" i="1"/>
  <c r="G181" i="9"/>
  <c r="C699" i="1"/>
  <c r="C527" i="1"/>
  <c r="G527" i="1" s="1"/>
  <c r="F149" i="9"/>
  <c r="F540" i="1"/>
  <c r="H540" i="1"/>
  <c r="F532" i="1"/>
  <c r="H532" i="1"/>
  <c r="F524" i="1"/>
  <c r="H524" i="1" s="1"/>
  <c r="F550" i="1"/>
  <c r="G305" i="9"/>
  <c r="F113" i="9"/>
  <c r="F49" i="9"/>
  <c r="C369" i="9"/>
  <c r="F17" i="9"/>
  <c r="G241" i="9"/>
  <c r="I213" i="9"/>
  <c r="C625" i="1"/>
  <c r="C544" i="1"/>
  <c r="G544" i="1" s="1"/>
  <c r="C568" i="1"/>
  <c r="C643" i="1"/>
  <c r="E341" i="9"/>
  <c r="C506" i="1"/>
  <c r="G506" i="1" s="1"/>
  <c r="F53" i="9"/>
  <c r="C678" i="1"/>
  <c r="G53" i="9"/>
  <c r="C507" i="1"/>
  <c r="G507" i="1" s="1"/>
  <c r="C679" i="1"/>
  <c r="C555" i="1"/>
  <c r="C617" i="1"/>
  <c r="F277" i="9"/>
  <c r="C523" i="1"/>
  <c r="G523" i="1" s="1"/>
  <c r="C695" i="1"/>
  <c r="I117" i="9"/>
  <c r="C571" i="1" l="1"/>
  <c r="C550" i="1"/>
  <c r="G550" i="1" s="1"/>
  <c r="C341" i="9"/>
  <c r="I369" i="9"/>
  <c r="H117" i="9"/>
  <c r="C309" i="9"/>
  <c r="E149" i="9"/>
  <c r="D672" i="1"/>
  <c r="C646" i="1"/>
  <c r="F117" i="9"/>
  <c r="C692" i="1"/>
  <c r="C441" i="1"/>
  <c r="F21" i="9"/>
  <c r="C499" i="1"/>
  <c r="G499" i="1" s="1"/>
  <c r="C671" i="1"/>
  <c r="C694" i="1"/>
  <c r="CE71" i="1"/>
  <c r="C716" i="1" s="1"/>
  <c r="C566" i="1"/>
  <c r="C530" i="1"/>
  <c r="G530" i="1" s="1"/>
  <c r="I149" i="9"/>
  <c r="C702" i="1"/>
  <c r="C618" i="1"/>
  <c r="C277" i="9"/>
  <c r="C552" i="1"/>
  <c r="G213" i="9"/>
  <c r="C542" i="1"/>
  <c r="C631" i="1"/>
  <c r="I53" i="9"/>
  <c r="C509" i="1"/>
  <c r="G509" i="1" s="1"/>
  <c r="C681" i="1"/>
  <c r="C677" i="1"/>
  <c r="C505" i="1"/>
  <c r="G505" i="1" s="1"/>
  <c r="E53" i="9"/>
  <c r="I364" i="9"/>
  <c r="C639" i="1"/>
  <c r="H309" i="9"/>
  <c r="C564" i="1"/>
  <c r="C633" i="1"/>
  <c r="F245" i="9"/>
  <c r="C548" i="1"/>
  <c r="C691" i="1"/>
  <c r="E117" i="9"/>
  <c r="C519" i="1"/>
  <c r="G519" i="1" s="1"/>
  <c r="C675" i="1"/>
  <c r="C53" i="9"/>
  <c r="C503" i="1"/>
  <c r="G503" i="1" s="1"/>
  <c r="C554" i="1"/>
  <c r="E277" i="9"/>
  <c r="C634" i="1"/>
  <c r="H550" i="1"/>
  <c r="D693" i="1"/>
  <c r="H498" i="1"/>
  <c r="D688" i="1"/>
  <c r="H520" i="1"/>
  <c r="D646" i="1"/>
  <c r="D641" i="1"/>
  <c r="D681" i="1"/>
  <c r="D695" i="1"/>
  <c r="D643" i="1"/>
  <c r="D668" i="1"/>
  <c r="D618" i="1"/>
  <c r="D679" i="1"/>
  <c r="D708" i="1"/>
  <c r="D633" i="1"/>
  <c r="D626" i="1"/>
  <c r="D624" i="1"/>
  <c r="D625" i="1"/>
  <c r="D683" i="1"/>
  <c r="D619" i="1"/>
  <c r="D680" i="1"/>
  <c r="D710" i="1"/>
  <c r="D678" i="1"/>
  <c r="D712" i="1"/>
  <c r="D621" i="1"/>
  <c r="D627" i="1"/>
  <c r="D677" i="1"/>
  <c r="D673" i="1"/>
  <c r="D691" i="1"/>
  <c r="D638" i="1"/>
  <c r="D634" i="1"/>
  <c r="D629" i="1"/>
  <c r="D696" i="1"/>
  <c r="D701" i="1"/>
  <c r="D689" i="1"/>
  <c r="D640" i="1"/>
  <c r="D670" i="1"/>
  <c r="D703" i="1"/>
  <c r="D669" i="1"/>
  <c r="D620" i="1"/>
  <c r="D671" i="1"/>
  <c r="D635" i="1"/>
  <c r="D616" i="1"/>
  <c r="D647" i="1"/>
  <c r="D698" i="1"/>
  <c r="D694" i="1"/>
  <c r="D713" i="1"/>
  <c r="D637" i="1"/>
  <c r="D702" i="1"/>
  <c r="D707" i="1"/>
  <c r="D636" i="1"/>
  <c r="D690" i="1"/>
  <c r="D709" i="1"/>
  <c r="D685" i="1"/>
  <c r="D716" i="1"/>
  <c r="D697" i="1"/>
  <c r="D674" i="1"/>
  <c r="D617" i="1"/>
  <c r="D642" i="1"/>
  <c r="D632" i="1"/>
  <c r="D684" i="1"/>
  <c r="D676" i="1"/>
  <c r="D682" i="1"/>
  <c r="D706" i="1"/>
  <c r="D630" i="1"/>
  <c r="D631" i="1"/>
  <c r="D675" i="1"/>
  <c r="D711" i="1"/>
  <c r="D699" i="1"/>
  <c r="D705" i="1"/>
  <c r="D686" i="1"/>
  <c r="D628" i="1"/>
  <c r="D623" i="1"/>
  <c r="D639" i="1"/>
  <c r="D700" i="1"/>
  <c r="D704" i="1"/>
  <c r="D622" i="1"/>
  <c r="D645" i="1"/>
  <c r="D692" i="1"/>
  <c r="D644" i="1"/>
  <c r="G501" i="1"/>
  <c r="H501" i="1" s="1"/>
  <c r="H528" i="1"/>
  <c r="G515" i="1"/>
  <c r="H515" i="1"/>
  <c r="F522" i="1"/>
  <c r="H522" i="1"/>
  <c r="F510" i="1"/>
  <c r="H510" i="1" s="1"/>
  <c r="F513" i="1"/>
  <c r="H513" i="1"/>
  <c r="C142" i="8"/>
  <c r="D393" i="1"/>
  <c r="F538" i="1"/>
  <c r="H538" i="1"/>
  <c r="F496" i="1"/>
  <c r="H496" i="1" s="1"/>
  <c r="F534" i="1"/>
  <c r="H534" i="1"/>
  <c r="H502" i="1"/>
  <c r="F502" i="1"/>
  <c r="H504" i="1"/>
  <c r="F504" i="1"/>
  <c r="F530" i="1"/>
  <c r="F512" i="1"/>
  <c r="H512" i="1"/>
  <c r="F526" i="1"/>
  <c r="H526" i="1"/>
  <c r="F503" i="1"/>
  <c r="H503" i="1"/>
  <c r="H508" i="1"/>
  <c r="F508" i="1"/>
  <c r="F514" i="1"/>
  <c r="H514" i="1"/>
  <c r="H507" i="1"/>
  <c r="F507" i="1"/>
  <c r="F518" i="1"/>
  <c r="H518" i="1" s="1"/>
  <c r="H546" i="1"/>
  <c r="F546" i="1"/>
  <c r="F506" i="1"/>
  <c r="H506" i="1"/>
  <c r="F500" i="1"/>
  <c r="H500" i="1" s="1"/>
  <c r="F509" i="1"/>
  <c r="H509" i="1" l="1"/>
  <c r="C648" i="1"/>
  <c r="M716" i="1" s="1"/>
  <c r="C715" i="1"/>
  <c r="I373" i="9"/>
  <c r="H530" i="1"/>
  <c r="E612" i="1"/>
  <c r="D715" i="1"/>
  <c r="E623" i="1"/>
  <c r="E716" i="1" s="1"/>
  <c r="F545" i="1"/>
  <c r="H545" i="1" s="1"/>
  <c r="H525" i="1"/>
  <c r="F525" i="1"/>
  <c r="F529" i="1"/>
  <c r="H529" i="1" s="1"/>
  <c r="C146" i="8"/>
  <c r="D396" i="1"/>
  <c r="C151" i="8" s="1"/>
  <c r="F521" i="1"/>
  <c r="H521" i="1"/>
  <c r="F535" i="1"/>
  <c r="H535" i="1" s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709" i="1" l="1"/>
  <c r="E690" i="1"/>
  <c r="E711" i="1"/>
  <c r="E668" i="1"/>
  <c r="E700" i="1"/>
  <c r="E632" i="1"/>
  <c r="E689" i="1"/>
  <c r="E631" i="1"/>
  <c r="E635" i="1"/>
  <c r="E691" i="1"/>
  <c r="E706" i="1"/>
  <c r="E713" i="1"/>
  <c r="E634" i="1"/>
  <c r="E624" i="1"/>
  <c r="F624" i="1" s="1"/>
  <c r="F706" i="1" s="1"/>
  <c r="E671" i="1"/>
  <c r="E674" i="1"/>
  <c r="E701" i="1"/>
  <c r="E710" i="1"/>
  <c r="E687" i="1"/>
  <c r="E625" i="1"/>
  <c r="E676" i="1"/>
  <c r="E645" i="1"/>
  <c r="E707" i="1"/>
  <c r="E681" i="1"/>
  <c r="E673" i="1"/>
  <c r="E628" i="1"/>
  <c r="E627" i="1"/>
  <c r="E696" i="1"/>
  <c r="E686" i="1"/>
  <c r="E679" i="1"/>
  <c r="E680" i="1"/>
  <c r="E675" i="1"/>
  <c r="E629" i="1"/>
  <c r="E708" i="1"/>
  <c r="E682" i="1"/>
  <c r="E685" i="1"/>
  <c r="E638" i="1"/>
  <c r="E704" i="1"/>
  <c r="E678" i="1"/>
  <c r="E642" i="1"/>
  <c r="E712" i="1"/>
  <c r="E646" i="1"/>
  <c r="E641" i="1"/>
  <c r="E647" i="1"/>
  <c r="E683" i="1"/>
  <c r="E669" i="1"/>
  <c r="E702" i="1"/>
  <c r="E695" i="1"/>
  <c r="E694" i="1"/>
  <c r="E670" i="1"/>
  <c r="E677" i="1"/>
  <c r="E633" i="1"/>
  <c r="E644" i="1"/>
  <c r="E672" i="1"/>
  <c r="E699" i="1"/>
  <c r="E637" i="1"/>
  <c r="E697" i="1"/>
  <c r="E630" i="1"/>
  <c r="E643" i="1"/>
  <c r="E640" i="1"/>
  <c r="E684" i="1"/>
  <c r="E626" i="1"/>
  <c r="E705" i="1"/>
  <c r="E688" i="1"/>
  <c r="E698" i="1"/>
  <c r="E693" i="1"/>
  <c r="E692" i="1"/>
  <c r="E703" i="1"/>
  <c r="E636" i="1"/>
  <c r="E639" i="1"/>
  <c r="F684" i="1" l="1"/>
  <c r="F668" i="1"/>
  <c r="F636" i="1"/>
  <c r="F669" i="1"/>
  <c r="F670" i="1"/>
  <c r="F693" i="1"/>
  <c r="F689" i="1"/>
  <c r="F672" i="1"/>
  <c r="F677" i="1"/>
  <c r="F688" i="1"/>
  <c r="F626" i="1"/>
  <c r="F704" i="1"/>
  <c r="F640" i="1"/>
  <c r="F644" i="1"/>
  <c r="F695" i="1"/>
  <c r="F678" i="1"/>
  <c r="F699" i="1"/>
  <c r="F633" i="1"/>
  <c r="F710" i="1"/>
  <c r="F711" i="1"/>
  <c r="F681" i="1"/>
  <c r="F700" i="1"/>
  <c r="F630" i="1"/>
  <c r="F675" i="1"/>
  <c r="F646" i="1"/>
  <c r="F705" i="1"/>
  <c r="F687" i="1"/>
  <c r="F673" i="1"/>
  <c r="F637" i="1"/>
  <c r="F679" i="1"/>
  <c r="F691" i="1"/>
  <c r="F629" i="1"/>
  <c r="F635" i="1"/>
  <c r="F692" i="1"/>
  <c r="F632" i="1"/>
  <c r="F634" i="1"/>
  <c r="F643" i="1"/>
  <c r="F712" i="1"/>
  <c r="F627" i="1"/>
  <c r="F694" i="1"/>
  <c r="F628" i="1"/>
  <c r="F685" i="1"/>
  <c r="F682" i="1"/>
  <c r="F639" i="1"/>
  <c r="F703" i="1"/>
  <c r="F708" i="1"/>
  <c r="F631" i="1"/>
  <c r="F647" i="1"/>
  <c r="F686" i="1"/>
  <c r="F690" i="1"/>
  <c r="F625" i="1"/>
  <c r="G625" i="1" s="1"/>
  <c r="G644" i="1" s="1"/>
  <c r="F709" i="1"/>
  <c r="F707" i="1"/>
  <c r="F645" i="1"/>
  <c r="F671" i="1"/>
  <c r="F642" i="1"/>
  <c r="F697" i="1"/>
  <c r="F638" i="1"/>
  <c r="F641" i="1"/>
  <c r="F676" i="1"/>
  <c r="F702" i="1"/>
  <c r="F674" i="1"/>
  <c r="F701" i="1"/>
  <c r="F696" i="1"/>
  <c r="F716" i="1"/>
  <c r="F713" i="1"/>
  <c r="F680" i="1"/>
  <c r="F683" i="1"/>
  <c r="F698" i="1"/>
  <c r="E715" i="1"/>
  <c r="D11" i="7"/>
  <c r="D229" i="1"/>
  <c r="B445" i="1" s="1"/>
  <c r="D242" i="1" l="1"/>
  <c r="G711" i="1"/>
  <c r="G704" i="1"/>
  <c r="G693" i="1"/>
  <c r="G685" i="1"/>
  <c r="G638" i="1"/>
  <c r="G630" i="1"/>
  <c r="G692" i="1"/>
  <c r="G677" i="1"/>
  <c r="G713" i="1"/>
  <c r="G635" i="1"/>
  <c r="G673" i="1"/>
  <c r="G697" i="1"/>
  <c r="G683" i="1"/>
  <c r="G689" i="1"/>
  <c r="G627" i="1"/>
  <c r="G634" i="1"/>
  <c r="G710" i="1"/>
  <c r="G672" i="1"/>
  <c r="G708" i="1"/>
  <c r="G678" i="1"/>
  <c r="G686" i="1"/>
  <c r="G670" i="1"/>
  <c r="G639" i="1"/>
  <c r="G633" i="1"/>
  <c r="G645" i="1"/>
  <c r="G668" i="1"/>
  <c r="G629" i="1"/>
  <c r="G712" i="1"/>
  <c r="G675" i="1"/>
  <c r="G694" i="1"/>
  <c r="G703" i="1"/>
  <c r="G716" i="1"/>
  <c r="G642" i="1"/>
  <c r="G699" i="1"/>
  <c r="G706" i="1"/>
  <c r="G700" i="1"/>
  <c r="G631" i="1"/>
  <c r="G626" i="1"/>
  <c r="G636" i="1"/>
  <c r="G632" i="1"/>
  <c r="G679" i="1"/>
  <c r="G640" i="1"/>
  <c r="G684" i="1"/>
  <c r="G647" i="1"/>
  <c r="G628" i="1"/>
  <c r="G695" i="1"/>
  <c r="G705" i="1"/>
  <c r="G688" i="1"/>
  <c r="G676" i="1"/>
  <c r="G643" i="1"/>
  <c r="G702" i="1"/>
  <c r="F715" i="1"/>
  <c r="G680" i="1"/>
  <c r="G690" i="1"/>
  <c r="G674" i="1"/>
  <c r="G671" i="1"/>
  <c r="G687" i="1"/>
  <c r="G669" i="1"/>
  <c r="G701" i="1"/>
  <c r="G641" i="1"/>
  <c r="G681" i="1"/>
  <c r="G682" i="1"/>
  <c r="G646" i="1"/>
  <c r="G698" i="1"/>
  <c r="G709" i="1"/>
  <c r="G637" i="1"/>
  <c r="G691" i="1"/>
  <c r="G696" i="1"/>
  <c r="G707" i="1"/>
  <c r="D13" i="7"/>
  <c r="D27" i="7" l="1"/>
  <c r="B448" i="1"/>
  <c r="H628" i="1"/>
  <c r="H705" i="1" s="1"/>
  <c r="G715" i="1"/>
  <c r="H672" i="1"/>
  <c r="H704" i="1" l="1"/>
  <c r="H670" i="1"/>
  <c r="H675" i="1"/>
  <c r="H688" i="1"/>
  <c r="H668" i="1"/>
  <c r="H633" i="1"/>
  <c r="H674" i="1"/>
  <c r="H690" i="1"/>
  <c r="H695" i="1"/>
  <c r="H709" i="1"/>
  <c r="H716" i="1"/>
  <c r="H645" i="1"/>
  <c r="H702" i="1"/>
  <c r="H646" i="1"/>
  <c r="H680" i="1"/>
  <c r="H697" i="1"/>
  <c r="H698" i="1"/>
  <c r="H644" i="1"/>
  <c r="H689" i="1"/>
  <c r="H699" i="1"/>
  <c r="H693" i="1"/>
  <c r="H632" i="1"/>
  <c r="H669" i="1"/>
  <c r="H673" i="1"/>
  <c r="H707" i="1"/>
  <c r="H691" i="1"/>
  <c r="H677" i="1"/>
  <c r="H635" i="1"/>
  <c r="H700" i="1"/>
  <c r="H634" i="1"/>
  <c r="H631" i="1"/>
  <c r="H710" i="1"/>
  <c r="H701" i="1"/>
  <c r="H636" i="1"/>
  <c r="H630" i="1"/>
  <c r="H684" i="1"/>
  <c r="H713" i="1"/>
  <c r="H683" i="1"/>
  <c r="H639" i="1"/>
  <c r="H686" i="1"/>
  <c r="H685" i="1"/>
  <c r="H643" i="1"/>
  <c r="H638" i="1"/>
  <c r="H637" i="1"/>
  <c r="H712" i="1"/>
  <c r="H694" i="1"/>
  <c r="H711" i="1"/>
  <c r="H708" i="1"/>
  <c r="H692" i="1"/>
  <c r="H703" i="1"/>
  <c r="H687" i="1"/>
  <c r="H640" i="1"/>
  <c r="H642" i="1"/>
  <c r="H641" i="1"/>
  <c r="H676" i="1"/>
  <c r="H681" i="1"/>
  <c r="H679" i="1"/>
  <c r="H706" i="1"/>
  <c r="H647" i="1"/>
  <c r="H696" i="1"/>
  <c r="H629" i="1"/>
  <c r="I629" i="1" s="1"/>
  <c r="H678" i="1"/>
  <c r="H671" i="1"/>
  <c r="H682" i="1"/>
  <c r="H715" i="1" l="1"/>
  <c r="I716" i="1"/>
  <c r="I683" i="1"/>
  <c r="I704" i="1"/>
  <c r="I708" i="1"/>
  <c r="I692" i="1"/>
  <c r="I686" i="1"/>
  <c r="I678" i="1"/>
  <c r="I699" i="1"/>
  <c r="I710" i="1"/>
  <c r="I634" i="1"/>
  <c r="I691" i="1"/>
  <c r="I637" i="1"/>
  <c r="I643" i="1"/>
  <c r="I687" i="1"/>
  <c r="I635" i="1"/>
  <c r="I639" i="1"/>
  <c r="I677" i="1"/>
  <c r="I641" i="1"/>
  <c r="I673" i="1"/>
  <c r="I680" i="1"/>
  <c r="I631" i="1"/>
  <c r="I682" i="1"/>
  <c r="I701" i="1"/>
  <c r="I703" i="1"/>
  <c r="I644" i="1"/>
  <c r="I700" i="1"/>
  <c r="I707" i="1"/>
  <c r="I709" i="1"/>
  <c r="I636" i="1"/>
  <c r="I674" i="1"/>
  <c r="I694" i="1"/>
  <c r="I646" i="1"/>
  <c r="I676" i="1"/>
  <c r="I630" i="1"/>
  <c r="J630" i="1" s="1"/>
  <c r="I681" i="1"/>
  <c r="I706" i="1"/>
  <c r="I684" i="1"/>
  <c r="I690" i="1"/>
  <c r="I642" i="1"/>
  <c r="I685" i="1"/>
  <c r="I633" i="1"/>
  <c r="I669" i="1"/>
  <c r="I689" i="1"/>
  <c r="I712" i="1"/>
  <c r="I696" i="1"/>
  <c r="I702" i="1"/>
  <c r="I668" i="1"/>
  <c r="I632" i="1"/>
  <c r="I672" i="1"/>
  <c r="I647" i="1"/>
  <c r="I675" i="1"/>
  <c r="I670" i="1"/>
  <c r="I645" i="1"/>
  <c r="I638" i="1"/>
  <c r="I695" i="1"/>
  <c r="I705" i="1"/>
  <c r="I713" i="1"/>
  <c r="I688" i="1"/>
  <c r="I671" i="1"/>
  <c r="I698" i="1"/>
  <c r="I697" i="1"/>
  <c r="I640" i="1"/>
  <c r="I711" i="1"/>
  <c r="I679" i="1"/>
  <c r="I693" i="1"/>
  <c r="J707" i="1" l="1"/>
  <c r="J690" i="1"/>
  <c r="J694" i="1"/>
  <c r="J713" i="1"/>
  <c r="J681" i="1"/>
  <c r="J687" i="1"/>
  <c r="J708" i="1"/>
  <c r="J677" i="1"/>
  <c r="J637" i="1"/>
  <c r="J642" i="1"/>
  <c r="J709" i="1"/>
  <c r="J702" i="1"/>
  <c r="J710" i="1"/>
  <c r="J693" i="1"/>
  <c r="J683" i="1"/>
  <c r="J634" i="1"/>
  <c r="J635" i="1"/>
  <c r="J699" i="1"/>
  <c r="J636" i="1"/>
  <c r="J646" i="1"/>
  <c r="J686" i="1"/>
  <c r="J680" i="1"/>
  <c r="J641" i="1"/>
  <c r="J703" i="1"/>
  <c r="J679" i="1"/>
  <c r="J700" i="1"/>
  <c r="J644" i="1"/>
  <c r="J705" i="1"/>
  <c r="J716" i="1"/>
  <c r="J704" i="1"/>
  <c r="J647" i="1"/>
  <c r="J689" i="1"/>
  <c r="J692" i="1"/>
  <c r="J668" i="1"/>
  <c r="J701" i="1"/>
  <c r="J632" i="1"/>
  <c r="J685" i="1"/>
  <c r="J672" i="1"/>
  <c r="J682" i="1"/>
  <c r="J712" i="1"/>
  <c r="J631" i="1"/>
  <c r="J688" i="1"/>
  <c r="J645" i="1"/>
  <c r="J671" i="1"/>
  <c r="J673" i="1"/>
  <c r="J698" i="1"/>
  <c r="J696" i="1"/>
  <c r="J643" i="1"/>
  <c r="J669" i="1"/>
  <c r="J684" i="1"/>
  <c r="J639" i="1"/>
  <c r="J674" i="1"/>
  <c r="J638" i="1"/>
  <c r="J633" i="1"/>
  <c r="J697" i="1"/>
  <c r="J691" i="1"/>
  <c r="J706" i="1"/>
  <c r="J670" i="1"/>
  <c r="J695" i="1"/>
  <c r="J711" i="1"/>
  <c r="J640" i="1"/>
  <c r="J678" i="1"/>
  <c r="J676" i="1"/>
  <c r="J675" i="1"/>
  <c r="I715" i="1"/>
  <c r="L647" i="1" l="1"/>
  <c r="L684" i="1" s="1"/>
  <c r="K644" i="1"/>
  <c r="J715" i="1"/>
  <c r="L681" i="1" l="1"/>
  <c r="L713" i="1"/>
  <c r="L689" i="1"/>
  <c r="L703" i="1"/>
  <c r="L688" i="1"/>
  <c r="L676" i="1"/>
  <c r="L686" i="1"/>
  <c r="L670" i="1"/>
  <c r="L672" i="1"/>
  <c r="L712" i="1"/>
  <c r="L680" i="1"/>
  <c r="L704" i="1"/>
  <c r="L716" i="1"/>
  <c r="L677" i="1"/>
  <c r="L668" i="1"/>
  <c r="L706" i="1"/>
  <c r="L678" i="1"/>
  <c r="L690" i="1"/>
  <c r="L698" i="1"/>
  <c r="L682" i="1"/>
  <c r="L699" i="1"/>
  <c r="L671" i="1"/>
  <c r="L673" i="1"/>
  <c r="L691" i="1"/>
  <c r="L685" i="1"/>
  <c r="L696" i="1"/>
  <c r="L711" i="1"/>
  <c r="L709" i="1"/>
  <c r="L705" i="1"/>
  <c r="L694" i="1"/>
  <c r="L693" i="1"/>
  <c r="L700" i="1"/>
  <c r="L674" i="1"/>
  <c r="L683" i="1"/>
  <c r="L708" i="1"/>
  <c r="L675" i="1"/>
  <c r="L679" i="1"/>
  <c r="L710" i="1"/>
  <c r="L701" i="1"/>
  <c r="L702" i="1"/>
  <c r="L687" i="1"/>
  <c r="L707" i="1"/>
  <c r="L669" i="1"/>
  <c r="L692" i="1"/>
  <c r="L695" i="1"/>
  <c r="L697" i="1"/>
  <c r="K668" i="1"/>
  <c r="K669" i="1"/>
  <c r="K710" i="1"/>
  <c r="K699" i="1"/>
  <c r="K677" i="1"/>
  <c r="K685" i="1"/>
  <c r="K687" i="1"/>
  <c r="M687" i="1" s="1"/>
  <c r="K688" i="1"/>
  <c r="K693" i="1"/>
  <c r="M693" i="1" s="1"/>
  <c r="K675" i="1"/>
  <c r="M675" i="1" s="1"/>
  <c r="K692" i="1"/>
  <c r="K704" i="1"/>
  <c r="K695" i="1"/>
  <c r="K671" i="1"/>
  <c r="K681" i="1"/>
  <c r="M681" i="1" s="1"/>
  <c r="K712" i="1"/>
  <c r="M712" i="1" s="1"/>
  <c r="K716" i="1"/>
  <c r="K701" i="1"/>
  <c r="K680" i="1"/>
  <c r="K672" i="1"/>
  <c r="K711" i="1"/>
  <c r="M711" i="1" s="1"/>
  <c r="K682" i="1"/>
  <c r="M682" i="1" s="1"/>
  <c r="K670" i="1"/>
  <c r="K696" i="1"/>
  <c r="M696" i="1" s="1"/>
  <c r="K676" i="1"/>
  <c r="K679" i="1"/>
  <c r="K713" i="1"/>
  <c r="K709" i="1"/>
  <c r="K690" i="1"/>
  <c r="K686" i="1"/>
  <c r="K700" i="1"/>
  <c r="K705" i="1"/>
  <c r="K683" i="1"/>
  <c r="K684" i="1"/>
  <c r="M684" i="1" s="1"/>
  <c r="K678" i="1"/>
  <c r="M678" i="1" s="1"/>
  <c r="K698" i="1"/>
  <c r="K673" i="1"/>
  <c r="K697" i="1"/>
  <c r="K674" i="1"/>
  <c r="M674" i="1" s="1"/>
  <c r="K703" i="1"/>
  <c r="K689" i="1"/>
  <c r="M689" i="1" s="1"/>
  <c r="K706" i="1"/>
  <c r="M706" i="1" s="1"/>
  <c r="K702" i="1"/>
  <c r="K707" i="1"/>
  <c r="M707" i="1" s="1"/>
  <c r="K708" i="1"/>
  <c r="M708" i="1" s="1"/>
  <c r="K694" i="1"/>
  <c r="K691" i="1"/>
  <c r="M673" i="1" l="1"/>
  <c r="M680" i="1"/>
  <c r="M713" i="1"/>
  <c r="M703" i="1"/>
  <c r="M704" i="1"/>
  <c r="D183" i="9" s="1"/>
  <c r="M670" i="1"/>
  <c r="M705" i="1"/>
  <c r="M672" i="1"/>
  <c r="M688" i="1"/>
  <c r="I87" i="9" s="1"/>
  <c r="M686" i="1"/>
  <c r="M676" i="1"/>
  <c r="D55" i="9" s="1"/>
  <c r="M677" i="1"/>
  <c r="E55" i="9" s="1"/>
  <c r="M679" i="1"/>
  <c r="M701" i="1"/>
  <c r="H151" i="9" s="1"/>
  <c r="M685" i="1"/>
  <c r="M698" i="1"/>
  <c r="E151" i="9" s="1"/>
  <c r="M699" i="1"/>
  <c r="F151" i="9" s="1"/>
  <c r="M694" i="1"/>
  <c r="H119" i="9" s="1"/>
  <c r="M697" i="1"/>
  <c r="M671" i="1"/>
  <c r="M669" i="1"/>
  <c r="M683" i="1"/>
  <c r="M690" i="1"/>
  <c r="M709" i="1"/>
  <c r="M691" i="1"/>
  <c r="M702" i="1"/>
  <c r="M700" i="1"/>
  <c r="G151" i="9" s="1"/>
  <c r="M692" i="1"/>
  <c r="F119" i="9" s="1"/>
  <c r="M710" i="1"/>
  <c r="C215" i="9" s="1"/>
  <c r="M695" i="1"/>
  <c r="L715" i="1"/>
  <c r="I23" i="9"/>
  <c r="F55" i="9"/>
  <c r="I55" i="9"/>
  <c r="H87" i="9"/>
  <c r="F183" i="9"/>
  <c r="E87" i="9"/>
  <c r="C87" i="9"/>
  <c r="C55" i="9"/>
  <c r="H183" i="9"/>
  <c r="C119" i="9"/>
  <c r="H23" i="9"/>
  <c r="D215" i="9"/>
  <c r="G119" i="9"/>
  <c r="K715" i="1"/>
  <c r="M668" i="1"/>
  <c r="G183" i="9"/>
  <c r="C151" i="9"/>
  <c r="E215" i="9"/>
  <c r="H55" i="9" l="1"/>
  <c r="E183" i="9"/>
  <c r="I183" i="9"/>
  <c r="F215" i="9"/>
  <c r="E23" i="9"/>
  <c r="G23" i="9"/>
  <c r="C183" i="9"/>
  <c r="F23" i="9"/>
  <c r="G87" i="9"/>
  <c r="F87" i="9"/>
  <c r="G55" i="9"/>
  <c r="D23" i="9"/>
  <c r="I119" i="9"/>
  <c r="D119" i="9"/>
  <c r="I151" i="9"/>
  <c r="D87" i="9"/>
  <c r="E119" i="9"/>
  <c r="D151" i="9"/>
  <c r="M715" i="1"/>
  <c r="C23" i="9"/>
</calcChain>
</file>

<file path=xl/sharedStrings.xml><?xml version="1.0" encoding="utf-8"?>
<sst xmlns="http://schemas.openxmlformats.org/spreadsheetml/2006/main" count="4762" uniqueCount="1335">
  <si>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</si>
  <si>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</si>
  <si>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</si>
  <si>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</si>
  <si>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</si>
  <si>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</si>
  <si>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</si>
  <si>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</si>
  <si>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</si>
  <si>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</si>
  <si>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</si>
  <si>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</si>
  <si>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</si>
  <si>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</si>
  <si>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</si>
  <si>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</si>
  <si>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</si>
  <si>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</si>
  <si>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</si>
  <si>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</si>
  <si>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</si>
  <si>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</si>
  <si>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</si>
  <si>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</si>
  <si>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</si>
  <si>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</si>
  <si>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</si>
  <si>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</si>
  <si>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</si>
  <si>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</si>
  <si>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</si>
  <si>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</si>
  <si>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</si>
  <si>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</si>
  <si>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</si>
  <si>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</si>
  <si>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</si>
  <si>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</si>
  <si>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</si>
  <si>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</si>
  <si>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</si>
  <si>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</si>
  <si>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</si>
  <si>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</si>
  <si>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</si>
  <si>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</si>
  <si>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</si>
  <si>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</si>
  <si>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</si>
  <si>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</si>
  <si>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</si>
  <si>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</si>
  <si>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</si>
  <si>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</si>
  <si>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</si>
  <si>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</si>
  <si>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</si>
  <si>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</si>
  <si>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</si>
  <si>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</si>
  <si>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</si>
  <si>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</si>
  <si>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</si>
  <si>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</si>
  <si>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</si>
  <si>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</si>
  <si>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</si>
  <si>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</si>
  <si>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</si>
  <si>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</si>
  <si>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</si>
  <si>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</si>
  <si>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</si>
  <si>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</si>
  <si>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</si>
  <si>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</si>
  <si>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</si>
  <si>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</si>
  <si>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</si>
  <si>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</si>
  <si>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</si>
  <si>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</si>
  <si>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</si>
  <si>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</si>
  <si>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</si>
  <si>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</si>
  <si>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</si>
  <si>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</si>
  <si>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</si>
  <si>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</si>
  <si>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</si>
  <si>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</si>
  <si>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</si>
  <si>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</si>
  <si>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</si>
  <si>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</si>
  <si>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</si>
  <si>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</si>
  <si>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</si>
  <si>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</si>
  <si>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</si>
  <si>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</si>
  <si>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</si>
  <si>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</si>
  <si>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</si>
  <si>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</si>
  <si>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</si>
  <si>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</si>
  <si>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</si>
  <si>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</si>
  <si>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</si>
  <si>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</si>
  <si>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</si>
  <si>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</si>
  <si>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</si>
  <si>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</si>
  <si>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</si>
  <si>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</si>
  <si>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</si>
  <si>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</si>
  <si>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</si>
  <si>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</si>
  <si>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</si>
  <si>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</si>
  <si>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</si>
  <si>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</si>
  <si>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</si>
  <si>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</si>
  <si>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</si>
  <si>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</si>
  <si>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</si>
  <si>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</si>
  <si>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</si>
  <si>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</si>
  <si>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</si>
  <si>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</si>
  <si>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</si>
  <si>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</si>
  <si>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</si>
  <si>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</si>
  <si>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</si>
  <si>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</si>
  <si>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</si>
  <si>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</si>
  <si>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</si>
  <si>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</si>
  <si>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</si>
  <si>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</si>
  <si>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</si>
  <si>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</si>
  <si>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</si>
  <si>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</si>
  <si>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</si>
  <si>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</si>
  <si>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</si>
  <si>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</si>
  <si>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</si>
  <si>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</si>
  <si>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</si>
  <si>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</si>
  <si>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</si>
  <si>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</si>
  <si>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</si>
  <si>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</si>
  <si>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</si>
  <si>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</si>
  <si>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</si>
  <si>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</si>
  <si>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</si>
  <si>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</si>
  <si>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</si>
  <si>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</si>
  <si>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</si>
  <si>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</si>
  <si>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</si>
  <si>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</si>
  <si>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</si>
  <si>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</si>
  <si>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</si>
  <si>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</si>
  <si>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</si>
  <si>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</si>
  <si>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</si>
  <si>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</si>
  <si>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</si>
  <si>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</si>
  <si>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</si>
  <si>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</si>
  <si>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</si>
  <si>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</si>
  <si>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</si>
  <si>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</si>
  <si>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</si>
  <si>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</si>
  <si>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</si>
  <si>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</si>
  <si>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</si>
  <si>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</si>
  <si>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</si>
  <si>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</si>
  <si>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</si>
  <si>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</si>
  <si>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</si>
  <si>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</si>
  <si>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</si>
  <si>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</si>
  <si>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</si>
  <si>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</si>
  <si>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</si>
  <si>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</si>
  <si>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</si>
  <si>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</si>
  <si>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</si>
  <si>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</si>
  <si>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</si>
  <si>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</si>
  <si>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</si>
  <si>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</si>
  <si>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</si>
  <si>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</si>
  <si>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</si>
  <si>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</si>
  <si>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</si>
  <si>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</si>
  <si>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</si>
  <si>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</si>
  <si>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</si>
  <si>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</si>
  <si>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</si>
  <si>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</si>
  <si>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</si>
  <si>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</si>
  <si>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</si>
  <si>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</si>
  <si>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</si>
  <si>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</si>
  <si>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</si>
  <si>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</si>
  <si>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</si>
  <si>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</si>
  <si>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</si>
  <si>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</si>
  <si>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</si>
  <si>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</si>
  <si>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</si>
  <si>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</si>
  <si>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</si>
  <si>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</si>
  <si>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</si>
  <si>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</si>
  <si>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</si>
  <si>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</si>
  <si>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</si>
  <si>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</si>
  <si>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</si>
  <si>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</si>
  <si>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</si>
  <si>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</si>
  <si>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</si>
  <si>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</si>
  <si>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</si>
  <si>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</si>
  <si>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</si>
  <si>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</si>
  <si>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</si>
  <si>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</si>
  <si>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</si>
  <si>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</si>
  <si>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</si>
  <si>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</si>
  <si>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</si>
  <si>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</si>
  <si>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</si>
  <si>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</si>
  <si>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</si>
  <si>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</si>
  <si>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</si>
  <si>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</si>
  <si>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</si>
  <si>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</si>
  <si>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</si>
  <si>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</si>
  <si>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</si>
  <si>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</si>
  <si>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</si>
  <si>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</si>
  <si>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</si>
  <si>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</si>
  <si>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</si>
  <si>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</si>
  <si>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</si>
  <si>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</si>
  <si>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</si>
  <si>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</si>
  <si>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</si>
  <si>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</si>
  <si>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</si>
  <si>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</si>
  <si>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</si>
  <si>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</si>
  <si>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</si>
  <si>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</si>
  <si>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</si>
  <si>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</si>
  <si>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</si>
  <si>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</si>
  <si>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</si>
  <si>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</si>
  <si>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</si>
  <si>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</si>
  <si>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</si>
  <si>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</si>
  <si>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</si>
  <si>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</si>
  <si>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</si>
  <si>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</si>
  <si>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</si>
  <si>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</si>
  <si>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</si>
  <si>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</si>
  <si>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</si>
  <si>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</si>
  <si>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</si>
  <si>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</si>
  <si>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</si>
  <si>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</si>
  <si>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</si>
  <si>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</si>
  <si>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</si>
  <si>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</si>
  <si>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</si>
  <si>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</si>
  <si>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</si>
  <si>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</si>
  <si>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</si>
  <si>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</si>
  <si>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</si>
  <si>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</si>
  <si>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</si>
  <si>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</si>
  <si>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</si>
  <si>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</si>
  <si>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</si>
  <si>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</si>
  <si>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</si>
  <si>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</si>
  <si>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</si>
  <si>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</si>
  <si>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</si>
  <si>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</si>
  <si>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</si>
  <si>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</si>
  <si>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</si>
  <si>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</si>
  <si>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</si>
  <si>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</si>
  <si>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</si>
  <si>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</si>
  <si>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</si>
  <si>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</si>
  <si>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</si>
  <si>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</si>
  <si>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</si>
  <si>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</si>
  <si>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</si>
  <si>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</si>
  <si>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</si>
  <si>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</si>
  <si>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</si>
  <si>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</si>
  <si>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</si>
  <si>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</si>
  <si>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</si>
  <si>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</si>
  <si>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</si>
  <si>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</si>
  <si>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</si>
  <si>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</si>
  <si>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</si>
  <si>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</si>
  <si>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</si>
  <si>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</si>
  <si>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</si>
  <si>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</si>
  <si>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</si>
  <si>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</si>
  <si>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</si>
  <si>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</si>
  <si>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</si>
  <si>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</si>
  <si>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</si>
  <si>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</si>
  <si>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</si>
  <si>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</si>
  <si>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</si>
  <si>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</si>
  <si>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</si>
  <si>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</si>
  <si>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</si>
  <si>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</si>
  <si>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</si>
  <si>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</si>
  <si>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</si>
  <si>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</si>
  <si>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</si>
  <si>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</si>
  <si>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</si>
  <si>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</si>
  <si>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</si>
  <si>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</si>
  <si>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</si>
  <si>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</si>
  <si>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</si>
  <si>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</si>
  <si>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</si>
  <si>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</si>
  <si>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</si>
  <si>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</si>
  <si>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</si>
  <si>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</si>
  <si>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</si>
  <si>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</si>
  <si>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</si>
  <si>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</si>
  <si>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</si>
  <si>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</si>
  <si>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</si>
  <si>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</si>
  <si>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</si>
  <si>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</si>
  <si>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</si>
  <si>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</si>
  <si>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</si>
  <si>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</si>
  <si>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</si>
  <si>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</si>
  <si>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</si>
  <si>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</si>
  <si>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</si>
  <si>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</si>
  <si>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</si>
  <si>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</si>
  <si>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</si>
  <si>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</si>
  <si>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</si>
  <si>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</si>
  <si>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</si>
  <si>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</si>
  <si>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</si>
  <si>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</si>
  <si>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</si>
  <si>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</si>
  <si>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</si>
  <si>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</si>
  <si>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</si>
  <si>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</si>
  <si>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</si>
  <si>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</si>
  <si>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</si>
  <si>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</si>
  <si>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</si>
  <si>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</si>
  <si>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</si>
  <si>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</si>
  <si>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</si>
  <si>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</si>
  <si>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</si>
  <si>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</si>
  <si>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</si>
  <si>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</si>
  <si>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</si>
  <si>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</si>
  <si>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</si>
  <si>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</si>
  <si>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</si>
  <si>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</si>
  <si>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</si>
  <si>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</si>
  <si>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</si>
  <si>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</si>
  <si>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</si>
  <si>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</si>
  <si>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</si>
  <si>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</si>
  <si>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</si>
  <si>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</si>
  <si>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</si>
  <si>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</si>
  <si>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</si>
  <si>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</si>
  <si>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</si>
  <si>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</si>
  <si>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</si>
  <si>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</si>
  <si>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</si>
  <si>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</si>
  <si>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</si>
  <si>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</si>
  <si>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</si>
  <si>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</si>
  <si>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</si>
  <si>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</si>
  <si>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</si>
  <si>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</si>
  <si>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</si>
  <si>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</si>
  <si>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</si>
  <si>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</si>
  <si>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</si>
  <si>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</si>
  <si>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</si>
  <si>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</si>
  <si>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</si>
  <si>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</si>
  <si>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</si>
  <si>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</si>
  <si>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</si>
  <si>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</si>
  <si>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</si>
  <si>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</si>
  <si>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</si>
  <si>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</si>
  <si>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</si>
  <si>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</si>
  <si>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</si>
  <si>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</si>
  <si>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</si>
  <si>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</si>
  <si>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</si>
  <si>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</si>
  <si>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</si>
  <si>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</si>
  <si>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</si>
  <si>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</si>
  <si>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</si>
  <si>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</si>
  <si>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</si>
  <si>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</si>
  <si>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</si>
  <si>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</si>
  <si>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</si>
  <si>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</si>
  <si>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</si>
  <si>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</si>
  <si>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</si>
  <si>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</si>
  <si>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</si>
  <si>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</si>
  <si>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</si>
  <si>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</si>
  <si>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</si>
  <si>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</si>
  <si>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</si>
  <si>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</si>
  <si>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</si>
  <si>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</si>
  <si>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</si>
  <si>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</si>
  <si>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</si>
  <si>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</si>
  <si>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</si>
  <si>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</si>
  <si>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</si>
  <si>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</si>
  <si>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</si>
  <si>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</si>
  <si>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</si>
  <si>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</si>
  <si>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</si>
  <si>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</si>
  <si>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</si>
  <si>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</si>
  <si>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</si>
  <si>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</si>
  <si>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</si>
  <si>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</si>
  <si>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</si>
  <si>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</si>
  <si>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</si>
  <si>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</si>
  <si>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</si>
  <si>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</si>
  <si>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</si>
  <si>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</si>
  <si>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</si>
  <si>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</si>
  <si>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</si>
  <si>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</si>
  <si>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</si>
  <si>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</si>
  <si>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</si>
  <si>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</si>
  <si>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</si>
  <si>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</si>
  <si>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</si>
  <si>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</si>
  <si>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</si>
  <si>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</si>
  <si>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</si>
  <si>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</si>
  <si>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</si>
  <si>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</si>
  <si>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</si>
  <si>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</si>
  <si>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</si>
  <si>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</si>
  <si>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</si>
  <si>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</si>
  <si>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</si>
  <si>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</si>
  <si>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</si>
  <si>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</si>
  <si>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</si>
  <si>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</si>
  <si>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</si>
  <si>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</si>
  <si>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</si>
  <si>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</si>
  <si>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</si>
  <si>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</si>
  <si>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</si>
  <si>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</si>
  <si>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</si>
  <si>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</si>
  <si>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</si>
  <si>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</si>
  <si>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</si>
  <si>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</si>
  <si>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</si>
  <si>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</si>
  <si>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</si>
  <si>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</si>
  <si>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</si>
  <si>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</si>
  <si>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</si>
  <si>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</si>
  <si>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</si>
  <si>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</si>
  <si>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</si>
  <si>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</si>
  <si>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</si>
  <si>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</si>
  <si>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</si>
  <si>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</si>
  <si>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</si>
  <si>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</si>
  <si>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</si>
  <si>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</si>
  <si>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</si>
  <si>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</si>
  <si>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</si>
  <si>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</si>
  <si>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</si>
  <si>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</si>
  <si>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</si>
  <si>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</si>
  <si>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</si>
  <si>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</si>
  <si>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</si>
  <si>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</si>
  <si>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</si>
  <si>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</si>
  <si>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</si>
  <si>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</si>
  <si>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</si>
  <si>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</si>
  <si>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</si>
  <si>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</si>
  <si>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</si>
  <si>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</si>
  <si>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</si>
  <si>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</si>
  <si>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</si>
  <si>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</si>
  <si>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</si>
  <si>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</si>
  <si>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</si>
  <si>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</si>
  <si>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</si>
  <si>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</si>
  <si>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</si>
  <si>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</si>
  <si>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</si>
  <si>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</si>
  <si>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</si>
  <si>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</si>
  <si>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</si>
  <si>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</si>
  <si>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</si>
  <si>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</si>
  <si>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</si>
  <si>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</si>
  <si>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</si>
  <si>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</si>
  <si>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</si>
  <si>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</si>
  <si>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</si>
  <si>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</si>
  <si>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</si>
  <si>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</si>
  <si>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</si>
  <si>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</si>
  <si>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</si>
  <si>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</si>
  <si>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</si>
  <si>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</si>
  <si>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</si>
  <si>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</si>
  <si>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</si>
  <si>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</si>
  <si>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</si>
  <si>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</si>
  <si>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</si>
  <si>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</si>
  <si>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</si>
  <si>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</si>
  <si>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</si>
  <si>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</si>
  <si>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</si>
  <si>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</si>
  <si>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</si>
  <si>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</si>
  <si>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</si>
  <si>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</si>
  <si>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</si>
  <si>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</si>
  <si>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</si>
  <si>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</si>
  <si>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</si>
  <si>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</si>
  <si>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</si>
  <si>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</si>
  <si>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</si>
  <si>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</si>
  <si>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</si>
  <si>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</si>
  <si>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</si>
  <si>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</si>
  <si>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</si>
  <si>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</si>
  <si>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</si>
  <si>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</si>
  <si>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</si>
  <si>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</si>
  <si>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</si>
  <si>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</si>
  <si>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</si>
  <si>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</si>
  <si>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</si>
  <si>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</si>
  <si>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</si>
  <si>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</si>
  <si>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</si>
  <si>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</si>
  <si>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</si>
  <si>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</si>
  <si>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</si>
  <si>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</si>
  <si>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</si>
  <si>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</si>
  <si>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</si>
  <si>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</si>
  <si>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</si>
  <si>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</si>
  <si>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</si>
  <si>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</si>
  <si>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</si>
  <si>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</si>
  <si>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</si>
  <si>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</si>
  <si>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</si>
  <si>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</si>
  <si>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</si>
  <si>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</si>
  <si>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</si>
  <si>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</si>
  <si>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</si>
  <si>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</si>
  <si>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</si>
  <si>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</si>
  <si>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</si>
  <si>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</si>
  <si>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</si>
  <si>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</si>
  <si>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</si>
  <si>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</si>
  <si>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</si>
  <si>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</si>
  <si>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</si>
  <si>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</si>
  <si>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</si>
  <si>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</si>
  <si>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</si>
  <si>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</si>
  <si>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</si>
  <si>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</si>
  <si>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</si>
  <si>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</si>
  <si>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</si>
  <si>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</si>
  <si>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</si>
  <si>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</si>
  <si>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</si>
  <si>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</si>
  <si>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</si>
  <si>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</si>
  <si>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</si>
  <si>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</si>
  <si>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</si>
  <si>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</si>
  <si>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</si>
  <si>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</si>
  <si>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</si>
  <si>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</si>
  <si>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</si>
  <si>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</si>
  <si>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</si>
  <si>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</si>
  <si>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</si>
  <si>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</si>
  <si>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</si>
  <si>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</si>
  <si>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</si>
  <si>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</si>
  <si>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</si>
  <si>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</si>
  <si>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</si>
  <si>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</si>
  <si>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</si>
  <si>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</si>
  <si>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</si>
  <si>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</si>
  <si>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</si>
  <si>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</si>
  <si>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</si>
  <si>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</si>
  <si>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</si>
  <si>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</si>
  <si>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</si>
  <si>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</si>
  <si>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</si>
  <si>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</si>
  <si>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</si>
  <si>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</si>
  <si>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</si>
  <si>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</si>
  <si>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</si>
  <si>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</si>
  <si>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</si>
  <si>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</si>
  <si>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</si>
  <si>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</si>
  <si>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</si>
  <si>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</si>
  <si>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</si>
  <si>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</si>
  <si>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</si>
  <si>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</si>
  <si>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</si>
  <si>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</si>
  <si>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</si>
  <si>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</si>
  <si>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</si>
  <si>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</si>
  <si>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</si>
  <si>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</si>
  <si>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</si>
  <si>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</si>
  <si>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</si>
  <si>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</si>
  <si>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</si>
  <si>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</si>
  <si>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</si>
  <si>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</si>
  <si>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</si>
  <si>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</si>
  <si>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</si>
  <si>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</si>
  <si>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</si>
  <si>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</si>
  <si>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</si>
  <si>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</si>
  <si>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</si>
  <si>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</si>
  <si>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</si>
  <si>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</si>
  <si>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</si>
  <si>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</si>
  <si>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</si>
  <si>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</si>
  <si>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</si>
  <si>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</si>
  <si>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</si>
  <si>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</si>
  <si>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</si>
  <si>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</si>
  <si>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</si>
  <si>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</si>
  <si>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</si>
  <si>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</si>
  <si>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</si>
  <si>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</si>
  <si>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</si>
  <si>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</si>
  <si>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</si>
  <si>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</si>
  <si>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</si>
  <si>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</si>
  <si>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</si>
  <si>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</si>
  <si>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</si>
  <si>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</si>
  <si>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</si>
  <si>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</si>
  <si>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</si>
  <si>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</si>
  <si>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</si>
  <si>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</si>
  <si>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</si>
  <si>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</si>
  <si>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</si>
  <si>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</si>
  <si>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</si>
  <si>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</si>
  <si>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</si>
  <si>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</si>
  <si>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</si>
  <si>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</si>
  <si>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</si>
  <si>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</si>
  <si>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</si>
  <si>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</si>
  <si>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</si>
  <si>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</si>
  <si>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</si>
  <si>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</si>
  <si>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</si>
  <si>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</si>
  <si>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</si>
  <si>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</si>
  <si>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</si>
  <si>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</si>
  <si>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</si>
  <si>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</si>
  <si>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</si>
  <si>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</si>
  <si>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</si>
  <si>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</si>
  <si>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</si>
  <si>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</si>
  <si>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</si>
  <si>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</si>
  <si>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</si>
  <si>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</si>
  <si>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</si>
  <si>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</si>
  <si>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</si>
  <si>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</si>
  <si>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</si>
  <si>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</si>
  <si>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</si>
  <si>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</si>
  <si>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</si>
  <si>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</si>
  <si>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</si>
  <si>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</si>
  <si>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</si>
  <si>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</si>
  <si>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</si>
  <si>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</si>
  <si>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</si>
  <si>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</si>
  <si>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</si>
  <si>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</si>
  <si>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</si>
  <si>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</si>
  <si>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</si>
  <si>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</si>
  <si>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</si>
  <si>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</si>
  <si>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</si>
  <si>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</si>
  <si>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</si>
  <si>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</si>
  <si>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</si>
  <si>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</si>
  <si>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</si>
  <si>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</si>
  <si>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</si>
  <si>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</si>
  <si>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</si>
  <si>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</si>
  <si>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</si>
  <si>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</si>
  <si>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</si>
  <si>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</si>
  <si>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</si>
  <si>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</si>
  <si>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</si>
  <si>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</si>
  <si>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</si>
  <si>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</si>
  <si>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</si>
  <si>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</si>
  <si>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</si>
  <si>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</si>
  <si>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</si>
  <si>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</si>
  <si>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</si>
  <si>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</si>
  <si>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</si>
  <si>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</si>
  <si>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</si>
  <si>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</si>
  <si>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</si>
  <si>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</si>
  <si>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</si>
  <si>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</si>
  <si>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</si>
  <si>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</si>
  <si>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</si>
  <si>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</si>
  <si>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</si>
  <si>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</si>
  <si>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</si>
  <si>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</si>
  <si>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</si>
  <si>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</si>
  <si>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</si>
  <si>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</si>
  <si>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</si>
  <si>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</si>
  <si>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</si>
  <si>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</si>
  <si>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</si>
  <si>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</si>
  <si>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</si>
  <si>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</si>
  <si>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</si>
  <si>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</si>
  <si>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</si>
  <si>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</si>
  <si>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</si>
  <si>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</si>
  <si>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</si>
  <si>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</si>
  <si>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</si>
  <si>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</si>
  <si>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</si>
  <si>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</si>
  <si>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</si>
  <si>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</si>
  <si>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</si>
  <si>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</si>
  <si>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</si>
  <si>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</si>
  <si>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</si>
  <si>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</si>
  <si>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</si>
  <si>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</si>
  <si>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</si>
  <si>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</si>
  <si>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</si>
  <si>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</si>
  <si>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</si>
  <si>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</si>
  <si>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</si>
  <si>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</si>
  <si>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</si>
  <si>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</si>
  <si>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</si>
  <si>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</si>
  <si>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</si>
  <si>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</si>
  <si>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</si>
  <si>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</si>
  <si>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</si>
  <si>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</si>
  <si>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</si>
  <si>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</si>
  <si>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</si>
  <si>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</si>
  <si>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</si>
  <si>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</si>
  <si>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</si>
  <si>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</si>
  <si>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</si>
  <si>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</si>
  <si>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</si>
  <si>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</si>
  <si>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</si>
  <si>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</si>
  <si>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</si>
  <si>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</si>
  <si>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</si>
  <si>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</si>
  <si>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</si>
  <si>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</si>
  <si>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</si>
  <si>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</si>
  <si>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</si>
  <si>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</si>
  <si>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</si>
  <si>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</si>
  <si>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</si>
  <si>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</si>
  <si>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</si>
  <si>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</si>
  <si>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</si>
  <si>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</si>
  <si>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</si>
  <si>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</si>
  <si>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</si>
  <si>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</si>
  <si>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</si>
  <si>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</si>
  <si>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</si>
  <si>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</si>
  <si>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</si>
  <si>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</si>
  <si>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</si>
  <si>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</si>
  <si>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</si>
  <si>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</si>
  <si>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</si>
  <si>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</si>
  <si>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</si>
  <si>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</si>
  <si>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</si>
  <si>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</si>
  <si>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</si>
  <si>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</si>
  <si>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</si>
  <si>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</si>
  <si>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</si>
  <si>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</si>
  <si>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</si>
  <si>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</si>
  <si>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</si>
  <si>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</si>
  <si>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</si>
  <si>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</si>
  <si>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</si>
  <si>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</si>
  <si>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</si>
  <si>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</si>
  <si>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</si>
  <si>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</si>
  <si>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</si>
  <si>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</si>
  <si>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</si>
  <si>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</si>
  <si>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</si>
  <si>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</si>
  <si>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</si>
  <si>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</si>
  <si>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</si>
  <si>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</si>
  <si>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</si>
  <si>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</si>
  <si>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</si>
  <si>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</si>
  <si>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</si>
  <si>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</si>
  <si>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</si>
  <si>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</si>
  <si>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</si>
  <si>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</si>
  <si>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</si>
  <si>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</si>
  <si>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</si>
  <si>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</si>
  <si>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</si>
  <si>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</si>
  <si>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</si>
  <si>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</si>
  <si>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</si>
  <si>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</si>
  <si>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</si>
  <si>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</si>
  <si>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</si>
  <si>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</si>
  <si>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</si>
  <si>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</si>
  <si>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</si>
  <si>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</si>
  <si>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</si>
  <si>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</si>
  <si>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</si>
  <si>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</si>
  <si>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</si>
  <si>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</si>
  <si>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</si>
  <si>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</si>
  <si>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</si>
  <si>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</si>
  <si>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</si>
  <si>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</si>
  <si>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</si>
  <si>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</si>
  <si>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</si>
  <si>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</si>
  <si>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</si>
  <si>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</si>
  <si>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</si>
  <si>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</si>
  <si>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</si>
  <si>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</si>
  <si>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</si>
  <si>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</si>
  <si>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</si>
  <si>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</si>
  <si>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</si>
  <si>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</si>
  <si>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</si>
  <si>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</si>
  <si>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</si>
  <si>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</si>
  <si>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</si>
  <si>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</si>
  <si>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</si>
  <si>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</si>
  <si>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</si>
  <si>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</si>
  <si>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</si>
  <si>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</si>
  <si>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</si>
  <si>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</si>
  <si>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</si>
  <si>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</si>
  <si>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</si>
  <si>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</si>
  <si>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</si>
  <si>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</si>
  <si>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</si>
  <si>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</si>
  <si>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</si>
  <si>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</si>
  <si>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</si>
  <si>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</si>
  <si>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</si>
  <si>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</si>
  <si>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</si>
  <si>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</si>
  <si>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</si>
  <si>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</si>
  <si>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</si>
  <si>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</si>
  <si>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</si>
  <si>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</si>
  <si>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</si>
  <si>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</si>
  <si>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</si>
  <si>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</si>
  <si>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</si>
  <si>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</si>
  <si>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</si>
  <si>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</si>
  <si>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</si>
  <si>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</si>
  <si>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</si>
  <si>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</si>
  <si>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</si>
  <si>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</si>
  <si>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</si>
  <si>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06/30/2017</t>
  </si>
  <si>
    <t>032</t>
  </si>
  <si>
    <t>St.Joseph Medical Center</t>
  </si>
  <si>
    <t>1717 South J Street</t>
  </si>
  <si>
    <t>Tacoma, WA 98401</t>
  </si>
  <si>
    <t>Pierce</t>
  </si>
  <si>
    <t>Ketul Patel</t>
  </si>
  <si>
    <t>Mike Fitzgerald</t>
  </si>
  <si>
    <t>Roy Brooks</t>
  </si>
  <si>
    <t>253-426-4101</t>
  </si>
  <si>
    <t>Error (keying) in FY16 Stat; should have been 1,155,420.</t>
  </si>
  <si>
    <t>Stat for 4845101 changed to APC's, and is an increase of 427,863 from PY RVU #</t>
  </si>
  <si>
    <t>FY16 Stat should have been 152,951 per notes in FY17 file</t>
  </si>
  <si>
    <t>Per Leah, FY16 stat should have been 53,979 (reported incorrectly in FY16DOH report)</t>
  </si>
  <si>
    <t>2016</t>
  </si>
  <si>
    <t>06/30/2018</t>
  </si>
  <si>
    <t>Sum of Inpatient services gross revenue</t>
  </si>
  <si>
    <t>Sum of Total Outpatient Rev</t>
  </si>
  <si>
    <t>Sum of Physician services gross revenue</t>
  </si>
  <si>
    <t>Sum of Gross patient services revenue</t>
  </si>
  <si>
    <t>Sum of Total nonpatient revenues</t>
  </si>
  <si>
    <t>Sum of Salaries and wages</t>
  </si>
  <si>
    <t>Sum of Employee benefits</t>
  </si>
  <si>
    <t>Sum of Total P/S</t>
  </si>
  <si>
    <t>Sum of Medical professional fees</t>
  </si>
  <si>
    <t>Sum of Utilities expense</t>
  </si>
  <si>
    <t>Sum of Rentals and leases</t>
  </si>
  <si>
    <t>Sum of Supplies expense</t>
  </si>
  <si>
    <t>Sum of Depreciation and amortization</t>
  </si>
  <si>
    <t>Sum of Nonoperating gains (losses)</t>
  </si>
  <si>
    <t>Sum of Total Other Exp</t>
  </si>
  <si>
    <t>Sum of Total operating expenses</t>
  </si>
  <si>
    <t>Row</t>
  </si>
  <si>
    <t>Labels</t>
  </si>
  <si>
    <t>ICU</t>
  </si>
  <si>
    <t>Physical Rehab</t>
  </si>
  <si>
    <t>L&amp;D</t>
  </si>
  <si>
    <t>Surgery</t>
  </si>
  <si>
    <t>Medical Supplies</t>
  </si>
  <si>
    <t>IVT</t>
  </si>
  <si>
    <t>Lab</t>
  </si>
  <si>
    <t>CT Scan</t>
  </si>
  <si>
    <t>Radiology</t>
  </si>
  <si>
    <t>Nuclear Med</t>
  </si>
  <si>
    <t>Resp Therapy</t>
  </si>
  <si>
    <t>Renal</t>
  </si>
  <si>
    <t>Occup Therapy</t>
  </si>
  <si>
    <t>Free Stand. Clinics</t>
  </si>
  <si>
    <t>Home Health</t>
  </si>
  <si>
    <t>Other Ancilliary</t>
  </si>
  <si>
    <t>Printing</t>
  </si>
  <si>
    <t>Laundry</t>
  </si>
  <si>
    <t>Central Transp</t>
  </si>
  <si>
    <t>Patient Acctg</t>
  </si>
  <si>
    <t>Employee Health</t>
  </si>
  <si>
    <t>Marketing</t>
  </si>
  <si>
    <t>Auxilliary</t>
  </si>
  <si>
    <t>Utilization Review</t>
  </si>
  <si>
    <t>Nursing Admin</t>
  </si>
  <si>
    <t>Comm Health</t>
  </si>
  <si>
    <t>Other Admin</t>
  </si>
  <si>
    <t>Electro- diagnosis</t>
  </si>
  <si>
    <t>Gran</t>
  </si>
  <si>
    <t>d Total</t>
  </si>
  <si>
    <t>Tota</t>
  </si>
  <si>
    <t>l IS</t>
  </si>
  <si>
    <t>Vari</t>
  </si>
  <si>
    <t>ance</t>
  </si>
  <si>
    <t>Change in STAT source in FY18</t>
  </si>
  <si>
    <t>reduction in Cafeteria meals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</si>
</sst>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  <xf numFmtId="0" fontId="1" fillId="0" borderId="0"/>
  </cellStyleXfs>
  <cellXfs count="306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1" xfId="0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7" fontId="3" fillId="8" borderId="0" xfId="0" quotePrefix="1" applyFont="1" applyFill="1" applyAlignment="1" applyProtection="1"/>
    <xf numFmtId="37" fontId="3" fillId="3" borderId="0" xfId="0" applyFont="1" applyFill="1" applyProtection="1">
      <protection locked="0"/>
    </xf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0" fontId="1" fillId="0" borderId="0" xfId="5"/>
    <xf numFmtId="0" fontId="1" fillId="0" borderId="0" xfId="5" applyAlignment="1">
      <alignment horizontal="left"/>
    </xf>
    <xf numFmtId="43" fontId="1" fillId="0" borderId="0" xfId="5" applyNumberFormat="1"/>
    <xf numFmtId="0" fontId="1" fillId="8" borderId="0" xfId="5" applyFill="1"/>
    <xf numFmtId="0" fontId="1" fillId="0" borderId="0" xfId="5" applyFont="1" applyAlignment="1">
      <alignment horizontal="left"/>
    </xf>
    <xf numFmtId="0" fontId="1" fillId="0" borderId="0" xfId="5" applyFont="1"/>
    <xf numFmtId="0" fontId="1" fillId="0" borderId="0" xfId="5" applyNumberFormat="1" applyAlignment="1">
      <alignment horizontal="left"/>
    </xf>
    <xf numFmtId="0" fontId="1" fillId="0" borderId="0" xfId="5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0" fontId="5" fillId="8" borderId="0" xfId="0" applyNumberFormat="1" applyFont="1" applyFill="1" applyAlignment="1">
      <alignment horizontal="left"/>
    </xf>
    <xf numFmtId="37" fontId="5" fillId="8" borderId="0" xfId="0" applyFont="1" applyFill="1"/>
    <xf numFmtId="37" fontId="9" fillId="3" borderId="0" xfId="0" applyFont="1" applyFill="1" applyAlignment="1" applyProtection="1">
      <alignment horizontal="center" vertical="center"/>
    </xf>
  </cellXfs>
  <cellStyles count="6">
    <cellStyle name="Comma" xfId="1" builtinId="3"/>
    <cellStyle name="Hyperlink" xfId="2" builtinId="8"/>
    <cellStyle name="Normal" xfId="0" builtinId="0"/>
    <cellStyle name="Normal 2" xfId="5"/>
    <cellStyle name="Normal 6" xfId="4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kniaz\Local%20Settings\Temporary%20Internet%20Files\OLK2\FMG-fte-s%20by%20dept-job%20code%20fy%2007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ingram\Local%20Settings\Temporary%20Internet%20Files\OLK70A\Copy%20of%20Enumclaw%20MFR%20FY08-MAR%20(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kniaz\Local%20Settings\Temporary%20Internet%20Files\OLK2\Allowance%20workshe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REBATES\_WORK%20FILES\FY2008Q4\FY08Q4Rebates%20Work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Projects\CHIC%20Reports\Revised\ProcessP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kniaz\Local%20Settings\Temporary%20Internet%20Files\OLK2\A-AR%20recon%20for%20apr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AO\Lawson%20Accounting\Tools\Lawson%20Allocation\Lawson%20Allocation%20Checklists\FY2015\JE%20-%20ALLOCATION%20-%20FSS%20THERAPY%20ADM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ug 06"/>
      <sheetName val="July 06"/>
    </sheetNames>
    <sheetDataSet>
      <sheetData sheetId="0">
        <row r="1">
          <cell r="A1">
            <v>7730</v>
          </cell>
          <cell r="B1" t="str">
            <v>ADMIN EXEC</v>
          </cell>
          <cell r="C1">
            <v>1</v>
          </cell>
        </row>
        <row r="2">
          <cell r="A2">
            <v>7730</v>
          </cell>
          <cell r="B2" t="str">
            <v>ADMIN EXEC</v>
          </cell>
          <cell r="C2">
            <v>1</v>
          </cell>
        </row>
        <row r="3">
          <cell r="A3">
            <v>7733</v>
          </cell>
          <cell r="B3" t="str">
            <v>ADMIN EXEC</v>
          </cell>
          <cell r="C3">
            <v>0.5</v>
          </cell>
        </row>
        <row r="4">
          <cell r="A4">
            <v>7734</v>
          </cell>
          <cell r="B4" t="str">
            <v>ADMIN EXEC</v>
          </cell>
          <cell r="C4">
            <v>0.5</v>
          </cell>
        </row>
        <row r="5">
          <cell r="A5">
            <v>7733</v>
          </cell>
          <cell r="B5" t="str">
            <v>ADMIN EXEC</v>
          </cell>
          <cell r="C5">
            <v>0.74375000000000002</v>
          </cell>
        </row>
        <row r="6">
          <cell r="A6">
            <v>7734</v>
          </cell>
          <cell r="B6" t="str">
            <v>ADMIN EXEC</v>
          </cell>
          <cell r="C6">
            <v>0.25624999999999998</v>
          </cell>
        </row>
        <row r="7">
          <cell r="A7">
            <v>7735</v>
          </cell>
          <cell r="B7" t="str">
            <v>ADMIN EXEC</v>
          </cell>
          <cell r="C7">
            <v>1</v>
          </cell>
        </row>
        <row r="8">
          <cell r="A8">
            <v>7732</v>
          </cell>
          <cell r="B8" t="str">
            <v>ADMIN EXEC</v>
          </cell>
          <cell r="C8">
            <v>0.46875</v>
          </cell>
        </row>
        <row r="9">
          <cell r="A9">
            <v>7765</v>
          </cell>
          <cell r="B9" t="str">
            <v>ADMIN EXEC</v>
          </cell>
          <cell r="C9">
            <v>0.17499999999999999</v>
          </cell>
        </row>
        <row r="10">
          <cell r="A10">
            <v>7766</v>
          </cell>
          <cell r="B10" t="str">
            <v>ADMIN EXEC</v>
          </cell>
          <cell r="C10">
            <v>0.1875</v>
          </cell>
        </row>
        <row r="11">
          <cell r="A11">
            <v>7767</v>
          </cell>
          <cell r="B11" t="str">
            <v>ADMIN EXEC</v>
          </cell>
          <cell r="C11">
            <v>4.0625000000000001E-2</v>
          </cell>
        </row>
        <row r="12">
          <cell r="A12">
            <v>7769</v>
          </cell>
          <cell r="B12" t="str">
            <v>ADMIN EXEC</v>
          </cell>
          <cell r="C12">
            <v>4.0625000000000001E-2</v>
          </cell>
        </row>
        <row r="13">
          <cell r="A13">
            <v>7770</v>
          </cell>
          <cell r="B13" t="str">
            <v>ADMIN EXEC</v>
          </cell>
          <cell r="C13">
            <v>5.6250000000000001E-2</v>
          </cell>
        </row>
        <row r="14">
          <cell r="A14">
            <v>7771</v>
          </cell>
          <cell r="B14" t="str">
            <v>ADMIN EXEC</v>
          </cell>
          <cell r="C14">
            <v>8.7499999999999994E-2</v>
          </cell>
        </row>
        <row r="15">
          <cell r="A15">
            <v>7773</v>
          </cell>
          <cell r="B15" t="str">
            <v>ADMIN EXEC</v>
          </cell>
          <cell r="C15">
            <v>2.5000000000000001E-2</v>
          </cell>
        </row>
        <row r="16">
          <cell r="A16">
            <v>7780</v>
          </cell>
          <cell r="B16" t="str">
            <v>ADMIN EXEC</v>
          </cell>
          <cell r="C16">
            <v>0.15</v>
          </cell>
        </row>
        <row r="17">
          <cell r="A17">
            <v>7781</v>
          </cell>
          <cell r="B17" t="str">
            <v>ADMIN EXEC</v>
          </cell>
          <cell r="C17">
            <v>0.31874999999999998</v>
          </cell>
        </row>
        <row r="18">
          <cell r="A18">
            <v>7782</v>
          </cell>
          <cell r="B18" t="str">
            <v>ADMIN EXEC</v>
          </cell>
          <cell r="C18">
            <v>0.23749999999999999</v>
          </cell>
        </row>
        <row r="19">
          <cell r="A19">
            <v>7783</v>
          </cell>
          <cell r="B19" t="str">
            <v>ADMIN EXEC</v>
          </cell>
          <cell r="C19">
            <v>1</v>
          </cell>
        </row>
        <row r="20">
          <cell r="A20">
            <v>7784</v>
          </cell>
          <cell r="B20" t="str">
            <v>ADMIN EXEC</v>
          </cell>
          <cell r="C20">
            <v>4.0625000000000001E-2</v>
          </cell>
        </row>
        <row r="21">
          <cell r="A21">
            <v>7785</v>
          </cell>
          <cell r="B21" t="str">
            <v>ADMIN EXEC</v>
          </cell>
          <cell r="C21">
            <v>0.55625000000000002</v>
          </cell>
        </row>
        <row r="22">
          <cell r="A22">
            <v>7790</v>
          </cell>
          <cell r="B22" t="str">
            <v>ADMIN EXEC</v>
          </cell>
          <cell r="C22">
            <v>0.1875</v>
          </cell>
        </row>
        <row r="23">
          <cell r="A23">
            <v>7792</v>
          </cell>
          <cell r="B23" t="str">
            <v>ADMIN EXEC</v>
          </cell>
          <cell r="C23">
            <v>0.125</v>
          </cell>
        </row>
        <row r="24">
          <cell r="A24">
            <v>7793</v>
          </cell>
          <cell r="B24" t="str">
            <v>ADMIN EXEC</v>
          </cell>
          <cell r="C24">
            <v>3.7499999999999999E-2</v>
          </cell>
        </row>
        <row r="25">
          <cell r="A25">
            <v>7794</v>
          </cell>
          <cell r="B25" t="str">
            <v>ADMIN EXEC</v>
          </cell>
          <cell r="C25">
            <v>5.6250000000000001E-2</v>
          </cell>
        </row>
        <row r="26">
          <cell r="A26">
            <v>7798</v>
          </cell>
          <cell r="B26" t="str">
            <v>ADMIN EXEC</v>
          </cell>
          <cell r="C26">
            <v>9.6875000000000003E-2</v>
          </cell>
        </row>
        <row r="27">
          <cell r="A27">
            <v>7799</v>
          </cell>
          <cell r="B27" t="str">
            <v>ADMIN EXEC</v>
          </cell>
          <cell r="C27">
            <v>0.1125</v>
          </cell>
        </row>
        <row r="28">
          <cell r="A28">
            <v>7765</v>
          </cell>
          <cell r="B28" t="str">
            <v>ADMIN EXEC</v>
          </cell>
          <cell r="C28">
            <v>1</v>
          </cell>
        </row>
        <row r="29">
          <cell r="A29">
            <v>7766</v>
          </cell>
          <cell r="B29" t="str">
            <v>ADMIN EXEC</v>
          </cell>
          <cell r="C29">
            <v>0.2</v>
          </cell>
        </row>
        <row r="30">
          <cell r="A30">
            <v>7767</v>
          </cell>
          <cell r="B30" t="str">
            <v>ADMIN EXEC</v>
          </cell>
          <cell r="C30">
            <v>1</v>
          </cell>
        </row>
        <row r="31">
          <cell r="A31">
            <v>7768</v>
          </cell>
          <cell r="B31" t="str">
            <v>ADMIN EXEC</v>
          </cell>
          <cell r="C31">
            <v>0.58750000000000002</v>
          </cell>
        </row>
        <row r="32">
          <cell r="A32">
            <v>7771</v>
          </cell>
          <cell r="B32" t="str">
            <v>ADMIN EXEC</v>
          </cell>
          <cell r="C32">
            <v>0.2</v>
          </cell>
        </row>
        <row r="33">
          <cell r="A33">
            <v>7777</v>
          </cell>
          <cell r="B33" t="str">
            <v>ADMIN EXEC</v>
          </cell>
          <cell r="C33">
            <v>2.5000000000000001E-2</v>
          </cell>
        </row>
        <row r="34">
          <cell r="A34">
            <v>7778</v>
          </cell>
          <cell r="B34" t="str">
            <v>ADMIN EXEC</v>
          </cell>
          <cell r="C34">
            <v>0.41249999999999998</v>
          </cell>
        </row>
        <row r="35">
          <cell r="A35">
            <v>7779</v>
          </cell>
          <cell r="B35" t="str">
            <v>ADMIN EXEC</v>
          </cell>
          <cell r="C35">
            <v>0.75</v>
          </cell>
        </row>
        <row r="36">
          <cell r="A36">
            <v>7780</v>
          </cell>
          <cell r="B36" t="str">
            <v>ADMIN EXEC</v>
          </cell>
          <cell r="C36">
            <v>1</v>
          </cell>
        </row>
        <row r="37">
          <cell r="A37">
            <v>7782</v>
          </cell>
          <cell r="B37" t="str">
            <v>ADMIN EXEC</v>
          </cell>
          <cell r="C37">
            <v>0.6</v>
          </cell>
        </row>
        <row r="38">
          <cell r="A38">
            <v>7783</v>
          </cell>
          <cell r="B38" t="str">
            <v>ADMIN EXEC</v>
          </cell>
          <cell r="C38">
            <v>0.2</v>
          </cell>
        </row>
        <row r="39">
          <cell r="A39">
            <v>7784</v>
          </cell>
          <cell r="B39" t="str">
            <v>ADMIN EXEC</v>
          </cell>
          <cell r="C39">
            <v>1</v>
          </cell>
        </row>
        <row r="40">
          <cell r="A40">
            <v>7787</v>
          </cell>
          <cell r="B40" t="str">
            <v>ADMIN EXEC</v>
          </cell>
          <cell r="C40">
            <v>2.5000000000000001E-2</v>
          </cell>
        </row>
        <row r="41">
          <cell r="A41">
            <v>7791</v>
          </cell>
          <cell r="B41" t="str">
            <v>ADMIN EXEC</v>
          </cell>
          <cell r="C41">
            <v>0.75</v>
          </cell>
        </row>
        <row r="42">
          <cell r="A42">
            <v>7792</v>
          </cell>
          <cell r="B42" t="str">
            <v>ADMIN EXEC</v>
          </cell>
          <cell r="C42">
            <v>1</v>
          </cell>
        </row>
        <row r="43">
          <cell r="A43">
            <v>7795</v>
          </cell>
          <cell r="B43" t="str">
            <v>ADMIN EXEC</v>
          </cell>
          <cell r="C43">
            <v>1</v>
          </cell>
        </row>
        <row r="44">
          <cell r="A44">
            <v>7796</v>
          </cell>
          <cell r="B44" t="str">
            <v>ADMIN EXEC</v>
          </cell>
          <cell r="C44">
            <v>0.25</v>
          </cell>
        </row>
        <row r="45">
          <cell r="A45">
            <v>7777</v>
          </cell>
          <cell r="B45" t="str">
            <v>MED SUPPT</v>
          </cell>
          <cell r="C45">
            <v>3.125E-2</v>
          </cell>
        </row>
        <row r="46">
          <cell r="A46">
            <v>7783</v>
          </cell>
          <cell r="B46" t="str">
            <v>MED SUPPT</v>
          </cell>
          <cell r="C46">
            <v>0.96250000000000002</v>
          </cell>
        </row>
        <row r="47">
          <cell r="A47">
            <v>7787</v>
          </cell>
          <cell r="B47" t="str">
            <v>MED SUPPT</v>
          </cell>
          <cell r="C47">
            <v>6.2500000000000003E-3</v>
          </cell>
        </row>
        <row r="48">
          <cell r="A48">
            <v>7731</v>
          </cell>
          <cell r="B48" t="str">
            <v>ADMIN EXEC</v>
          </cell>
          <cell r="C48">
            <v>1</v>
          </cell>
        </row>
        <row r="49">
          <cell r="A49">
            <v>7733</v>
          </cell>
          <cell r="B49" t="str">
            <v>ADMIN SUPPT</v>
          </cell>
          <cell r="C49">
            <v>1</v>
          </cell>
        </row>
        <row r="50">
          <cell r="A50">
            <v>7735</v>
          </cell>
          <cell r="B50" t="str">
            <v>ADMIN SUPPT</v>
          </cell>
          <cell r="C50">
            <v>1</v>
          </cell>
        </row>
        <row r="51">
          <cell r="A51">
            <v>7733</v>
          </cell>
          <cell r="B51" t="str">
            <v>ADMIN EXEC</v>
          </cell>
          <cell r="C51">
            <v>1</v>
          </cell>
        </row>
        <row r="52">
          <cell r="A52">
            <v>7765</v>
          </cell>
          <cell r="B52" t="str">
            <v>MED SUPPT</v>
          </cell>
          <cell r="C52">
            <v>0.68437499999999996</v>
          </cell>
        </row>
        <row r="53">
          <cell r="A53">
            <v>7766</v>
          </cell>
          <cell r="B53" t="str">
            <v>MED SUPPT</v>
          </cell>
          <cell r="C53">
            <v>2.4798125</v>
          </cell>
        </row>
        <row r="54">
          <cell r="A54">
            <v>7767</v>
          </cell>
          <cell r="B54" t="str">
            <v>MED SUPPT</v>
          </cell>
          <cell r="C54">
            <v>2.6078125000000001</v>
          </cell>
        </row>
        <row r="55">
          <cell r="A55">
            <v>7768</v>
          </cell>
          <cell r="B55" t="str">
            <v>MED SUPPT</v>
          </cell>
          <cell r="C55">
            <v>1.41875</v>
          </cell>
        </row>
        <row r="56">
          <cell r="A56">
            <v>7769</v>
          </cell>
          <cell r="B56" t="str">
            <v>MED SUPPT</v>
          </cell>
          <cell r="C56">
            <v>0.50312500000000004</v>
          </cell>
        </row>
        <row r="57">
          <cell r="A57">
            <v>7770</v>
          </cell>
          <cell r="B57" t="str">
            <v>MED SUPPT</v>
          </cell>
          <cell r="C57">
            <v>0.86250000000000004</v>
          </cell>
        </row>
        <row r="58">
          <cell r="A58">
            <v>7771</v>
          </cell>
          <cell r="B58" t="str">
            <v>MED SUPPT</v>
          </cell>
          <cell r="C58">
            <v>2.3343750000000001</v>
          </cell>
        </row>
        <row r="59">
          <cell r="A59">
            <v>7774</v>
          </cell>
          <cell r="B59" t="str">
            <v>MED SUPPT</v>
          </cell>
          <cell r="C59">
            <v>0.9609375</v>
          </cell>
        </row>
        <row r="60">
          <cell r="A60">
            <v>7776</v>
          </cell>
          <cell r="B60" t="str">
            <v>MED SUPPT</v>
          </cell>
          <cell r="C60">
            <v>1.5140625000000001</v>
          </cell>
        </row>
        <row r="61">
          <cell r="A61">
            <v>7777</v>
          </cell>
          <cell r="B61" t="str">
            <v>MED SUPPT</v>
          </cell>
          <cell r="C61">
            <v>1.0093749999999999</v>
          </cell>
        </row>
        <row r="62">
          <cell r="A62">
            <v>7778</v>
          </cell>
          <cell r="B62" t="str">
            <v>MED SUPPT</v>
          </cell>
          <cell r="C62">
            <v>0.54218750000000004</v>
          </cell>
        </row>
        <row r="63">
          <cell r="A63">
            <v>7779</v>
          </cell>
          <cell r="B63" t="str">
            <v>MED SUPPT</v>
          </cell>
          <cell r="C63">
            <v>4.0296874999999996</v>
          </cell>
        </row>
        <row r="64">
          <cell r="A64">
            <v>7780</v>
          </cell>
          <cell r="B64" t="str">
            <v>MED SUPPT</v>
          </cell>
          <cell r="C64">
            <v>8.9719999999999995</v>
          </cell>
        </row>
        <row r="65">
          <cell r="A65">
            <v>7781</v>
          </cell>
          <cell r="B65" t="str">
            <v>MED SUPPT</v>
          </cell>
          <cell r="C65">
            <v>9.6843749999999993</v>
          </cell>
        </row>
        <row r="66">
          <cell r="A66">
            <v>7782</v>
          </cell>
          <cell r="B66" t="str">
            <v>MED SUPPT</v>
          </cell>
          <cell r="C66">
            <v>8.3531250000000004</v>
          </cell>
        </row>
        <row r="67">
          <cell r="A67">
            <v>7783</v>
          </cell>
          <cell r="B67" t="str">
            <v>MED SUPPT</v>
          </cell>
          <cell r="C67">
            <v>9.0282499999999999</v>
          </cell>
        </row>
        <row r="68">
          <cell r="A68">
            <v>7784</v>
          </cell>
          <cell r="B68" t="str">
            <v>MED SUPPT</v>
          </cell>
          <cell r="C68">
            <v>4.1338750000000006</v>
          </cell>
        </row>
        <row r="69">
          <cell r="A69">
            <v>7785</v>
          </cell>
          <cell r="B69" t="str">
            <v>MED SUPPT</v>
          </cell>
          <cell r="C69">
            <v>6.8092500000000005</v>
          </cell>
        </row>
        <row r="70">
          <cell r="A70">
            <v>7790</v>
          </cell>
          <cell r="B70" t="str">
            <v>MED SUPPT</v>
          </cell>
          <cell r="C70">
            <v>5.5416250000000007</v>
          </cell>
        </row>
        <row r="71">
          <cell r="A71">
            <v>7791</v>
          </cell>
          <cell r="B71" t="str">
            <v>MED SUPPT</v>
          </cell>
          <cell r="C71">
            <v>1.153125</v>
          </cell>
        </row>
        <row r="72">
          <cell r="A72">
            <v>7792</v>
          </cell>
          <cell r="B72" t="str">
            <v>MED SUPPT</v>
          </cell>
          <cell r="C72">
            <v>1.0171874999999999</v>
          </cell>
        </row>
        <row r="73">
          <cell r="A73">
            <v>7793</v>
          </cell>
          <cell r="B73" t="str">
            <v>MED SUPPT</v>
          </cell>
          <cell r="C73">
            <v>0.43906250000000002</v>
          </cell>
        </row>
        <row r="74">
          <cell r="A74">
            <v>7794</v>
          </cell>
          <cell r="B74" t="str">
            <v>MED SUPPT</v>
          </cell>
          <cell r="C74">
            <v>0.8515625</v>
          </cell>
        </row>
        <row r="75">
          <cell r="A75">
            <v>7795</v>
          </cell>
          <cell r="B75" t="str">
            <v>MED SUPPT</v>
          </cell>
          <cell r="C75">
            <v>1.6546875000000001</v>
          </cell>
        </row>
        <row r="76">
          <cell r="A76">
            <v>7796</v>
          </cell>
          <cell r="B76" t="str">
            <v>MED SUPPT</v>
          </cell>
          <cell r="C76">
            <v>0.25</v>
          </cell>
        </row>
        <row r="77">
          <cell r="A77">
            <v>7799</v>
          </cell>
          <cell r="B77" t="str">
            <v>MED SUPPT</v>
          </cell>
          <cell r="C77">
            <v>1.9750000000000001</v>
          </cell>
        </row>
        <row r="78">
          <cell r="A78">
            <v>7766</v>
          </cell>
          <cell r="B78" t="str">
            <v>MED SUPPT</v>
          </cell>
          <cell r="C78">
            <v>0.96875</v>
          </cell>
        </row>
        <row r="79">
          <cell r="A79">
            <v>7767</v>
          </cell>
          <cell r="B79" t="str">
            <v>MED SUPPT</v>
          </cell>
          <cell r="C79">
            <v>0.92031249999999998</v>
          </cell>
        </row>
        <row r="80">
          <cell r="A80">
            <v>7779</v>
          </cell>
          <cell r="B80" t="str">
            <v>MED SUPPT</v>
          </cell>
          <cell r="C80">
            <v>0.51875000000000004</v>
          </cell>
        </row>
        <row r="81">
          <cell r="A81">
            <v>7780</v>
          </cell>
          <cell r="B81" t="str">
            <v>MED SUPPT</v>
          </cell>
          <cell r="C81">
            <v>0.46718749999999998</v>
          </cell>
        </row>
        <row r="82">
          <cell r="A82">
            <v>7781</v>
          </cell>
          <cell r="B82" t="str">
            <v>MED SUPPT</v>
          </cell>
          <cell r="C82">
            <v>1.065625</v>
          </cell>
        </row>
        <row r="83">
          <cell r="A83">
            <v>7784</v>
          </cell>
          <cell r="B83" t="str">
            <v>MED SUPPT</v>
          </cell>
          <cell r="C83">
            <v>0.9765625</v>
          </cell>
        </row>
        <row r="84">
          <cell r="A84">
            <v>7785</v>
          </cell>
          <cell r="B84" t="str">
            <v>MED SUPPT</v>
          </cell>
          <cell r="C84">
            <v>0.95</v>
          </cell>
        </row>
        <row r="85">
          <cell r="A85">
            <v>7790</v>
          </cell>
          <cell r="B85" t="str">
            <v>MED SUPPT</v>
          </cell>
          <cell r="C85">
            <v>0.58437499999999998</v>
          </cell>
        </row>
        <row r="86">
          <cell r="A86">
            <v>7794</v>
          </cell>
          <cell r="B86" t="str">
            <v>MED SUPPT</v>
          </cell>
          <cell r="C86">
            <v>1.7187500000000001E-2</v>
          </cell>
        </row>
        <row r="87">
          <cell r="A87">
            <v>7766</v>
          </cell>
          <cell r="B87" t="str">
            <v>MED SUPPT</v>
          </cell>
          <cell r="C87">
            <v>1.2500000000000001E-2</v>
          </cell>
        </row>
        <row r="88">
          <cell r="A88">
            <v>7768</v>
          </cell>
          <cell r="B88" t="str">
            <v>MED SUPPT</v>
          </cell>
          <cell r="C88">
            <v>-2.8125000000000001E-2</v>
          </cell>
        </row>
        <row r="89">
          <cell r="A89">
            <v>7769</v>
          </cell>
          <cell r="B89" t="str">
            <v>MED SUPPT</v>
          </cell>
          <cell r="C89">
            <v>0.40781250000000002</v>
          </cell>
        </row>
        <row r="90">
          <cell r="A90">
            <v>7777</v>
          </cell>
          <cell r="B90" t="str">
            <v>MED SUPPT</v>
          </cell>
          <cell r="C90">
            <v>1.2500000000000001E-2</v>
          </cell>
        </row>
        <row r="91">
          <cell r="A91">
            <v>7779</v>
          </cell>
          <cell r="B91" t="str">
            <v>MED SUPPT</v>
          </cell>
          <cell r="C91">
            <v>1.090625</v>
          </cell>
        </row>
        <row r="92">
          <cell r="A92">
            <v>7781</v>
          </cell>
          <cell r="B92" t="str">
            <v>MED SUPPT</v>
          </cell>
          <cell r="C92">
            <v>0.8984375</v>
          </cell>
        </row>
        <row r="93">
          <cell r="A93">
            <v>7782</v>
          </cell>
          <cell r="B93" t="str">
            <v>MED SUPPT</v>
          </cell>
          <cell r="C93">
            <v>0.91562500000000002</v>
          </cell>
        </row>
        <row r="94">
          <cell r="A94">
            <v>7783</v>
          </cell>
          <cell r="B94" t="str">
            <v>MED SUPPT</v>
          </cell>
          <cell r="C94">
            <v>1.3703125</v>
          </cell>
        </row>
        <row r="95">
          <cell r="A95">
            <v>7784</v>
          </cell>
          <cell r="B95" t="str">
            <v>MED SUPPT</v>
          </cell>
          <cell r="C95">
            <v>4.8437500000000001E-2</v>
          </cell>
        </row>
        <row r="96">
          <cell r="A96">
            <v>7785</v>
          </cell>
          <cell r="B96" t="str">
            <v>MED SUPPT</v>
          </cell>
          <cell r="C96">
            <v>0.3671875</v>
          </cell>
        </row>
        <row r="97">
          <cell r="A97">
            <v>7791</v>
          </cell>
          <cell r="B97" t="str">
            <v>MED SUPPT</v>
          </cell>
          <cell r="C97">
            <v>2.6562499999999999E-2</v>
          </cell>
        </row>
        <row r="98">
          <cell r="A98">
            <v>7777</v>
          </cell>
          <cell r="B98" t="str">
            <v>ADMIN SUPPT</v>
          </cell>
          <cell r="C98">
            <v>1</v>
          </cell>
        </row>
        <row r="99">
          <cell r="A99">
            <v>7730</v>
          </cell>
          <cell r="B99" t="str">
            <v>ADMIN SUPPT</v>
          </cell>
          <cell r="C99">
            <v>1</v>
          </cell>
        </row>
        <row r="100">
          <cell r="A100">
            <v>7770</v>
          </cell>
          <cell r="B100" t="str">
            <v>ADMIN SUPPT</v>
          </cell>
          <cell r="C100">
            <v>0.5625</v>
          </cell>
        </row>
        <row r="101">
          <cell r="A101">
            <v>7773</v>
          </cell>
          <cell r="B101" t="str">
            <v>ADMIN SUPPT</v>
          </cell>
          <cell r="C101">
            <v>1</v>
          </cell>
        </row>
        <row r="102">
          <cell r="A102">
            <v>7774</v>
          </cell>
          <cell r="B102" t="str">
            <v>ADMIN SUPPT</v>
          </cell>
          <cell r="C102">
            <v>1</v>
          </cell>
        </row>
        <row r="103">
          <cell r="A103">
            <v>7781</v>
          </cell>
          <cell r="B103" t="str">
            <v>ADMIN SUPPT</v>
          </cell>
          <cell r="C103">
            <v>2</v>
          </cell>
        </row>
        <row r="104">
          <cell r="A104">
            <v>7785</v>
          </cell>
          <cell r="B104" t="str">
            <v>ADMIN SUPPT</v>
          </cell>
          <cell r="C104">
            <v>1</v>
          </cell>
        </row>
        <row r="105">
          <cell r="A105">
            <v>7790</v>
          </cell>
          <cell r="B105" t="str">
            <v>ADMIN SUPPT</v>
          </cell>
          <cell r="C105">
            <v>1</v>
          </cell>
        </row>
        <row r="106">
          <cell r="A106">
            <v>7794</v>
          </cell>
          <cell r="B106" t="str">
            <v>ADMIN SUPPT</v>
          </cell>
          <cell r="C106">
            <v>0.4375</v>
          </cell>
        </row>
        <row r="107">
          <cell r="A107">
            <v>7799</v>
          </cell>
          <cell r="B107" t="str">
            <v>ADMIN SUPPT</v>
          </cell>
          <cell r="C107">
            <v>0.95</v>
          </cell>
        </row>
        <row r="108">
          <cell r="A108">
            <v>7783</v>
          </cell>
          <cell r="B108" t="str">
            <v>PHYSICIAN</v>
          </cell>
          <cell r="C108">
            <v>1.3</v>
          </cell>
        </row>
        <row r="109">
          <cell r="A109">
            <v>7730</v>
          </cell>
          <cell r="B109" t="str">
            <v>PHYSICIAN</v>
          </cell>
          <cell r="C109">
            <v>0</v>
          </cell>
        </row>
        <row r="110">
          <cell r="A110">
            <v>7767</v>
          </cell>
          <cell r="B110" t="str">
            <v>PHYSICIAN</v>
          </cell>
          <cell r="C110">
            <v>1</v>
          </cell>
        </row>
        <row r="111">
          <cell r="A111">
            <v>7771</v>
          </cell>
          <cell r="B111" t="str">
            <v>PHYSICIAN</v>
          </cell>
          <cell r="C111">
            <v>0.8</v>
          </cell>
        </row>
        <row r="112">
          <cell r="A112">
            <v>7774</v>
          </cell>
          <cell r="B112" t="str">
            <v>PHYSICIAN</v>
          </cell>
          <cell r="C112">
            <v>1</v>
          </cell>
        </row>
        <row r="113">
          <cell r="A113">
            <v>7776</v>
          </cell>
          <cell r="B113" t="str">
            <v>PHYSICIAN</v>
          </cell>
          <cell r="C113">
            <v>1.45</v>
          </cell>
        </row>
        <row r="114">
          <cell r="A114">
            <v>7780</v>
          </cell>
          <cell r="B114" t="str">
            <v>PHYSICIAN</v>
          </cell>
          <cell r="C114">
            <v>6</v>
          </cell>
        </row>
        <row r="115">
          <cell r="A115">
            <v>7781</v>
          </cell>
          <cell r="B115" t="str">
            <v>PHYSICIAN</v>
          </cell>
          <cell r="C115">
            <v>7.3</v>
          </cell>
        </row>
        <row r="116">
          <cell r="A116">
            <v>7782</v>
          </cell>
          <cell r="B116" t="str">
            <v>PHYSICIAN</v>
          </cell>
          <cell r="C116">
            <v>4</v>
          </cell>
        </row>
        <row r="117">
          <cell r="A117">
            <v>7783</v>
          </cell>
          <cell r="B117" t="str">
            <v>PHYSICIAN</v>
          </cell>
          <cell r="C117">
            <v>4.8</v>
          </cell>
        </row>
        <row r="118">
          <cell r="A118">
            <v>7785</v>
          </cell>
          <cell r="B118" t="str">
            <v>PHYSICIAN</v>
          </cell>
          <cell r="C118">
            <v>2</v>
          </cell>
        </row>
        <row r="119">
          <cell r="A119">
            <v>7790</v>
          </cell>
          <cell r="B119" t="str">
            <v>PHYSICIAN</v>
          </cell>
          <cell r="C119">
            <v>4</v>
          </cell>
        </row>
        <row r="120">
          <cell r="A120">
            <v>7780</v>
          </cell>
          <cell r="B120" t="str">
            <v>PHYSICIAN</v>
          </cell>
          <cell r="C120">
            <v>1</v>
          </cell>
        </row>
        <row r="121">
          <cell r="A121">
            <v>7769</v>
          </cell>
          <cell r="B121" t="str">
            <v>PHYSICIAN</v>
          </cell>
          <cell r="C121">
            <v>1</v>
          </cell>
        </row>
        <row r="122">
          <cell r="A122">
            <v>7780</v>
          </cell>
          <cell r="B122" t="str">
            <v>PHYSICIAN</v>
          </cell>
          <cell r="C122">
            <v>1</v>
          </cell>
        </row>
        <row r="123">
          <cell r="A123">
            <v>7792</v>
          </cell>
          <cell r="B123" t="str">
            <v>PHYSICIAN</v>
          </cell>
          <cell r="C123">
            <v>1.8</v>
          </cell>
        </row>
        <row r="124">
          <cell r="A124">
            <v>7798</v>
          </cell>
          <cell r="B124" t="str">
            <v>PHYSICIAN</v>
          </cell>
          <cell r="C124">
            <v>1</v>
          </cell>
        </row>
        <row r="125">
          <cell r="A125">
            <v>7730</v>
          </cell>
          <cell r="B125" t="str">
            <v>PHYSICIAN</v>
          </cell>
          <cell r="C125">
            <v>0</v>
          </cell>
        </row>
        <row r="126">
          <cell r="A126">
            <v>7734</v>
          </cell>
          <cell r="B126" t="str">
            <v>PHYSICIAN</v>
          </cell>
          <cell r="C126">
            <v>0</v>
          </cell>
        </row>
        <row r="127">
          <cell r="A127">
            <v>7767</v>
          </cell>
          <cell r="B127" t="str">
            <v>PHYSICIAN</v>
          </cell>
          <cell r="C127">
            <v>1</v>
          </cell>
        </row>
        <row r="128">
          <cell r="A128">
            <v>7771</v>
          </cell>
          <cell r="B128" t="str">
            <v>PHYSICIAN</v>
          </cell>
          <cell r="C128">
            <v>0.5</v>
          </cell>
        </row>
        <row r="129">
          <cell r="A129">
            <v>7780</v>
          </cell>
          <cell r="B129" t="str">
            <v>PHYSICIAN</v>
          </cell>
          <cell r="C129">
            <v>2</v>
          </cell>
        </row>
        <row r="130">
          <cell r="A130">
            <v>7781</v>
          </cell>
          <cell r="B130" t="str">
            <v>PHYSICIAN</v>
          </cell>
          <cell r="C130">
            <v>1</v>
          </cell>
        </row>
        <row r="131">
          <cell r="A131">
            <v>7782</v>
          </cell>
          <cell r="B131" t="str">
            <v>PHYSICIAN</v>
          </cell>
          <cell r="C131">
            <v>3.8</v>
          </cell>
        </row>
        <row r="132">
          <cell r="A132">
            <v>7783</v>
          </cell>
          <cell r="B132" t="str">
            <v>PHYSICIAN</v>
          </cell>
          <cell r="C132">
            <v>5</v>
          </cell>
        </row>
        <row r="133">
          <cell r="A133">
            <v>7784</v>
          </cell>
          <cell r="B133" t="str">
            <v>PHYSICIAN</v>
          </cell>
          <cell r="C133">
            <v>1</v>
          </cell>
        </row>
        <row r="134">
          <cell r="A134">
            <v>7785</v>
          </cell>
          <cell r="B134" t="str">
            <v>PHYSICIAN</v>
          </cell>
          <cell r="C134">
            <v>1</v>
          </cell>
        </row>
        <row r="135">
          <cell r="A135">
            <v>7730</v>
          </cell>
          <cell r="B135" t="str">
            <v>PHYSICIAN</v>
          </cell>
          <cell r="C135">
            <v>0</v>
          </cell>
        </row>
        <row r="136">
          <cell r="A136">
            <v>7766</v>
          </cell>
          <cell r="B136" t="str">
            <v>PHYSICIAN</v>
          </cell>
          <cell r="C136">
            <v>3.8</v>
          </cell>
        </row>
        <row r="137">
          <cell r="A137">
            <v>7779</v>
          </cell>
          <cell r="B137" t="str">
            <v>PHYSICIAN</v>
          </cell>
          <cell r="C137">
            <v>2</v>
          </cell>
        </row>
        <row r="138">
          <cell r="A138">
            <v>7780</v>
          </cell>
          <cell r="B138" t="str">
            <v>PHYSICIAN</v>
          </cell>
          <cell r="C138">
            <v>2</v>
          </cell>
        </row>
        <row r="139">
          <cell r="A139">
            <v>7730</v>
          </cell>
          <cell r="B139" t="str">
            <v>PHYSICIAN</v>
          </cell>
          <cell r="C139">
            <v>0</v>
          </cell>
        </row>
        <row r="140">
          <cell r="A140">
            <v>7780</v>
          </cell>
          <cell r="B140" t="str">
            <v>PHYSICIAN</v>
          </cell>
          <cell r="C140">
            <v>1</v>
          </cell>
        </row>
        <row r="141">
          <cell r="A141">
            <v>7781</v>
          </cell>
          <cell r="B141" t="str">
            <v>PHYSICIAN</v>
          </cell>
          <cell r="C141">
            <v>0.5</v>
          </cell>
        </row>
        <row r="142">
          <cell r="A142">
            <v>7783</v>
          </cell>
          <cell r="B142" t="str">
            <v>PHYSICIAN</v>
          </cell>
          <cell r="C142">
            <v>3.3</v>
          </cell>
        </row>
        <row r="143">
          <cell r="A143">
            <v>7784</v>
          </cell>
          <cell r="B143" t="str">
            <v>PHYSICIAN</v>
          </cell>
          <cell r="C143">
            <v>1.5</v>
          </cell>
        </row>
        <row r="144">
          <cell r="A144">
            <v>7785</v>
          </cell>
          <cell r="B144" t="str">
            <v>PHYSICIAN</v>
          </cell>
          <cell r="C144">
            <v>1</v>
          </cell>
        </row>
        <row r="145">
          <cell r="A145">
            <v>7767</v>
          </cell>
          <cell r="B145" t="str">
            <v>PHYSICIAN</v>
          </cell>
          <cell r="C145">
            <v>1</v>
          </cell>
        </row>
        <row r="146">
          <cell r="A146">
            <v>7780</v>
          </cell>
          <cell r="B146" t="str">
            <v>PHYSICIAN</v>
          </cell>
          <cell r="C146">
            <v>0.6</v>
          </cell>
        </row>
        <row r="147">
          <cell r="A147">
            <v>7781</v>
          </cell>
          <cell r="B147" t="str">
            <v>PHYSICIAN</v>
          </cell>
          <cell r="C147">
            <v>0.5</v>
          </cell>
        </row>
        <row r="148">
          <cell r="A148">
            <v>7782</v>
          </cell>
          <cell r="B148" t="str">
            <v>PHYSICIAN</v>
          </cell>
          <cell r="C148">
            <v>1</v>
          </cell>
        </row>
        <row r="149">
          <cell r="A149">
            <v>7783</v>
          </cell>
          <cell r="B149" t="str">
            <v>PHYSICIAN</v>
          </cell>
          <cell r="C149">
            <v>0.7</v>
          </cell>
        </row>
        <row r="150">
          <cell r="A150">
            <v>7785</v>
          </cell>
          <cell r="B150" t="str">
            <v>PHYSICIAN</v>
          </cell>
          <cell r="C150">
            <v>0.8</v>
          </cell>
        </row>
        <row r="151">
          <cell r="A151">
            <v>7778</v>
          </cell>
          <cell r="B151" t="str">
            <v>PHYSICIAN</v>
          </cell>
          <cell r="C151">
            <v>1.2</v>
          </cell>
        </row>
        <row r="152">
          <cell r="A152">
            <v>7793</v>
          </cell>
          <cell r="B152" t="str">
            <v>PHYSICIAN</v>
          </cell>
          <cell r="C152">
            <v>0.4</v>
          </cell>
        </row>
        <row r="153">
          <cell r="A153">
            <v>7783</v>
          </cell>
          <cell r="B153" t="str">
            <v>PHYSICIAN</v>
          </cell>
          <cell r="C153">
            <v>0.9</v>
          </cell>
        </row>
        <row r="154">
          <cell r="A154">
            <v>7799</v>
          </cell>
          <cell r="B154" t="str">
            <v>PHYSICIAN</v>
          </cell>
          <cell r="C154">
            <v>2</v>
          </cell>
        </row>
        <row r="155">
          <cell r="A155">
            <v>7783</v>
          </cell>
          <cell r="B155" t="str">
            <v>PHYSICIAN</v>
          </cell>
          <cell r="C155">
            <v>2.5000000000000001E-2</v>
          </cell>
        </row>
        <row r="156">
          <cell r="A156">
            <v>7785</v>
          </cell>
          <cell r="B156" t="str">
            <v>PHYSICIAN</v>
          </cell>
          <cell r="C156">
            <v>0.95</v>
          </cell>
        </row>
        <row r="157">
          <cell r="A157">
            <v>7793</v>
          </cell>
          <cell r="B157" t="str">
            <v>PHYSICIAN</v>
          </cell>
          <cell r="C157">
            <v>2.5000000000000001E-2</v>
          </cell>
        </row>
        <row r="158">
          <cell r="A158">
            <v>7787</v>
          </cell>
          <cell r="B158" t="str">
            <v>PHYSICIAN</v>
          </cell>
          <cell r="C158">
            <v>2</v>
          </cell>
        </row>
        <row r="159">
          <cell r="A159">
            <v>7770</v>
          </cell>
          <cell r="B159" t="str">
            <v>PHYSICIAN</v>
          </cell>
          <cell r="C159">
            <v>1</v>
          </cell>
        </row>
        <row r="160">
          <cell r="A160">
            <v>7783</v>
          </cell>
          <cell r="B160" t="str">
            <v>PHYSICIAN</v>
          </cell>
          <cell r="C160">
            <v>1</v>
          </cell>
        </row>
        <row r="161">
          <cell r="A161">
            <v>7785</v>
          </cell>
          <cell r="B161" t="str">
            <v>PHYSICIAN</v>
          </cell>
          <cell r="C161">
            <v>1</v>
          </cell>
        </row>
        <row r="162">
          <cell r="A162">
            <v>7777</v>
          </cell>
          <cell r="B162" t="str">
            <v>PHYSICIAN</v>
          </cell>
          <cell r="C162">
            <v>1.5</v>
          </cell>
        </row>
        <row r="163">
          <cell r="A163">
            <v>7787</v>
          </cell>
          <cell r="B163" t="str">
            <v>PHYSICIAN</v>
          </cell>
          <cell r="C163">
            <v>0.3</v>
          </cell>
        </row>
        <row r="164">
          <cell r="A164">
            <v>7768</v>
          </cell>
          <cell r="B164" t="str">
            <v>PHYSICIAN</v>
          </cell>
          <cell r="C164">
            <v>1.5</v>
          </cell>
        </row>
        <row r="165">
          <cell r="A165">
            <v>7790</v>
          </cell>
          <cell r="B165" t="str">
            <v>PHYSICIAN</v>
          </cell>
          <cell r="C165">
            <v>1</v>
          </cell>
        </row>
        <row r="166">
          <cell r="A166">
            <v>7794</v>
          </cell>
          <cell r="B166" t="str">
            <v>PHYSICIAN</v>
          </cell>
          <cell r="C166">
            <v>1</v>
          </cell>
        </row>
        <row r="167">
          <cell r="A167">
            <v>7765</v>
          </cell>
          <cell r="B167" t="str">
            <v>PHYSICIAN</v>
          </cell>
          <cell r="C167">
            <v>1</v>
          </cell>
        </row>
        <row r="168">
          <cell r="A168">
            <v>7791</v>
          </cell>
          <cell r="B168" t="str">
            <v>PHYSICIAN</v>
          </cell>
          <cell r="C168">
            <v>1.5</v>
          </cell>
        </row>
        <row r="169">
          <cell r="A169">
            <v>7796</v>
          </cell>
          <cell r="B169" t="str">
            <v>PHYSICIAN</v>
          </cell>
          <cell r="C169">
            <v>0.5</v>
          </cell>
        </row>
        <row r="170">
          <cell r="A170">
            <v>7773</v>
          </cell>
          <cell r="B170" t="str">
            <v>PHYSICIAN</v>
          </cell>
          <cell r="C170">
            <v>0.1</v>
          </cell>
        </row>
        <row r="171">
          <cell r="A171">
            <v>7792</v>
          </cell>
          <cell r="B171" t="str">
            <v>PHYSICIAN</v>
          </cell>
          <cell r="C171">
            <v>0.1</v>
          </cell>
        </row>
        <row r="172">
          <cell r="A172">
            <v>7795</v>
          </cell>
          <cell r="B172" t="str">
            <v>PHYSICIAN</v>
          </cell>
          <cell r="C172">
            <v>1.5</v>
          </cell>
        </row>
        <row r="173">
          <cell r="A173">
            <v>7783</v>
          </cell>
          <cell r="B173" t="str">
            <v>MID LEVEL</v>
          </cell>
          <cell r="C173">
            <v>1</v>
          </cell>
        </row>
        <row r="174">
          <cell r="A174">
            <v>7795</v>
          </cell>
          <cell r="B174" t="str">
            <v>MID LEVEL</v>
          </cell>
          <cell r="C174">
            <v>1.5</v>
          </cell>
        </row>
        <row r="175">
          <cell r="A175">
            <v>7765</v>
          </cell>
          <cell r="B175" t="str">
            <v>MED SUPPT</v>
          </cell>
          <cell r="C175">
            <v>0.58750000000000002</v>
          </cell>
        </row>
        <row r="176">
          <cell r="A176">
            <v>7780</v>
          </cell>
          <cell r="B176" t="str">
            <v>MED SUPPT</v>
          </cell>
          <cell r="C176">
            <v>0.2265625</v>
          </cell>
        </row>
        <row r="177">
          <cell r="A177">
            <v>7779</v>
          </cell>
          <cell r="B177" t="str">
            <v>MED SUPPT</v>
          </cell>
          <cell r="C177">
            <v>1</v>
          </cell>
        </row>
        <row r="178">
          <cell r="A178">
            <v>7783</v>
          </cell>
          <cell r="B178" t="str">
            <v>MED SUPPT</v>
          </cell>
          <cell r="C178">
            <v>0.97499999999999998</v>
          </cell>
        </row>
        <row r="179">
          <cell r="A179">
            <v>7780</v>
          </cell>
          <cell r="B179" t="str">
            <v>MED SUPPT</v>
          </cell>
          <cell r="C179">
            <v>1.0109375</v>
          </cell>
        </row>
        <row r="180">
          <cell r="A180">
            <v>7791</v>
          </cell>
          <cell r="B180" t="str">
            <v>MED SUPPT</v>
          </cell>
          <cell r="C180">
            <v>0.55312499999999998</v>
          </cell>
        </row>
        <row r="181">
          <cell r="A181">
            <v>7796</v>
          </cell>
          <cell r="B181" t="str">
            <v>MED SUPPT</v>
          </cell>
          <cell r="C181">
            <v>0.1</v>
          </cell>
        </row>
        <row r="182">
          <cell r="A182">
            <v>7787</v>
          </cell>
          <cell r="B182" t="str">
            <v>MED SUPPT</v>
          </cell>
          <cell r="C182">
            <v>1.8671875</v>
          </cell>
        </row>
        <row r="183">
          <cell r="A183">
            <v>7787</v>
          </cell>
          <cell r="B183" t="str">
            <v>MED SUPPT</v>
          </cell>
          <cell r="C183">
            <v>0.8828125</v>
          </cell>
        </row>
        <row r="184">
          <cell r="A184">
            <v>7780</v>
          </cell>
          <cell r="B184" t="str">
            <v>MED SUPPT</v>
          </cell>
          <cell r="C184">
            <v>0.66874999999999996</v>
          </cell>
        </row>
        <row r="185">
          <cell r="A185">
            <v>7780</v>
          </cell>
          <cell r="B185" t="str">
            <v>MED SUPPT</v>
          </cell>
          <cell r="C185">
            <v>0.05</v>
          </cell>
        </row>
        <row r="186">
          <cell r="A186">
            <v>7730</v>
          </cell>
          <cell r="B186" t="str">
            <v>ADMIN SUPPT</v>
          </cell>
          <cell r="C186">
            <v>0</v>
          </cell>
        </row>
        <row r="187">
          <cell r="A187">
            <v>7730</v>
          </cell>
          <cell r="B187" t="str">
            <v>ADMIN SUPPT</v>
          </cell>
          <cell r="C187">
            <v>1</v>
          </cell>
        </row>
        <row r="188">
          <cell r="A188">
            <v>7783</v>
          </cell>
          <cell r="B188" t="str">
            <v>MED SUPPT</v>
          </cell>
          <cell r="C188">
            <v>0.82499999999999996</v>
          </cell>
        </row>
        <row r="189">
          <cell r="A189">
            <v>7785</v>
          </cell>
          <cell r="B189" t="str">
            <v>MED SUPPT</v>
          </cell>
          <cell r="C189">
            <v>0.7734375</v>
          </cell>
        </row>
        <row r="190">
          <cell r="A190">
            <v>7798</v>
          </cell>
          <cell r="B190" t="str">
            <v>MED SUPPT</v>
          </cell>
          <cell r="C190">
            <v>0.95625000000000004</v>
          </cell>
        </row>
        <row r="191">
          <cell r="A191">
            <v>7795</v>
          </cell>
          <cell r="B191" t="str">
            <v>MED SUPPT</v>
          </cell>
          <cell r="C191">
            <v>0.85</v>
          </cell>
        </row>
        <row r="192">
          <cell r="A192">
            <v>7766</v>
          </cell>
          <cell r="B192" t="str">
            <v>MID LEVEL</v>
          </cell>
          <cell r="C192">
            <v>3.7499999999999999E-2</v>
          </cell>
        </row>
        <row r="193">
          <cell r="A193">
            <v>7779</v>
          </cell>
          <cell r="B193" t="str">
            <v>MID LEVEL</v>
          </cell>
          <cell r="C193">
            <v>2</v>
          </cell>
        </row>
        <row r="194">
          <cell r="A194">
            <v>7734</v>
          </cell>
          <cell r="B194" t="str">
            <v>ADMIN SUPPT</v>
          </cell>
          <cell r="C194">
            <v>1</v>
          </cell>
        </row>
        <row r="195">
          <cell r="A195">
            <v>7770</v>
          </cell>
          <cell r="B195" t="str">
            <v>ADMIN SUPPT</v>
          </cell>
          <cell r="C195">
            <v>0.125</v>
          </cell>
        </row>
        <row r="196">
          <cell r="A196">
            <v>7780</v>
          </cell>
          <cell r="B196" t="str">
            <v>ADMIN SUPPT</v>
          </cell>
          <cell r="C196">
            <v>0.99531250000000004</v>
          </cell>
        </row>
        <row r="197">
          <cell r="A197">
            <v>7783</v>
          </cell>
          <cell r="B197" t="str">
            <v>ADMIN SUPPT</v>
          </cell>
          <cell r="C197">
            <v>1.003125</v>
          </cell>
        </row>
        <row r="198">
          <cell r="A198">
            <v>7785</v>
          </cell>
          <cell r="B198" t="str">
            <v>ADMIN SUPPT</v>
          </cell>
          <cell r="C198">
            <v>0.75468749999999996</v>
          </cell>
        </row>
        <row r="199">
          <cell r="A199">
            <v>7794</v>
          </cell>
          <cell r="B199" t="str">
            <v>ADMIN SUPPT</v>
          </cell>
          <cell r="C199">
            <v>0.125</v>
          </cell>
        </row>
        <row r="200">
          <cell r="A200">
            <v>7798</v>
          </cell>
          <cell r="B200" t="str">
            <v>ADMIN SUPPT</v>
          </cell>
          <cell r="C200">
            <v>1.0390625</v>
          </cell>
        </row>
        <row r="201">
          <cell r="A201">
            <v>7783</v>
          </cell>
          <cell r="B201" t="str">
            <v>ADMIN SUPPT</v>
          </cell>
          <cell r="C201">
            <v>0.46250000000000002</v>
          </cell>
        </row>
        <row r="202">
          <cell r="A202">
            <v>7780</v>
          </cell>
          <cell r="B202" t="str">
            <v>ADMIN SUPPT</v>
          </cell>
          <cell r="C202">
            <v>2.0125000000000002</v>
          </cell>
        </row>
        <row r="203">
          <cell r="A203">
            <v>7767</v>
          </cell>
          <cell r="B203" t="str">
            <v>ADMIN SUPPT</v>
          </cell>
          <cell r="C203">
            <v>1.5625000000000001E-3</v>
          </cell>
        </row>
        <row r="204">
          <cell r="A204">
            <v>7768</v>
          </cell>
          <cell r="B204" t="str">
            <v>ADMIN SUPPT</v>
          </cell>
          <cell r="C204">
            <v>0.69462500000000005</v>
          </cell>
        </row>
        <row r="205">
          <cell r="A205">
            <v>7769</v>
          </cell>
          <cell r="B205" t="str">
            <v>ADMIN SUPPT</v>
          </cell>
          <cell r="C205">
            <v>0.38593749999999999</v>
          </cell>
        </row>
        <row r="206">
          <cell r="A206">
            <v>7770</v>
          </cell>
          <cell r="B206" t="str">
            <v>ADMIN SUPPT</v>
          </cell>
          <cell r="C206">
            <v>4.3749999999999997E-2</v>
          </cell>
        </row>
        <row r="207">
          <cell r="A207">
            <v>7785</v>
          </cell>
          <cell r="B207" t="str">
            <v>ADMIN SUPPT</v>
          </cell>
          <cell r="C207">
            <v>0.31874999999999998</v>
          </cell>
        </row>
        <row r="208">
          <cell r="A208">
            <v>7792</v>
          </cell>
          <cell r="B208" t="str">
            <v>ADMIN SUPPT</v>
          </cell>
          <cell r="C208">
            <v>1.015625</v>
          </cell>
        </row>
        <row r="209">
          <cell r="A209">
            <v>7794</v>
          </cell>
          <cell r="B209" t="str">
            <v>ADMIN SUPPT</v>
          </cell>
          <cell r="C209">
            <v>0.25</v>
          </cell>
        </row>
        <row r="210">
          <cell r="A210">
            <v>7765</v>
          </cell>
          <cell r="B210" t="str">
            <v>MID LEVEL</v>
          </cell>
          <cell r="C210">
            <v>1</v>
          </cell>
        </row>
        <row r="211">
          <cell r="A211">
            <v>7768</v>
          </cell>
          <cell r="B211" t="str">
            <v>MID LEVEL</v>
          </cell>
          <cell r="C211">
            <v>1</v>
          </cell>
        </row>
        <row r="212">
          <cell r="A212">
            <v>7771</v>
          </cell>
          <cell r="B212" t="str">
            <v>MID LEVEL</v>
          </cell>
          <cell r="C212">
            <v>1</v>
          </cell>
        </row>
        <row r="213">
          <cell r="A213">
            <v>7774</v>
          </cell>
          <cell r="B213" t="str">
            <v>MID LEVEL</v>
          </cell>
          <cell r="C213">
            <v>1</v>
          </cell>
        </row>
        <row r="214">
          <cell r="A214">
            <v>7780</v>
          </cell>
          <cell r="B214" t="str">
            <v>MID LEVEL</v>
          </cell>
          <cell r="C214">
            <v>1.8125</v>
          </cell>
        </row>
        <row r="215">
          <cell r="A215">
            <v>7785</v>
          </cell>
          <cell r="B215" t="str">
            <v>MID LEVEL</v>
          </cell>
          <cell r="C215">
            <v>1</v>
          </cell>
        </row>
        <row r="216">
          <cell r="A216">
            <v>7791</v>
          </cell>
          <cell r="B216" t="str">
            <v>MID LEVEL</v>
          </cell>
          <cell r="C216">
            <v>1</v>
          </cell>
        </row>
        <row r="217">
          <cell r="A217">
            <v>7767</v>
          </cell>
          <cell r="B217" t="str">
            <v>MID LEVEL</v>
          </cell>
          <cell r="C217">
            <v>1</v>
          </cell>
        </row>
        <row r="218">
          <cell r="A218">
            <v>7769</v>
          </cell>
          <cell r="B218" t="str">
            <v>MID LEVEL</v>
          </cell>
          <cell r="C218">
            <v>1</v>
          </cell>
        </row>
        <row r="219">
          <cell r="A219">
            <v>7770</v>
          </cell>
          <cell r="B219" t="str">
            <v>MID LEVEL</v>
          </cell>
          <cell r="C219">
            <v>0.05</v>
          </cell>
        </row>
        <row r="220">
          <cell r="A220">
            <v>7779</v>
          </cell>
          <cell r="B220" t="str">
            <v>MID LEVEL</v>
          </cell>
          <cell r="C220">
            <v>1.75</v>
          </cell>
        </row>
        <row r="221">
          <cell r="A221">
            <v>7781</v>
          </cell>
          <cell r="B221" t="str">
            <v>MID LEVEL</v>
          </cell>
          <cell r="C221">
            <v>0.4375</v>
          </cell>
        </row>
        <row r="222">
          <cell r="A222">
            <v>7783</v>
          </cell>
          <cell r="B222" t="str">
            <v>MID LEVEL</v>
          </cell>
          <cell r="C222">
            <v>1.5625</v>
          </cell>
        </row>
        <row r="223">
          <cell r="A223">
            <v>7784</v>
          </cell>
          <cell r="B223" t="str">
            <v>MID LEVEL</v>
          </cell>
          <cell r="C223">
            <v>3</v>
          </cell>
        </row>
        <row r="224">
          <cell r="A224">
            <v>7785</v>
          </cell>
          <cell r="B224" t="str">
            <v>MID LEVEL</v>
          </cell>
          <cell r="C224">
            <v>2.25</v>
          </cell>
        </row>
        <row r="225">
          <cell r="A225">
            <v>7790</v>
          </cell>
          <cell r="B225" t="str">
            <v>MID LEVEL</v>
          </cell>
          <cell r="C225">
            <v>1</v>
          </cell>
        </row>
        <row r="226">
          <cell r="A226">
            <v>7768</v>
          </cell>
          <cell r="B226" t="str">
            <v>MED SUPPT</v>
          </cell>
          <cell r="C226">
            <v>1</v>
          </cell>
        </row>
        <row r="227">
          <cell r="A227">
            <v>7790</v>
          </cell>
          <cell r="B227" t="str">
            <v>MED SUPPT</v>
          </cell>
          <cell r="C227">
            <v>4.6875E-2</v>
          </cell>
        </row>
        <row r="228">
          <cell r="A228">
            <v>7766</v>
          </cell>
          <cell r="B228" t="str">
            <v>ADMIN SUPPT</v>
          </cell>
          <cell r="C228">
            <v>0.23749999999999999</v>
          </cell>
        </row>
        <row r="229">
          <cell r="A229">
            <v>7767</v>
          </cell>
          <cell r="B229" t="str">
            <v>ADMIN SUPPT</v>
          </cell>
          <cell r="C229">
            <v>0.91562500000000002</v>
          </cell>
        </row>
        <row r="230">
          <cell r="A230">
            <v>7770</v>
          </cell>
          <cell r="B230" t="str">
            <v>ADMIN SUPPT</v>
          </cell>
          <cell r="C230">
            <v>3.4375000000000003E-2</v>
          </cell>
        </row>
        <row r="231">
          <cell r="A231">
            <v>7771</v>
          </cell>
          <cell r="B231" t="str">
            <v>ADMIN SUPPT</v>
          </cell>
          <cell r="C231">
            <v>0.42499999999999999</v>
          </cell>
        </row>
        <row r="232">
          <cell r="A232">
            <v>7773</v>
          </cell>
          <cell r="B232" t="str">
            <v>ADMIN SUPPT</v>
          </cell>
          <cell r="C232">
            <v>0.1</v>
          </cell>
        </row>
        <row r="233">
          <cell r="A233">
            <v>7778</v>
          </cell>
          <cell r="B233" t="str">
            <v>ADMIN SUPPT</v>
          </cell>
          <cell r="C233">
            <v>0.05</v>
          </cell>
        </row>
        <row r="234">
          <cell r="A234">
            <v>7780</v>
          </cell>
          <cell r="B234" t="str">
            <v>ADMIN SUPPT</v>
          </cell>
          <cell r="C234">
            <v>1.8062499999999999</v>
          </cell>
        </row>
        <row r="235">
          <cell r="A235">
            <v>7781</v>
          </cell>
          <cell r="B235" t="str">
            <v>ADMIN SUPPT</v>
          </cell>
          <cell r="C235">
            <v>1.003125</v>
          </cell>
        </row>
        <row r="236">
          <cell r="A236">
            <v>7782</v>
          </cell>
          <cell r="B236" t="str">
            <v>ADMIN SUPPT</v>
          </cell>
          <cell r="C236">
            <v>1.2546875</v>
          </cell>
        </row>
        <row r="237">
          <cell r="A237">
            <v>7783</v>
          </cell>
          <cell r="B237" t="str">
            <v>ADMIN SUPPT</v>
          </cell>
          <cell r="C237">
            <v>3.0046875000000002</v>
          </cell>
        </row>
        <row r="238">
          <cell r="A238">
            <v>7785</v>
          </cell>
          <cell r="B238" t="str">
            <v>ADMIN SUPPT</v>
          </cell>
          <cell r="C238">
            <v>2</v>
          </cell>
        </row>
        <row r="239">
          <cell r="A239">
            <v>7790</v>
          </cell>
          <cell r="B239" t="str">
            <v>ADMIN SUPPT</v>
          </cell>
          <cell r="C239">
            <v>0.84375</v>
          </cell>
        </row>
        <row r="240">
          <cell r="A240">
            <v>7730</v>
          </cell>
          <cell r="B240" t="str">
            <v>ADMIN SUPPT</v>
          </cell>
          <cell r="C240">
            <v>1.0093749999999999</v>
          </cell>
        </row>
        <row r="241">
          <cell r="A241">
            <v>7733</v>
          </cell>
          <cell r="B241" t="str">
            <v>ADMIN SUPPT</v>
          </cell>
          <cell r="C241">
            <v>0.80937499999999996</v>
          </cell>
        </row>
        <row r="242">
          <cell r="A242">
            <v>7734</v>
          </cell>
          <cell r="B242" t="str">
            <v>ADMIN SUPPT</v>
          </cell>
          <cell r="C242">
            <v>0.203125</v>
          </cell>
        </row>
        <row r="243">
          <cell r="A243">
            <v>7783</v>
          </cell>
          <cell r="B243" t="str">
            <v>ADMIN SUPPT</v>
          </cell>
          <cell r="C243">
            <v>0.40937499999999999</v>
          </cell>
        </row>
        <row r="244">
          <cell r="A244">
            <v>7733</v>
          </cell>
          <cell r="B244" t="str">
            <v>ADMIN SUPPT</v>
          </cell>
          <cell r="C244">
            <v>0.9375</v>
          </cell>
        </row>
        <row r="245">
          <cell r="A245">
            <v>7734</v>
          </cell>
          <cell r="B245" t="str">
            <v>ADMIN SUPPT</v>
          </cell>
          <cell r="C245">
            <v>6.25E-2</v>
          </cell>
        </row>
        <row r="246">
          <cell r="A246">
            <v>7730</v>
          </cell>
          <cell r="B246" t="str">
            <v>ADMIN SUPPT</v>
          </cell>
          <cell r="C246">
            <v>0.42656250000000001</v>
          </cell>
        </row>
        <row r="247">
          <cell r="A247">
            <v>7783</v>
          </cell>
          <cell r="B247" t="str">
            <v>ADMIN SUPPT</v>
          </cell>
          <cell r="C247">
            <v>1.0734375</v>
          </cell>
        </row>
        <row r="248">
          <cell r="A248">
            <v>8515</v>
          </cell>
          <cell r="B248" t="str">
            <v>ADMIN EXEC</v>
          </cell>
          <cell r="C248">
            <v>1</v>
          </cell>
        </row>
        <row r="249">
          <cell r="A249">
            <v>7734</v>
          </cell>
          <cell r="B249" t="str">
            <v>ADMIN EXEC</v>
          </cell>
          <cell r="C249">
            <v>1</v>
          </cell>
        </row>
        <row r="250">
          <cell r="A250">
            <v>7731</v>
          </cell>
          <cell r="B250" t="str">
            <v>ADMIN SUPPT</v>
          </cell>
          <cell r="C250">
            <v>0.88124999999999998</v>
          </cell>
        </row>
        <row r="251">
          <cell r="A251">
            <v>7731</v>
          </cell>
          <cell r="B251" t="str">
            <v>ADMIN SUPPT</v>
          </cell>
          <cell r="C251">
            <v>2</v>
          </cell>
        </row>
        <row r="252">
          <cell r="A252">
            <v>7731</v>
          </cell>
          <cell r="B252" t="str">
            <v>ADMIN SUPPT</v>
          </cell>
          <cell r="C252">
            <v>1</v>
          </cell>
        </row>
        <row r="253">
          <cell r="A253">
            <v>7730</v>
          </cell>
          <cell r="B253" t="str">
            <v>ADMIN SUPPT</v>
          </cell>
          <cell r="C253">
            <v>1</v>
          </cell>
        </row>
        <row r="254">
          <cell r="A254">
            <v>7733</v>
          </cell>
          <cell r="B254" t="str">
            <v>ADMIN SUPPT</v>
          </cell>
          <cell r="C254">
            <v>1.6532499999999999</v>
          </cell>
        </row>
        <row r="255">
          <cell r="A255">
            <v>7734</v>
          </cell>
          <cell r="B255" t="str">
            <v>ADMIN SUPPT</v>
          </cell>
          <cell r="C255">
            <v>1.2500000000000001E-2</v>
          </cell>
        </row>
        <row r="256">
          <cell r="A256">
            <v>7731</v>
          </cell>
          <cell r="B256" t="str">
            <v>ADMIN SUPPT</v>
          </cell>
          <cell r="C256">
            <v>0.5</v>
          </cell>
        </row>
        <row r="257">
          <cell r="A257">
            <v>7733</v>
          </cell>
          <cell r="B257" t="str">
            <v>ADMIN SUPPT</v>
          </cell>
          <cell r="C257">
            <v>0.99375000000000002</v>
          </cell>
        </row>
        <row r="258">
          <cell r="A258">
            <v>7734</v>
          </cell>
          <cell r="B258" t="str">
            <v>ADMIN SUPPT</v>
          </cell>
          <cell r="C258">
            <v>6.2500000000000003E-3</v>
          </cell>
        </row>
        <row r="259">
          <cell r="A259">
            <v>7733</v>
          </cell>
          <cell r="B259" t="str">
            <v>ADMIN SUPPT</v>
          </cell>
          <cell r="C259">
            <v>3.8843749999999999</v>
          </cell>
        </row>
        <row r="260">
          <cell r="A260">
            <v>7734</v>
          </cell>
          <cell r="B260" t="str">
            <v>ADMIN SUPPT</v>
          </cell>
          <cell r="C260">
            <v>2.5000000000000001E-2</v>
          </cell>
        </row>
        <row r="261">
          <cell r="A261">
            <v>7784</v>
          </cell>
          <cell r="B261" t="str">
            <v>ADMIN SUPPT</v>
          </cell>
          <cell r="C261">
            <v>0.14531250000000001</v>
          </cell>
        </row>
        <row r="262">
          <cell r="A262">
            <v>7765</v>
          </cell>
          <cell r="B262" t="str">
            <v>ADMIN SUPPT</v>
          </cell>
          <cell r="C262">
            <v>0.86562499999999998</v>
          </cell>
        </row>
        <row r="263">
          <cell r="A263">
            <v>7766</v>
          </cell>
          <cell r="B263" t="str">
            <v>ADMIN SUPPT</v>
          </cell>
          <cell r="C263">
            <v>1</v>
          </cell>
        </row>
        <row r="264">
          <cell r="A264">
            <v>7767</v>
          </cell>
          <cell r="B264" t="str">
            <v>ADMIN SUPPT</v>
          </cell>
          <cell r="C264">
            <v>1.9453125</v>
          </cell>
        </row>
        <row r="265">
          <cell r="A265">
            <v>7768</v>
          </cell>
          <cell r="B265" t="str">
            <v>ADMIN SUPPT</v>
          </cell>
          <cell r="C265">
            <v>2.1328125</v>
          </cell>
        </row>
        <row r="266">
          <cell r="A266">
            <v>7769</v>
          </cell>
          <cell r="B266" t="str">
            <v>ADMIN SUPPT</v>
          </cell>
          <cell r="C266">
            <v>1</v>
          </cell>
        </row>
        <row r="267">
          <cell r="A267">
            <v>7770</v>
          </cell>
          <cell r="B267" t="str">
            <v>ADMIN SUPPT</v>
          </cell>
          <cell r="C267">
            <v>0.94931249999999989</v>
          </cell>
        </row>
        <row r="268">
          <cell r="A268">
            <v>7771</v>
          </cell>
          <cell r="B268" t="str">
            <v>ADMIN SUPPT</v>
          </cell>
          <cell r="C268">
            <v>1.4906250000000001</v>
          </cell>
        </row>
        <row r="269">
          <cell r="A269">
            <v>7774</v>
          </cell>
          <cell r="B269" t="str">
            <v>ADMIN SUPPT</v>
          </cell>
          <cell r="C269">
            <v>1.6984375</v>
          </cell>
        </row>
        <row r="270">
          <cell r="A270">
            <v>7776</v>
          </cell>
          <cell r="B270" t="str">
            <v>ADMIN SUPPT</v>
          </cell>
          <cell r="C270">
            <v>0.51718750000000002</v>
          </cell>
        </row>
        <row r="271">
          <cell r="A271">
            <v>7777</v>
          </cell>
          <cell r="B271" t="str">
            <v>ADMIN SUPPT</v>
          </cell>
          <cell r="C271">
            <v>1.0249999999999999</v>
          </cell>
        </row>
        <row r="272">
          <cell r="A272">
            <v>7778</v>
          </cell>
          <cell r="B272" t="str">
            <v>ADMIN SUPPT</v>
          </cell>
          <cell r="C272">
            <v>1.8503125</v>
          </cell>
        </row>
        <row r="273">
          <cell r="A273">
            <v>7779</v>
          </cell>
          <cell r="B273" t="str">
            <v>ADMIN SUPPT</v>
          </cell>
          <cell r="C273">
            <v>3.0238125</v>
          </cell>
        </row>
        <row r="274">
          <cell r="A274">
            <v>7780</v>
          </cell>
          <cell r="B274" t="str">
            <v>ADMIN SUPPT</v>
          </cell>
          <cell r="C274">
            <v>7.0105625000000007</v>
          </cell>
        </row>
        <row r="275">
          <cell r="A275">
            <v>7781</v>
          </cell>
          <cell r="B275" t="str">
            <v>ADMIN SUPPT</v>
          </cell>
          <cell r="C275">
            <v>7.1078124999999996</v>
          </cell>
        </row>
        <row r="276">
          <cell r="A276">
            <v>7782</v>
          </cell>
          <cell r="B276" t="str">
            <v>ADMIN SUPPT</v>
          </cell>
          <cell r="C276">
            <v>3.9953124999999998</v>
          </cell>
        </row>
        <row r="277">
          <cell r="A277">
            <v>7783</v>
          </cell>
          <cell r="B277" t="str">
            <v>ADMIN SUPPT</v>
          </cell>
          <cell r="C277">
            <v>13.9296875</v>
          </cell>
        </row>
        <row r="278">
          <cell r="A278">
            <v>7784</v>
          </cell>
          <cell r="B278" t="str">
            <v>ADMIN SUPPT</v>
          </cell>
          <cell r="C278">
            <v>3.0343749999999998</v>
          </cell>
        </row>
        <row r="279">
          <cell r="A279">
            <v>7785</v>
          </cell>
          <cell r="B279" t="str">
            <v>ADMIN SUPPT</v>
          </cell>
          <cell r="C279">
            <v>4.171875</v>
          </cell>
        </row>
        <row r="280">
          <cell r="A280">
            <v>7787</v>
          </cell>
          <cell r="B280" t="str">
            <v>ADMIN SUPPT</v>
          </cell>
          <cell r="C280">
            <v>1.5562499999999999</v>
          </cell>
        </row>
        <row r="281">
          <cell r="A281">
            <v>7790</v>
          </cell>
          <cell r="B281" t="str">
            <v>ADMIN SUPPT</v>
          </cell>
          <cell r="C281">
            <v>5.7781250000000002</v>
          </cell>
        </row>
        <row r="282">
          <cell r="A282">
            <v>7791</v>
          </cell>
          <cell r="B282" t="str">
            <v>ADMIN SUPPT</v>
          </cell>
          <cell r="C282">
            <v>1.5171874999999999</v>
          </cell>
        </row>
        <row r="283">
          <cell r="A283">
            <v>7792</v>
          </cell>
          <cell r="B283" t="str">
            <v>ADMIN SUPPT</v>
          </cell>
          <cell r="C283">
            <v>1.9125000000000001</v>
          </cell>
        </row>
        <row r="284">
          <cell r="A284">
            <v>7793</v>
          </cell>
          <cell r="B284" t="str">
            <v>ADMIN SUPPT</v>
          </cell>
          <cell r="C284">
            <v>1</v>
          </cell>
        </row>
        <row r="285">
          <cell r="A285">
            <v>7794</v>
          </cell>
          <cell r="B285" t="str">
            <v>ADMIN SUPPT</v>
          </cell>
          <cell r="C285">
            <v>0.97343749999999996</v>
          </cell>
        </row>
        <row r="286">
          <cell r="A286">
            <v>7795</v>
          </cell>
          <cell r="B286" t="str">
            <v>ADMIN SUPPT</v>
          </cell>
          <cell r="C286">
            <v>0.89218750000000002</v>
          </cell>
        </row>
        <row r="287">
          <cell r="A287">
            <v>7796</v>
          </cell>
          <cell r="B287" t="str">
            <v>ADMIN SUPPT</v>
          </cell>
          <cell r="C287">
            <v>0.5</v>
          </cell>
        </row>
        <row r="288">
          <cell r="A288">
            <v>7798</v>
          </cell>
          <cell r="B288" t="str">
            <v>ADMIN SUPPT</v>
          </cell>
          <cell r="C288">
            <v>9.8437499999999997E-2</v>
          </cell>
        </row>
        <row r="289">
          <cell r="A289">
            <v>7799</v>
          </cell>
          <cell r="B289" t="str">
            <v>ADMIN SUPPT</v>
          </cell>
          <cell r="C289">
            <v>1.9734375</v>
          </cell>
        </row>
        <row r="290">
          <cell r="A290">
            <v>7730</v>
          </cell>
          <cell r="B290" t="str">
            <v>ADMIN SUPPT</v>
          </cell>
          <cell r="C290">
            <v>5.9374999999999997E-2</v>
          </cell>
        </row>
        <row r="291">
          <cell r="A291">
            <v>7770</v>
          </cell>
          <cell r="B291" t="str">
            <v>ADMIN SUPPT</v>
          </cell>
          <cell r="C291">
            <v>0.1484375</v>
          </cell>
        </row>
        <row r="292">
          <cell r="A292">
            <v>7779</v>
          </cell>
          <cell r="B292" t="str">
            <v>ADMIN SUPPT</v>
          </cell>
          <cell r="C292">
            <v>0.45</v>
          </cell>
        </row>
        <row r="293">
          <cell r="A293">
            <v>7783</v>
          </cell>
          <cell r="B293" t="str">
            <v>ADMIN SUPPT</v>
          </cell>
          <cell r="C293">
            <v>0.47499999999999998</v>
          </cell>
        </row>
        <row r="294">
          <cell r="A294">
            <v>7785</v>
          </cell>
          <cell r="B294" t="str">
            <v>ADMIN SUPPT</v>
          </cell>
          <cell r="C294">
            <v>0.765625</v>
          </cell>
        </row>
        <row r="295">
          <cell r="A295">
            <v>7787</v>
          </cell>
          <cell r="B295" t="str">
            <v>ADMIN SUPPT</v>
          </cell>
          <cell r="C295">
            <v>0.25156250000000002</v>
          </cell>
        </row>
        <row r="296">
          <cell r="A296">
            <v>7795</v>
          </cell>
          <cell r="B296" t="str">
            <v>ADMIN SUPPT</v>
          </cell>
          <cell r="C296">
            <v>0.6</v>
          </cell>
        </row>
        <row r="297">
          <cell r="A297">
            <v>7766</v>
          </cell>
          <cell r="B297" t="str">
            <v>ADMIN SUPPT</v>
          </cell>
          <cell r="C297">
            <v>1.015625</v>
          </cell>
        </row>
        <row r="298">
          <cell r="A298">
            <v>7767</v>
          </cell>
          <cell r="B298" t="str">
            <v>ADMIN SUPPT</v>
          </cell>
          <cell r="C298">
            <v>1</v>
          </cell>
        </row>
        <row r="299">
          <cell r="A299">
            <v>7771</v>
          </cell>
          <cell r="B299" t="str">
            <v>ADMIN SUPPT</v>
          </cell>
          <cell r="C299">
            <v>0.2890625</v>
          </cell>
        </row>
        <row r="300">
          <cell r="A300">
            <v>7773</v>
          </cell>
          <cell r="B300" t="str">
            <v>ADMIN SUPPT</v>
          </cell>
          <cell r="C300">
            <v>0.05</v>
          </cell>
        </row>
        <row r="301">
          <cell r="A301">
            <v>7777</v>
          </cell>
          <cell r="B301" t="str">
            <v>ADMIN SUPPT</v>
          </cell>
          <cell r="C301">
            <v>0.10625</v>
          </cell>
        </row>
        <row r="302">
          <cell r="A302">
            <v>7779</v>
          </cell>
          <cell r="B302" t="str">
            <v>ADMIN SUPPT</v>
          </cell>
          <cell r="C302">
            <v>0.05</v>
          </cell>
        </row>
        <row r="303">
          <cell r="A303">
            <v>7780</v>
          </cell>
          <cell r="B303" t="str">
            <v>ADMIN SUPPT</v>
          </cell>
          <cell r="C303">
            <v>0.86562499999999998</v>
          </cell>
        </row>
        <row r="304">
          <cell r="A304">
            <v>7781</v>
          </cell>
          <cell r="B304" t="str">
            <v>ADMIN SUPPT</v>
          </cell>
          <cell r="C304">
            <v>1.9609375</v>
          </cell>
        </row>
        <row r="305">
          <cell r="A305">
            <v>7782</v>
          </cell>
          <cell r="B305" t="str">
            <v>ADMIN SUPPT</v>
          </cell>
          <cell r="C305">
            <v>1.7609375</v>
          </cell>
        </row>
        <row r="306">
          <cell r="A306">
            <v>7783</v>
          </cell>
          <cell r="B306" t="str">
            <v>ADMIN SUPPT</v>
          </cell>
          <cell r="C306">
            <v>1.465625</v>
          </cell>
        </row>
        <row r="307">
          <cell r="A307">
            <v>7784</v>
          </cell>
          <cell r="B307" t="str">
            <v>ADMIN SUPPT</v>
          </cell>
          <cell r="C307">
            <v>1.0078125</v>
          </cell>
        </row>
        <row r="308">
          <cell r="A308">
            <v>7785</v>
          </cell>
          <cell r="B308" t="str">
            <v>ADMIN SUPPT</v>
          </cell>
          <cell r="C308">
            <v>1.0234375</v>
          </cell>
        </row>
        <row r="309">
          <cell r="A309">
            <v>7774</v>
          </cell>
          <cell r="B309" t="str">
            <v>ADMIN SUPPT</v>
          </cell>
          <cell r="C309">
            <v>6.2500000000000003E-3</v>
          </cell>
        </row>
        <row r="310">
          <cell r="A310">
            <v>7777</v>
          </cell>
          <cell r="B310" t="str">
            <v>ADMIN SUPPT</v>
          </cell>
          <cell r="C310">
            <v>8.7499999999999994E-2</v>
          </cell>
        </row>
        <row r="311">
          <cell r="A311">
            <v>7779</v>
          </cell>
          <cell r="B311" t="str">
            <v>ADMIN SUPPT</v>
          </cell>
          <cell r="C311">
            <v>1.2500000000000001E-2</v>
          </cell>
        </row>
        <row r="312">
          <cell r="A312">
            <v>7780</v>
          </cell>
          <cell r="B312" t="str">
            <v>ADMIN SUPPT</v>
          </cell>
          <cell r="C312">
            <v>1</v>
          </cell>
        </row>
        <row r="313">
          <cell r="A313">
            <v>7783</v>
          </cell>
          <cell r="B313" t="str">
            <v>ADMIN SUPPT</v>
          </cell>
          <cell r="C313">
            <v>0.68125000000000002</v>
          </cell>
        </row>
        <row r="314">
          <cell r="A314">
            <v>7787</v>
          </cell>
          <cell r="B314" t="str">
            <v>ADMIN SUPPT</v>
          </cell>
          <cell r="C314">
            <v>0.1875</v>
          </cell>
        </row>
        <row r="315">
          <cell r="A315">
            <v>7791</v>
          </cell>
          <cell r="B315" t="str">
            <v>ADMIN SUPPT</v>
          </cell>
          <cell r="C315">
            <v>2.5000000000000001E-2</v>
          </cell>
        </row>
        <row r="316">
          <cell r="A316">
            <v>7774</v>
          </cell>
          <cell r="B316" t="str">
            <v>ADMIN SUPPT</v>
          </cell>
          <cell r="C316">
            <v>0.9453125</v>
          </cell>
        </row>
        <row r="317">
          <cell r="A317">
            <v>7733</v>
          </cell>
          <cell r="B317" t="str">
            <v>ADMIN SUPPT</v>
          </cell>
          <cell r="C317">
            <v>0.95</v>
          </cell>
        </row>
        <row r="318">
          <cell r="A318">
            <v>7734</v>
          </cell>
          <cell r="B318" t="str">
            <v>ADMIN SUPPT</v>
          </cell>
          <cell r="C318">
            <v>0.05</v>
          </cell>
        </row>
        <row r="319">
          <cell r="A319">
            <v>7733</v>
          </cell>
          <cell r="B319" t="str">
            <v>ADMIN SUPPT</v>
          </cell>
          <cell r="C319">
            <v>1</v>
          </cell>
        </row>
        <row r="320">
          <cell r="A320">
            <v>7781</v>
          </cell>
          <cell r="B320" t="str">
            <v>ADMIN SUPPT</v>
          </cell>
          <cell r="C320">
            <v>1.0406249999999999</v>
          </cell>
        </row>
        <row r="321">
          <cell r="A321">
            <v>7767</v>
          </cell>
          <cell r="B321" t="str">
            <v>ADMIN SUPPT</v>
          </cell>
          <cell r="C321">
            <v>1.75</v>
          </cell>
        </row>
        <row r="322">
          <cell r="A322">
            <v>7779</v>
          </cell>
          <cell r="B322" t="str">
            <v>ADMIN SUPPT</v>
          </cell>
          <cell r="C322">
            <v>0.80781250000000004</v>
          </cell>
        </row>
        <row r="323">
          <cell r="A323">
            <v>7780</v>
          </cell>
          <cell r="B323" t="str">
            <v>ADMIN SUPPT</v>
          </cell>
          <cell r="C323">
            <v>7.4562499999999998</v>
          </cell>
        </row>
        <row r="324">
          <cell r="A324">
            <v>7781</v>
          </cell>
          <cell r="B324" t="str">
            <v>ADMIN SUPPT</v>
          </cell>
          <cell r="C324">
            <v>3.7015625000000001</v>
          </cell>
        </row>
        <row r="325">
          <cell r="A325">
            <v>7782</v>
          </cell>
          <cell r="B325" t="str">
            <v>ADMIN SUPPT</v>
          </cell>
          <cell r="C325">
            <v>1.9984375000000001</v>
          </cell>
        </row>
        <row r="326">
          <cell r="A326">
            <v>7783</v>
          </cell>
          <cell r="B326" t="str">
            <v>ADMIN SUPPT</v>
          </cell>
          <cell r="C326">
            <v>10.340624999999999</v>
          </cell>
        </row>
        <row r="327">
          <cell r="A327">
            <v>7784</v>
          </cell>
          <cell r="B327" t="str">
            <v>ADMIN SUPPT</v>
          </cell>
          <cell r="C327">
            <v>1.7078125</v>
          </cell>
        </row>
        <row r="328">
          <cell r="A328">
            <v>7785</v>
          </cell>
          <cell r="B328" t="str">
            <v>ADMIN SUPPT</v>
          </cell>
          <cell r="C328">
            <v>1.996875</v>
          </cell>
        </row>
        <row r="329">
          <cell r="A329">
            <v>7790</v>
          </cell>
          <cell r="B329" t="str">
            <v>ADMIN SUPPT</v>
          </cell>
          <cell r="C329">
            <v>1.9484375</v>
          </cell>
        </row>
        <row r="330">
          <cell r="A330">
            <v>7795</v>
          </cell>
          <cell r="B330" t="str">
            <v>ADMIN SUPPT</v>
          </cell>
          <cell r="C330">
            <v>0.13750000000000001</v>
          </cell>
        </row>
        <row r="331">
          <cell r="A331">
            <v>7780</v>
          </cell>
          <cell r="B331" t="str">
            <v>ADMIN SUPPT</v>
          </cell>
          <cell r="C331">
            <v>1.003125</v>
          </cell>
        </row>
        <row r="332">
          <cell r="A332">
            <v>7783</v>
          </cell>
          <cell r="B332" t="str">
            <v>ADMIN SUPPT</v>
          </cell>
          <cell r="C332">
            <v>1.0046875</v>
          </cell>
        </row>
        <row r="333">
          <cell r="A333">
            <v>7785</v>
          </cell>
          <cell r="B333" t="str">
            <v>ADMIN SUPPT</v>
          </cell>
          <cell r="C333">
            <v>1.028125</v>
          </cell>
        </row>
        <row r="334">
          <cell r="A334">
            <v>7730</v>
          </cell>
          <cell r="B334" t="str">
            <v>ADMIN SUPPT</v>
          </cell>
          <cell r="C334">
            <v>0.1140625</v>
          </cell>
        </row>
        <row r="335">
          <cell r="A335">
            <v>7767</v>
          </cell>
          <cell r="B335" t="str">
            <v>ADMIN SUPPT</v>
          </cell>
          <cell r="C335">
            <v>2.1874999999999999E-2</v>
          </cell>
        </row>
        <row r="336">
          <cell r="A336">
            <v>7781</v>
          </cell>
          <cell r="B336" t="str">
            <v>ADMIN SUPPT</v>
          </cell>
          <cell r="C336">
            <v>0.35312500000000002</v>
          </cell>
        </row>
        <row r="337">
          <cell r="A337">
            <v>7783</v>
          </cell>
          <cell r="B337" t="str">
            <v>ADMIN SUPPT</v>
          </cell>
          <cell r="C337">
            <v>5.1562499999999997E-2</v>
          </cell>
        </row>
        <row r="338">
          <cell r="A338">
            <v>7777</v>
          </cell>
          <cell r="B338" t="str">
            <v>ADMIN SUPPT</v>
          </cell>
          <cell r="C338">
            <v>0.25</v>
          </cell>
        </row>
        <row r="339">
          <cell r="A339">
            <v>7783</v>
          </cell>
          <cell r="B339" t="str">
            <v>ADMIN SUPPT</v>
          </cell>
          <cell r="C339">
            <v>0.75312500000000004</v>
          </cell>
        </row>
        <row r="340">
          <cell r="A340">
            <v>7790</v>
          </cell>
          <cell r="B340" t="str">
            <v>ADMIN SUPPT</v>
          </cell>
          <cell r="C340">
            <v>1</v>
          </cell>
        </row>
        <row r="341">
          <cell r="A341">
            <v>7783</v>
          </cell>
          <cell r="B341" t="str">
            <v>ADMIN SUPPT</v>
          </cell>
          <cell r="C341">
            <v>1</v>
          </cell>
        </row>
        <row r="342">
          <cell r="A342">
            <v>7766</v>
          </cell>
          <cell r="B342" t="str">
            <v>ADMIN SUPPT</v>
          </cell>
          <cell r="C342">
            <v>0.1</v>
          </cell>
        </row>
        <row r="343">
          <cell r="A343">
            <v>7771</v>
          </cell>
          <cell r="B343" t="str">
            <v>ADMIN SUPPT</v>
          </cell>
          <cell r="C343">
            <v>0.05</v>
          </cell>
        </row>
        <row r="344">
          <cell r="A344">
            <v>7781</v>
          </cell>
          <cell r="B344" t="str">
            <v>ADMIN SUPPT</v>
          </cell>
          <cell r="C344">
            <v>1</v>
          </cell>
        </row>
        <row r="345">
          <cell r="A345">
            <v>7782</v>
          </cell>
          <cell r="B345" t="str">
            <v>ADMIN SUPPT</v>
          </cell>
          <cell r="C345">
            <v>0.74687499999999996</v>
          </cell>
        </row>
        <row r="346">
          <cell r="A346">
            <v>7784</v>
          </cell>
          <cell r="B346" t="str">
            <v>ADMIN SUPPT</v>
          </cell>
          <cell r="C346">
            <v>1</v>
          </cell>
        </row>
        <row r="347">
          <cell r="A347">
            <v>7790</v>
          </cell>
          <cell r="B347" t="str">
            <v>ADMIN SUPPT</v>
          </cell>
          <cell r="C347">
            <v>0.1</v>
          </cell>
        </row>
        <row r="348">
          <cell r="A348">
            <v>7777</v>
          </cell>
          <cell r="B348" t="str">
            <v>ADMIN SUPPT</v>
          </cell>
          <cell r="C348">
            <v>0.1028125</v>
          </cell>
        </row>
        <row r="349">
          <cell r="A349">
            <v>7781</v>
          </cell>
          <cell r="B349" t="str">
            <v>ADMIN SUPPT</v>
          </cell>
          <cell r="C349">
            <v>0.1028125</v>
          </cell>
        </row>
        <row r="350">
          <cell r="A350">
            <v>7783</v>
          </cell>
          <cell r="B350" t="str">
            <v>ADMIN SUPPT</v>
          </cell>
          <cell r="C350">
            <v>1.0365625000000001</v>
          </cell>
        </row>
        <row r="351">
          <cell r="A351">
            <v>7768</v>
          </cell>
          <cell r="B351" t="str">
            <v>ADMIN SUPPT</v>
          </cell>
          <cell r="C351">
            <v>0.8</v>
          </cell>
        </row>
        <row r="352">
          <cell r="A352">
            <v>7785</v>
          </cell>
          <cell r="B352" t="str">
            <v>ADMIN SUPPT</v>
          </cell>
          <cell r="C352">
            <v>0.90937500000000004</v>
          </cell>
        </row>
        <row r="353">
          <cell r="A353">
            <v>7730</v>
          </cell>
          <cell r="B353" t="str">
            <v>ADMIN SUPPT</v>
          </cell>
          <cell r="C353">
            <v>1.425</v>
          </cell>
        </row>
        <row r="354">
          <cell r="A354">
            <v>7732</v>
          </cell>
          <cell r="B354" t="str">
            <v>ADMIN SUPPT</v>
          </cell>
          <cell r="C354">
            <v>0.57499999999999996</v>
          </cell>
        </row>
        <row r="355">
          <cell r="A355">
            <v>7785</v>
          </cell>
          <cell r="B355" t="str">
            <v>ADMIN SUPPT</v>
          </cell>
          <cell r="C355">
            <v>0.22812499999999999</v>
          </cell>
        </row>
        <row r="356">
          <cell r="A356">
            <v>7730</v>
          </cell>
          <cell r="B356" t="str">
            <v>ADMIN SUPPT</v>
          </cell>
          <cell r="C356">
            <v>1</v>
          </cell>
        </row>
        <row r="357">
          <cell r="A357">
            <v>7768</v>
          </cell>
          <cell r="B357" t="str">
            <v>ADMIN SUPPT</v>
          </cell>
          <cell r="C357">
            <v>2.5000000000000001E-2</v>
          </cell>
        </row>
        <row r="358">
          <cell r="A358">
            <v>7774</v>
          </cell>
          <cell r="B358" t="str">
            <v>ADMIN SUPPT</v>
          </cell>
          <cell r="C358">
            <v>2.5000000000000001E-2</v>
          </cell>
        </row>
        <row r="359">
          <cell r="A359">
            <v>7777</v>
          </cell>
          <cell r="B359" t="str">
            <v>ADMIN SUPPT</v>
          </cell>
          <cell r="C359">
            <v>2.5000000000000001E-2</v>
          </cell>
        </row>
        <row r="360">
          <cell r="A360">
            <v>7778</v>
          </cell>
          <cell r="B360" t="str">
            <v>ADMIN SUPPT</v>
          </cell>
          <cell r="C360">
            <v>1.2500000000000001E-2</v>
          </cell>
        </row>
        <row r="361">
          <cell r="A361">
            <v>7779</v>
          </cell>
          <cell r="B361" t="str">
            <v>ADMIN SUPPT</v>
          </cell>
          <cell r="C361">
            <v>0.05</v>
          </cell>
        </row>
        <row r="362">
          <cell r="A362">
            <v>7783</v>
          </cell>
          <cell r="B362" t="str">
            <v>ADMIN SUPPT</v>
          </cell>
          <cell r="C362">
            <v>0.78749999999999998</v>
          </cell>
        </row>
        <row r="363">
          <cell r="A363">
            <v>7787</v>
          </cell>
          <cell r="B363" t="str">
            <v>ADMIN SUPPT</v>
          </cell>
          <cell r="C363">
            <v>3.7499999999999999E-2</v>
          </cell>
        </row>
        <row r="364">
          <cell r="A364">
            <v>7791</v>
          </cell>
          <cell r="B364" t="str">
            <v>ADMIN SUPPT</v>
          </cell>
          <cell r="C364">
            <v>1.8749999999999999E-2</v>
          </cell>
        </row>
        <row r="365">
          <cell r="A365">
            <v>7795</v>
          </cell>
          <cell r="B365" t="str">
            <v>ADMIN SUPPT</v>
          </cell>
          <cell r="C365">
            <v>1.8749999999999999E-2</v>
          </cell>
        </row>
        <row r="366">
          <cell r="A366">
            <v>7777</v>
          </cell>
          <cell r="B366" t="str">
            <v>ADMIN SUPPT</v>
          </cell>
          <cell r="C366">
            <v>6.25E-2</v>
          </cell>
        </row>
        <row r="367">
          <cell r="A367">
            <v>7780</v>
          </cell>
          <cell r="B367" t="str">
            <v>ADMIN SUPPT</v>
          </cell>
          <cell r="C367">
            <v>0.98750000000000004</v>
          </cell>
        </row>
        <row r="368">
          <cell r="A368">
            <v>7781</v>
          </cell>
          <cell r="B368" t="str">
            <v>ADMIN SUPPT</v>
          </cell>
          <cell r="C368">
            <v>1.0109375</v>
          </cell>
        </row>
        <row r="369">
          <cell r="A369">
            <v>7783</v>
          </cell>
          <cell r="B369" t="str">
            <v>ADMIN SUPPT</v>
          </cell>
          <cell r="C369">
            <v>1.875</v>
          </cell>
        </row>
        <row r="370">
          <cell r="A370">
            <v>7785</v>
          </cell>
          <cell r="B370" t="str">
            <v>ADMIN SUPPT</v>
          </cell>
          <cell r="C370">
            <v>1</v>
          </cell>
        </row>
        <row r="371">
          <cell r="A371">
            <v>7787</v>
          </cell>
          <cell r="B371" t="str">
            <v>ADMIN SUPPT</v>
          </cell>
          <cell r="C371">
            <v>6.25E-2</v>
          </cell>
        </row>
        <row r="372">
          <cell r="A372">
            <v>7780</v>
          </cell>
          <cell r="B372" t="str">
            <v>ADMIN SUPPT</v>
          </cell>
          <cell r="C372">
            <v>1.828125</v>
          </cell>
        </row>
        <row r="373">
          <cell r="A373">
            <v>7784</v>
          </cell>
          <cell r="B373" t="str">
            <v>ADMIN SUPPT</v>
          </cell>
          <cell r="C373">
            <v>0.9375</v>
          </cell>
        </row>
        <row r="374">
          <cell r="A374">
            <v>7785</v>
          </cell>
          <cell r="B374" t="str">
            <v>ADMIN SUPPT</v>
          </cell>
          <cell r="C374">
            <v>0.87812500000000004</v>
          </cell>
        </row>
        <row r="375">
          <cell r="A375">
            <v>7794</v>
          </cell>
          <cell r="B375" t="str">
            <v>ADMIN SUPPT</v>
          </cell>
          <cell r="C375">
            <v>0.125</v>
          </cell>
        </row>
        <row r="376">
          <cell r="A376">
            <v>7799</v>
          </cell>
          <cell r="B376" t="str">
            <v>ADMIN SUPPT</v>
          </cell>
          <cell r="C376">
            <v>6.25E-2</v>
          </cell>
        </row>
        <row r="377">
          <cell r="A377">
            <v>7774</v>
          </cell>
          <cell r="B377" t="str">
            <v>ADMIN SUPPT</v>
          </cell>
          <cell r="C377">
            <v>0.99843749999999998</v>
          </cell>
        </row>
        <row r="378">
          <cell r="A378">
            <v>7777</v>
          </cell>
          <cell r="B378" t="str">
            <v>ADMIN SUPPT</v>
          </cell>
          <cell r="C378">
            <v>3.7499999999999999E-2</v>
          </cell>
        </row>
        <row r="379">
          <cell r="A379">
            <v>7779</v>
          </cell>
          <cell r="B379" t="str">
            <v>ADMIN SUPPT</v>
          </cell>
          <cell r="C379">
            <v>1.0578125</v>
          </cell>
        </row>
        <row r="380">
          <cell r="A380">
            <v>7783</v>
          </cell>
          <cell r="B380" t="str">
            <v>ADMIN SUPPT</v>
          </cell>
          <cell r="C380">
            <v>0.921875</v>
          </cell>
        </row>
        <row r="381">
          <cell r="A381">
            <v>7787</v>
          </cell>
          <cell r="B381" t="str">
            <v>ADMIN SUPPT</v>
          </cell>
          <cell r="C381">
            <v>1.04375</v>
          </cell>
        </row>
        <row r="382">
          <cell r="A382">
            <v>7795</v>
          </cell>
          <cell r="B382" t="str">
            <v>ADMIN SUPPT</v>
          </cell>
          <cell r="C382">
            <v>6.2500000000000003E-3</v>
          </cell>
        </row>
        <row r="383">
          <cell r="A383">
            <v>7734</v>
          </cell>
          <cell r="B383" t="str">
            <v>ADMIN SUPPT</v>
          </cell>
          <cell r="C383">
            <v>4</v>
          </cell>
        </row>
        <row r="384">
          <cell r="A384">
            <v>7765</v>
          </cell>
          <cell r="B384" t="str">
            <v>ADMIN SUPPT</v>
          </cell>
          <cell r="C384">
            <v>1.8062499999999999</v>
          </cell>
        </row>
        <row r="385">
          <cell r="A385">
            <v>7766</v>
          </cell>
          <cell r="B385" t="str">
            <v>ADMIN SUPPT</v>
          </cell>
          <cell r="C385">
            <v>1.5093749999999999</v>
          </cell>
        </row>
        <row r="386">
          <cell r="A386">
            <v>7767</v>
          </cell>
          <cell r="B386" t="str">
            <v>ADMIN SUPPT</v>
          </cell>
          <cell r="C386">
            <v>0.9921875</v>
          </cell>
        </row>
        <row r="387">
          <cell r="A387">
            <v>7771</v>
          </cell>
          <cell r="B387" t="str">
            <v>ADMIN SUPPT</v>
          </cell>
          <cell r="C387">
            <v>0.25</v>
          </cell>
        </row>
        <row r="388">
          <cell r="A388">
            <v>7777</v>
          </cell>
          <cell r="B388" t="str">
            <v>ADMIN SUPPT</v>
          </cell>
          <cell r="C388">
            <v>0.21875</v>
          </cell>
        </row>
        <row r="389">
          <cell r="A389">
            <v>7779</v>
          </cell>
          <cell r="B389" t="str">
            <v>ADMIN SUPPT</v>
          </cell>
          <cell r="C389">
            <v>2.0078125</v>
          </cell>
        </row>
        <row r="390">
          <cell r="A390">
            <v>7780</v>
          </cell>
          <cell r="B390" t="str">
            <v>ADMIN SUPPT</v>
          </cell>
          <cell r="C390">
            <v>4.0062499999999996</v>
          </cell>
        </row>
        <row r="391">
          <cell r="A391">
            <v>7781</v>
          </cell>
          <cell r="B391" t="str">
            <v>ADMIN SUPPT</v>
          </cell>
          <cell r="C391">
            <v>2.8624999999999998</v>
          </cell>
        </row>
        <row r="392">
          <cell r="A392">
            <v>7782</v>
          </cell>
          <cell r="B392" t="str">
            <v>ADMIN SUPPT</v>
          </cell>
          <cell r="C392">
            <v>2.0140625000000001</v>
          </cell>
        </row>
        <row r="393">
          <cell r="A393">
            <v>7783</v>
          </cell>
          <cell r="B393" t="str">
            <v>ADMIN SUPPT</v>
          </cell>
          <cell r="C393">
            <v>6.9234375000000004</v>
          </cell>
        </row>
        <row r="394">
          <cell r="A394">
            <v>7784</v>
          </cell>
          <cell r="B394" t="str">
            <v>ADMIN SUPPT</v>
          </cell>
          <cell r="C394">
            <v>0.94062500000000004</v>
          </cell>
        </row>
        <row r="395">
          <cell r="A395">
            <v>7785</v>
          </cell>
          <cell r="B395" t="str">
            <v>ADMIN SUPPT</v>
          </cell>
          <cell r="C395">
            <v>2.4900624999999996</v>
          </cell>
        </row>
        <row r="396">
          <cell r="A396">
            <v>7787</v>
          </cell>
          <cell r="B396" t="str">
            <v>ADMIN SUPPT</v>
          </cell>
          <cell r="C396">
            <v>0.88749999999999996</v>
          </cell>
        </row>
        <row r="397">
          <cell r="A397">
            <v>7790</v>
          </cell>
          <cell r="B397" t="str">
            <v>ADMIN SUPPT</v>
          </cell>
          <cell r="C397">
            <v>1.9906250000000001</v>
          </cell>
        </row>
        <row r="398">
          <cell r="A398">
            <v>7791</v>
          </cell>
          <cell r="B398" t="str">
            <v>ADMIN SUPPT</v>
          </cell>
          <cell r="C398">
            <v>1.4546874999999999</v>
          </cell>
        </row>
        <row r="399">
          <cell r="A399">
            <v>7794</v>
          </cell>
          <cell r="B399" t="str">
            <v>ADMIN SUPPT</v>
          </cell>
          <cell r="C399">
            <v>0.25</v>
          </cell>
        </row>
        <row r="400">
          <cell r="A400">
            <v>7795</v>
          </cell>
          <cell r="B400" t="str">
            <v>ADMIN SUPPT</v>
          </cell>
          <cell r="C400">
            <v>0.80406250000000001</v>
          </cell>
        </row>
        <row r="401">
          <cell r="A401">
            <v>7796</v>
          </cell>
          <cell r="B401" t="str">
            <v>ADMIN SUPPT</v>
          </cell>
          <cell r="C401">
            <v>0.41718749999999999</v>
          </cell>
        </row>
        <row r="402">
          <cell r="A402">
            <v>7799</v>
          </cell>
          <cell r="B402" t="str">
            <v>ADMIN SUPPT</v>
          </cell>
          <cell r="C402">
            <v>0.125</v>
          </cell>
        </row>
        <row r="403">
          <cell r="A403">
            <v>7733</v>
          </cell>
          <cell r="B403" t="str">
            <v>ADMIN SUPPT</v>
          </cell>
          <cell r="C403">
            <v>1</v>
          </cell>
        </row>
        <row r="404">
          <cell r="A404">
            <v>7767</v>
          </cell>
          <cell r="B404" t="str">
            <v>ADMIN SUPPT</v>
          </cell>
          <cell r="C404">
            <v>0.70781249999999996</v>
          </cell>
        </row>
        <row r="405">
          <cell r="A405">
            <v>7768</v>
          </cell>
          <cell r="B405" t="str">
            <v>ADMIN SUPPT</v>
          </cell>
          <cell r="C405">
            <v>0.83437499999999998</v>
          </cell>
        </row>
        <row r="406">
          <cell r="A406">
            <v>7769</v>
          </cell>
          <cell r="B406" t="str">
            <v>ADMIN SUPPT</v>
          </cell>
          <cell r="C406">
            <v>0.3203125</v>
          </cell>
        </row>
        <row r="407">
          <cell r="A407">
            <v>7777</v>
          </cell>
          <cell r="B407" t="str">
            <v>ADMIN SUPPT</v>
          </cell>
          <cell r="C407">
            <v>0.1875</v>
          </cell>
        </row>
        <row r="408">
          <cell r="A408">
            <v>7778</v>
          </cell>
          <cell r="B408" t="str">
            <v>ADMIN SUPPT</v>
          </cell>
          <cell r="C408">
            <v>0.2421875</v>
          </cell>
        </row>
        <row r="409">
          <cell r="A409">
            <v>7783</v>
          </cell>
          <cell r="B409" t="str">
            <v>ADMIN SUPPT</v>
          </cell>
          <cell r="C409">
            <v>0.81562500000000004</v>
          </cell>
        </row>
        <row r="410">
          <cell r="A410">
            <v>7730</v>
          </cell>
          <cell r="B410" t="str">
            <v>MED SUPPT</v>
          </cell>
          <cell r="C410">
            <v>1.5625E-2</v>
          </cell>
        </row>
        <row r="411">
          <cell r="A411">
            <v>7774</v>
          </cell>
          <cell r="B411" t="str">
            <v>MED SUPPT</v>
          </cell>
          <cell r="C411">
            <v>1.3265625000000001</v>
          </cell>
        </row>
        <row r="412">
          <cell r="A412">
            <v>7778</v>
          </cell>
          <cell r="B412" t="str">
            <v>MED SUPPT</v>
          </cell>
          <cell r="C412">
            <v>0.890625</v>
          </cell>
        </row>
        <row r="413">
          <cell r="A413">
            <v>7780</v>
          </cell>
          <cell r="B413" t="str">
            <v>MED SUPPT</v>
          </cell>
          <cell r="C413">
            <v>7.4959375000000001</v>
          </cell>
        </row>
        <row r="414">
          <cell r="A414">
            <v>7781</v>
          </cell>
          <cell r="B414" t="str">
            <v>MED SUPPT</v>
          </cell>
          <cell r="C414">
            <v>0.37187500000000001</v>
          </cell>
        </row>
        <row r="415">
          <cell r="A415">
            <v>7783</v>
          </cell>
          <cell r="B415" t="str">
            <v>MED SUPPT</v>
          </cell>
          <cell r="C415">
            <v>9.1086874999999985</v>
          </cell>
        </row>
        <row r="416">
          <cell r="A416">
            <v>7785</v>
          </cell>
          <cell r="B416" t="str">
            <v>MED SUPPT</v>
          </cell>
          <cell r="C416">
            <v>1.8625</v>
          </cell>
        </row>
        <row r="417">
          <cell r="A417">
            <v>7791</v>
          </cell>
          <cell r="B417" t="str">
            <v>MED SUPPT</v>
          </cell>
          <cell r="C417">
            <v>7.8125E-2</v>
          </cell>
        </row>
        <row r="418">
          <cell r="A418">
            <v>7780</v>
          </cell>
          <cell r="B418" t="str">
            <v>MED SUPPT</v>
          </cell>
          <cell r="C418">
            <v>0.49843749999999998</v>
          </cell>
        </row>
        <row r="419">
          <cell r="A419">
            <v>7783</v>
          </cell>
          <cell r="B419" t="str">
            <v>MED SUPPT</v>
          </cell>
          <cell r="C419">
            <v>0.91562500000000002</v>
          </cell>
        </row>
        <row r="420">
          <cell r="A420">
            <v>7766</v>
          </cell>
          <cell r="B420" t="str">
            <v>ADMIN SUPPT</v>
          </cell>
          <cell r="C420">
            <v>0.05</v>
          </cell>
        </row>
        <row r="421">
          <cell r="A421">
            <v>7771</v>
          </cell>
          <cell r="B421" t="str">
            <v>ADMIN SUPPT</v>
          </cell>
          <cell r="C421">
            <v>0.1</v>
          </cell>
        </row>
        <row r="422">
          <cell r="A422">
            <v>7773</v>
          </cell>
          <cell r="B422" t="str">
            <v>ADMIN SUPPT</v>
          </cell>
          <cell r="C422">
            <v>0.15</v>
          </cell>
        </row>
        <row r="423">
          <cell r="A423">
            <v>7775</v>
          </cell>
          <cell r="B423" t="str">
            <v>ADMIN SUPPT</v>
          </cell>
          <cell r="C423">
            <v>0.05</v>
          </cell>
        </row>
        <row r="424">
          <cell r="A424">
            <v>7777</v>
          </cell>
          <cell r="B424" t="str">
            <v>ADMIN SUPPT</v>
          </cell>
          <cell r="C424">
            <v>0.05</v>
          </cell>
        </row>
        <row r="425">
          <cell r="A425">
            <v>7780</v>
          </cell>
          <cell r="B425" t="str">
            <v>ADMIN SUPPT</v>
          </cell>
          <cell r="C425">
            <v>0.125</v>
          </cell>
        </row>
        <row r="426">
          <cell r="A426">
            <v>7782</v>
          </cell>
          <cell r="B426" t="str">
            <v>ADMIN SUPPT</v>
          </cell>
          <cell r="C426">
            <v>0.4</v>
          </cell>
        </row>
        <row r="427">
          <cell r="A427">
            <v>7783</v>
          </cell>
          <cell r="B427" t="str">
            <v>ADMIN SUPPT</v>
          </cell>
          <cell r="C427">
            <v>0.85</v>
          </cell>
        </row>
        <row r="428">
          <cell r="A428">
            <v>7787</v>
          </cell>
          <cell r="B428" t="str">
            <v>ADMIN SUPPT</v>
          </cell>
          <cell r="C428">
            <v>0.05</v>
          </cell>
        </row>
        <row r="429">
          <cell r="A429">
            <v>7790</v>
          </cell>
          <cell r="B429" t="str">
            <v>ADMIN SUPPT</v>
          </cell>
          <cell r="C429">
            <v>0.125</v>
          </cell>
        </row>
        <row r="430">
          <cell r="A430">
            <v>7795</v>
          </cell>
          <cell r="B430" t="str">
            <v>ADMIN SUPPT</v>
          </cell>
          <cell r="C430">
            <v>0.05</v>
          </cell>
        </row>
        <row r="431">
          <cell r="A431">
            <v>7733</v>
          </cell>
          <cell r="B431" t="str">
            <v>ADMIN SUPPT</v>
          </cell>
          <cell r="C431">
            <v>1</v>
          </cell>
        </row>
        <row r="432">
          <cell r="A432">
            <v>7781</v>
          </cell>
          <cell r="B432" t="str">
            <v>ADMIN SUPPT</v>
          </cell>
          <cell r="C432">
            <v>2.1703125000000001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AULTS"/>
      <sheetName val="Enumclaw"/>
      <sheetName val="Consolidated Reports"/>
      <sheetName val="Sheet1"/>
      <sheetName val="Hyperion Transfer 5.5"/>
      <sheetName val="Other Statistics"/>
    </sheetNames>
    <sheetDataSet>
      <sheetData sheetId="0">
        <row r="16">
          <cell r="B1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06 worksheet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Sheet2"/>
      <sheetName val="RebateUpdate"/>
      <sheetName val="Corrections"/>
      <sheetName val="fac"/>
      <sheetName val="factable"/>
      <sheetName val="SummaryFundTransfer"/>
      <sheetName val="SummaryByFacility"/>
      <sheetName val="SummaryByArea"/>
      <sheetName val="EFT"/>
      <sheetName val="Sheet1"/>
      <sheetName val="Sheet3"/>
      <sheetName val="Opp Pivot"/>
      <sheetName val="Opportunities"/>
      <sheetName val="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Account</v>
          </cell>
          <cell r="B1" t="str">
            <v>FacilityName</v>
          </cell>
          <cell r="C1" t="str">
            <v>MBO</v>
          </cell>
          <cell r="D1" t="str">
            <v>ROC</v>
          </cell>
          <cell r="E1" t="str">
            <v>AltName1</v>
          </cell>
          <cell r="F1" t="str">
            <v>AltName2</v>
          </cell>
          <cell r="G1" t="str">
            <v>City</v>
          </cell>
          <cell r="H1" t="str">
            <v>State</v>
          </cell>
          <cell r="I1" t="str">
            <v>Zip</v>
          </cell>
          <cell r="J1" t="str">
            <v>CityStZip</v>
          </cell>
          <cell r="K1" t="str">
            <v>Addr1</v>
          </cell>
          <cell r="L1" t="str">
            <v>Addr2</v>
          </cell>
          <cell r="M1" t="str">
            <v>Phone</v>
          </cell>
          <cell r="N1" t="str">
            <v>Relationship</v>
          </cell>
          <cell r="O1" t="str">
            <v>ClassOfTrade</v>
          </cell>
          <cell r="P1" t="str">
            <v>BusinessType</v>
          </cell>
          <cell r="Q1" t="str">
            <v>DEA</v>
          </cell>
          <cell r="R1" t="str">
            <v>HIN</v>
          </cell>
          <cell r="S1" t="str">
            <v>GLN</v>
          </cell>
          <cell r="T1" t="str">
            <v>MemberSince</v>
          </cell>
          <cell r="U1" t="str">
            <v>RXEffective</v>
          </cell>
          <cell r="V1" t="str">
            <v>RebateRouting</v>
          </cell>
          <cell r="W1" t="str">
            <v>RebateAccount</v>
          </cell>
          <cell r="X1" t="str">
            <v>FacilityGroup</v>
          </cell>
          <cell r="Y1" t="str">
            <v>Status</v>
          </cell>
          <cell r="Z1" t="str">
            <v>ExpireDate</v>
          </cell>
          <cell r="AA1" t="str">
            <v>fkFacilityID</v>
          </cell>
        </row>
        <row r="2">
          <cell r="A2">
            <v>116</v>
          </cell>
          <cell r="B2" t="str">
            <v>Franciscan Oaks Health Care / Denville / NJ</v>
          </cell>
          <cell r="D2">
            <v>1</v>
          </cell>
          <cell r="E2" t="str">
            <v>Franciscan Oaks Health Care (116)</v>
          </cell>
          <cell r="F2" t="str">
            <v>Franciscan Oaks Health Care</v>
          </cell>
          <cell r="G2" t="str">
            <v>Denville</v>
          </cell>
          <cell r="H2" t="str">
            <v>NJ</v>
          </cell>
          <cell r="I2" t="str">
            <v>07834</v>
          </cell>
          <cell r="J2" t="str">
            <v>Denville,  NJ  07834</v>
          </cell>
          <cell r="K2" t="str">
            <v>21 Pocono Road</v>
          </cell>
          <cell r="N2" t="str">
            <v>System Member Of</v>
          </cell>
          <cell r="O2" t="str">
            <v>Long Term Care</v>
          </cell>
          <cell r="P2" t="str">
            <v>Nursing Home w/o Pharmacy</v>
          </cell>
          <cell r="Q2" t="str">
            <v>1100002800284</v>
          </cell>
          <cell r="S2" t="str">
            <v>A3DA53800</v>
          </cell>
          <cell r="T2">
            <v>39539</v>
          </cell>
          <cell r="V2">
            <v>43000261</v>
          </cell>
          <cell r="W2">
            <v>1039441</v>
          </cell>
          <cell r="Y2" t="str">
            <v>Active</v>
          </cell>
          <cell r="Z2">
            <v>2958465</v>
          </cell>
          <cell r="AA2">
            <v>116</v>
          </cell>
        </row>
        <row r="3">
          <cell r="A3">
            <v>279</v>
          </cell>
          <cell r="B3" t="str">
            <v>Saint Clare's Hospital/Boonton / Boonton Township / NJ</v>
          </cell>
          <cell r="D3">
            <v>1</v>
          </cell>
          <cell r="E3" t="str">
            <v>Saint Clare's Hospital/Boonton (279)</v>
          </cell>
          <cell r="F3" t="str">
            <v>Saint Clare's Hospital/Boonton</v>
          </cell>
          <cell r="G3" t="str">
            <v>Boonton Township</v>
          </cell>
          <cell r="H3" t="str">
            <v>NJ</v>
          </cell>
          <cell r="I3" t="str">
            <v>07005-8701</v>
          </cell>
          <cell r="J3" t="str">
            <v>Boonton Township,  NJ  07005-8701</v>
          </cell>
          <cell r="K3" t="str">
            <v>130 Powerville Road</v>
          </cell>
          <cell r="N3" t="str">
            <v>System Member Of</v>
          </cell>
          <cell r="O3" t="str">
            <v>Acute Care</v>
          </cell>
          <cell r="P3" t="str">
            <v>Hospital</v>
          </cell>
          <cell r="Q3" t="str">
            <v>1100004659590</v>
          </cell>
          <cell r="R3" t="str">
            <v>BN4572295</v>
          </cell>
          <cell r="S3" t="str">
            <v>52CNMYQ00</v>
          </cell>
          <cell r="T3">
            <v>39539</v>
          </cell>
          <cell r="U3">
            <v>35977</v>
          </cell>
          <cell r="V3">
            <v>43000261</v>
          </cell>
          <cell r="W3">
            <v>1039134</v>
          </cell>
          <cell r="Y3" t="str">
            <v>Active</v>
          </cell>
          <cell r="Z3">
            <v>2958465</v>
          </cell>
          <cell r="AA3">
            <v>279</v>
          </cell>
        </row>
        <row r="4">
          <cell r="A4">
            <v>280</v>
          </cell>
          <cell r="B4" t="str">
            <v>Saint Clare's Hospital/Denville / Denville / NJ</v>
          </cell>
          <cell r="D4">
            <v>1</v>
          </cell>
          <cell r="E4" t="str">
            <v>Saint Clare's Hospital/Denville (280)</v>
          </cell>
          <cell r="F4" t="str">
            <v>Saint Clare's Hospital/Denville</v>
          </cell>
          <cell r="G4" t="str">
            <v>Denville</v>
          </cell>
          <cell r="H4" t="str">
            <v>NJ</v>
          </cell>
          <cell r="I4" t="str">
            <v>07834-2995</v>
          </cell>
          <cell r="J4" t="str">
            <v>Denville,  NJ  07834-2995</v>
          </cell>
          <cell r="K4" t="str">
            <v>25 Pocono Road</v>
          </cell>
          <cell r="N4" t="str">
            <v>System Member Of</v>
          </cell>
          <cell r="O4" t="str">
            <v>Acute Care</v>
          </cell>
          <cell r="P4" t="str">
            <v>Hospital</v>
          </cell>
          <cell r="Q4" t="str">
            <v>1100005288423</v>
          </cell>
          <cell r="R4" t="str">
            <v>BN4671788</v>
          </cell>
          <cell r="S4" t="str">
            <v>220200600</v>
          </cell>
          <cell r="T4">
            <v>39539</v>
          </cell>
          <cell r="U4">
            <v>35977</v>
          </cell>
          <cell r="V4">
            <v>43000261</v>
          </cell>
          <cell r="W4">
            <v>1039134</v>
          </cell>
          <cell r="Y4" t="str">
            <v>Active</v>
          </cell>
          <cell r="Z4">
            <v>2958465</v>
          </cell>
          <cell r="AA4">
            <v>280</v>
          </cell>
        </row>
        <row r="5">
          <cell r="A5">
            <v>281</v>
          </cell>
          <cell r="B5" t="str">
            <v>Saint Clare's Hospital / Dover / NJ</v>
          </cell>
          <cell r="D5">
            <v>1</v>
          </cell>
          <cell r="E5" t="str">
            <v>Saint Clare's Hospital (281)</v>
          </cell>
          <cell r="F5" t="str">
            <v>Saint Clare's Hospital</v>
          </cell>
          <cell r="G5" t="str">
            <v>Dover</v>
          </cell>
          <cell r="H5" t="str">
            <v>NJ</v>
          </cell>
          <cell r="I5" t="str">
            <v>07801</v>
          </cell>
          <cell r="J5" t="str">
            <v>Dover,  NJ  07801</v>
          </cell>
          <cell r="K5" t="str">
            <v>400 W Blackwell Street</v>
          </cell>
          <cell r="N5" t="str">
            <v>System Member Of</v>
          </cell>
          <cell r="O5" t="str">
            <v>Acute Care</v>
          </cell>
          <cell r="P5" t="str">
            <v>Hospital</v>
          </cell>
          <cell r="Q5" t="str">
            <v>1100004891501</v>
          </cell>
          <cell r="R5" t="str">
            <v>BN4516247</v>
          </cell>
          <cell r="S5" t="str">
            <v>220210700</v>
          </cell>
          <cell r="T5">
            <v>39539</v>
          </cell>
          <cell r="U5">
            <v>35977</v>
          </cell>
          <cell r="V5">
            <v>43000261</v>
          </cell>
          <cell r="W5">
            <v>1039134</v>
          </cell>
          <cell r="Y5" t="str">
            <v>Active</v>
          </cell>
          <cell r="Z5">
            <v>2958465</v>
          </cell>
          <cell r="AA5">
            <v>281</v>
          </cell>
        </row>
        <row r="6">
          <cell r="A6">
            <v>283</v>
          </cell>
          <cell r="B6" t="str">
            <v>Saint Clare's Hospital/Sussex / Sussex / NJ</v>
          </cell>
          <cell r="D6">
            <v>1</v>
          </cell>
          <cell r="E6" t="str">
            <v>Saint Clare's Hospital/Sussex (283)</v>
          </cell>
          <cell r="F6" t="str">
            <v>Saint Clare's Hospital/Sussex</v>
          </cell>
          <cell r="G6" t="str">
            <v>Sussex</v>
          </cell>
          <cell r="H6" t="str">
            <v>NJ</v>
          </cell>
          <cell r="I6" t="str">
            <v>07461-2598</v>
          </cell>
          <cell r="J6" t="str">
            <v>Sussex,  NJ  07461-2598</v>
          </cell>
          <cell r="K6" t="str">
            <v>20 Walnut Street</v>
          </cell>
          <cell r="N6" t="str">
            <v>System Member Of</v>
          </cell>
          <cell r="O6" t="str">
            <v>Acute Care</v>
          </cell>
          <cell r="P6" t="str">
            <v>Hospital</v>
          </cell>
          <cell r="Q6" t="str">
            <v>1100003531507</v>
          </cell>
          <cell r="R6" t="str">
            <v>BN4515966</v>
          </cell>
          <cell r="S6" t="str">
            <v>221200700</v>
          </cell>
          <cell r="T6">
            <v>39539</v>
          </cell>
          <cell r="U6">
            <v>35977</v>
          </cell>
          <cell r="V6">
            <v>43000261</v>
          </cell>
          <cell r="W6">
            <v>1039134</v>
          </cell>
          <cell r="Y6" t="str">
            <v>Active</v>
          </cell>
          <cell r="Z6">
            <v>2958465</v>
          </cell>
          <cell r="AA6">
            <v>283</v>
          </cell>
        </row>
        <row r="7">
          <cell r="A7">
            <v>302</v>
          </cell>
          <cell r="B7" t="str">
            <v>Our Lady of Sorrows Convent / Denville / NJ</v>
          </cell>
          <cell r="D7">
            <v>1</v>
          </cell>
          <cell r="E7" t="str">
            <v>Our Lady of Sorrows Convent (302)</v>
          </cell>
          <cell r="F7" t="str">
            <v>Our Lady of Sorrows Convent</v>
          </cell>
          <cell r="G7" t="str">
            <v>Denville</v>
          </cell>
          <cell r="H7" t="str">
            <v>NJ</v>
          </cell>
          <cell r="I7" t="str">
            <v>07834</v>
          </cell>
          <cell r="J7" t="str">
            <v>Denville,  NJ  07834</v>
          </cell>
          <cell r="K7" t="str">
            <v>9 Pocono Road</v>
          </cell>
          <cell r="N7" t="str">
            <v>System Member Of</v>
          </cell>
          <cell r="O7" t="str">
            <v>Other</v>
          </cell>
          <cell r="P7" t="str">
            <v>Convent</v>
          </cell>
          <cell r="Q7" t="str">
            <v>1100005370234</v>
          </cell>
          <cell r="S7" t="str">
            <v>K69BV8D00</v>
          </cell>
          <cell r="T7">
            <v>39539</v>
          </cell>
          <cell r="V7">
            <v>0</v>
          </cell>
          <cell r="W7">
            <v>0</v>
          </cell>
          <cell r="Y7" t="str">
            <v>Active</v>
          </cell>
          <cell r="Z7">
            <v>2958465</v>
          </cell>
          <cell r="AA7">
            <v>302</v>
          </cell>
        </row>
        <row r="8">
          <cell r="A8">
            <v>435</v>
          </cell>
          <cell r="B8" t="str">
            <v>St. Francis Health Resort / Denville / NJ</v>
          </cell>
          <cell r="D8">
            <v>1</v>
          </cell>
          <cell r="E8" t="str">
            <v>St. Francis Health Resort (435)</v>
          </cell>
          <cell r="F8" t="str">
            <v>St. Francis Health Resort</v>
          </cell>
          <cell r="G8" t="str">
            <v>Denville</v>
          </cell>
          <cell r="H8" t="str">
            <v>NJ</v>
          </cell>
          <cell r="I8" t="str">
            <v>07834</v>
          </cell>
          <cell r="J8" t="str">
            <v>Denville,  NJ  07834</v>
          </cell>
          <cell r="K8" t="str">
            <v>122-156 Diamond Spring Road</v>
          </cell>
          <cell r="N8" t="str">
            <v>System Member Of</v>
          </cell>
          <cell r="O8" t="str">
            <v>Long Term Care</v>
          </cell>
          <cell r="P8" t="str">
            <v>Nursing Home w/o Pharmacy</v>
          </cell>
          <cell r="Q8" t="str">
            <v>1100004781529</v>
          </cell>
          <cell r="S8" t="str">
            <v>4623C0R00</v>
          </cell>
          <cell r="T8">
            <v>39539</v>
          </cell>
          <cell r="V8">
            <v>43000261</v>
          </cell>
          <cell r="W8">
            <v>1039134</v>
          </cell>
          <cell r="Y8" t="str">
            <v>Active</v>
          </cell>
          <cell r="Z8">
            <v>2958465</v>
          </cell>
          <cell r="AA8">
            <v>435</v>
          </cell>
        </row>
        <row r="9">
          <cell r="A9">
            <v>1192</v>
          </cell>
          <cell r="B9" t="str">
            <v>Good Samaritan Health Center / Merrill / WI</v>
          </cell>
          <cell r="D9">
            <v>0</v>
          </cell>
          <cell r="E9" t="str">
            <v>Good Samaritan Health Center (1192)</v>
          </cell>
          <cell r="F9" t="str">
            <v>Good Samaritan Health Center</v>
          </cell>
          <cell r="G9" t="str">
            <v>Merrill</v>
          </cell>
          <cell r="H9" t="str">
            <v>WI</v>
          </cell>
          <cell r="I9" t="str">
            <v>54452</v>
          </cell>
          <cell r="J9" t="str">
            <v>Merrill, WI 54452</v>
          </cell>
          <cell r="K9" t="str">
            <v>601 Central Avenue South</v>
          </cell>
          <cell r="M9" t="str">
            <v>715-536-5511</v>
          </cell>
          <cell r="O9" t="str">
            <v>Acute Care</v>
          </cell>
          <cell r="P9" t="str">
            <v>Hospital</v>
          </cell>
          <cell r="S9" t="str">
            <v>1100004560971</v>
          </cell>
          <cell r="V9">
            <v>0</v>
          </cell>
          <cell r="W9">
            <v>0</v>
          </cell>
          <cell r="X9">
            <v>91</v>
          </cell>
          <cell r="Y9" t="str">
            <v>Inactive</v>
          </cell>
          <cell r="Z9">
            <v>38442</v>
          </cell>
          <cell r="AA9">
            <v>1192</v>
          </cell>
        </row>
        <row r="10">
          <cell r="A10">
            <v>1302</v>
          </cell>
          <cell r="B10" t="str">
            <v>Catholic Health Initiatives / Denver / CO</v>
          </cell>
          <cell r="D10">
            <v>5</v>
          </cell>
          <cell r="E10" t="str">
            <v>Catholic Health Initiatives (1302)</v>
          </cell>
          <cell r="F10" t="str">
            <v>Catholic Health Initiatives</v>
          </cell>
          <cell r="G10" t="str">
            <v>Denver</v>
          </cell>
          <cell r="H10" t="str">
            <v>CO</v>
          </cell>
          <cell r="I10" t="str">
            <v>80202</v>
          </cell>
          <cell r="J10" t="str">
            <v>Denver, CO 80202</v>
          </cell>
          <cell r="K10" t="str">
            <v>1999 Broadway #2605</v>
          </cell>
          <cell r="M10" t="str">
            <v>303-298-9100</v>
          </cell>
          <cell r="N10" t="str">
            <v>System Member Of</v>
          </cell>
          <cell r="O10" t="str">
            <v>Other</v>
          </cell>
          <cell r="P10" t="str">
            <v>Health Care System/IDN</v>
          </cell>
          <cell r="R10" t="str">
            <v>CDF4EJ500</v>
          </cell>
          <cell r="S10" t="str">
            <v>1100003275883</v>
          </cell>
          <cell r="T10">
            <v>35977</v>
          </cell>
          <cell r="V10">
            <v>0</v>
          </cell>
          <cell r="W10">
            <v>0</v>
          </cell>
          <cell r="X10">
            <v>91</v>
          </cell>
          <cell r="Y10" t="str">
            <v>Active</v>
          </cell>
          <cell r="AA10">
            <v>1302</v>
          </cell>
        </row>
        <row r="11">
          <cell r="A11">
            <v>1509</v>
          </cell>
          <cell r="B11" t="str">
            <v>Callaway Hospital District / Callaway / NE</v>
          </cell>
          <cell r="D11">
            <v>2</v>
          </cell>
          <cell r="E11" t="str">
            <v>Callaway Hospital District (1509)</v>
          </cell>
          <cell r="F11" t="str">
            <v>Callaway Hospital District</v>
          </cell>
          <cell r="G11" t="str">
            <v>Callaway</v>
          </cell>
          <cell r="H11" t="str">
            <v>NE</v>
          </cell>
          <cell r="I11" t="str">
            <v>68825-0100</v>
          </cell>
          <cell r="J11" t="str">
            <v>Callaway, NE 68825-0100</v>
          </cell>
          <cell r="K11" t="str">
            <v>211 Kimball</v>
          </cell>
          <cell r="L11" t="str">
            <v>PO Box 100</v>
          </cell>
          <cell r="M11" t="str">
            <v>308-836-2228</v>
          </cell>
          <cell r="N11" t="str">
            <v>Affiliate Member Of</v>
          </cell>
          <cell r="O11" t="str">
            <v>Acute Care</v>
          </cell>
          <cell r="P11" t="str">
            <v>Hospital</v>
          </cell>
          <cell r="Q11" t="str">
            <v>AC6173582</v>
          </cell>
          <cell r="R11" t="str">
            <v>660160J00</v>
          </cell>
          <cell r="S11" t="str">
            <v>1100003600678</v>
          </cell>
          <cell r="T11">
            <v>35977</v>
          </cell>
          <cell r="U11">
            <v>35977</v>
          </cell>
          <cell r="V11">
            <v>0</v>
          </cell>
          <cell r="W11">
            <v>0</v>
          </cell>
          <cell r="X11">
            <v>91</v>
          </cell>
          <cell r="Y11" t="str">
            <v>Active</v>
          </cell>
          <cell r="AA11">
            <v>1509</v>
          </cell>
        </row>
        <row r="12">
          <cell r="A12">
            <v>1550</v>
          </cell>
          <cell r="B12" t="str">
            <v>St. Elizabeth Health Services Inc. / Baker City / OR</v>
          </cell>
          <cell r="C12" t="str">
            <v>MBO48</v>
          </cell>
          <cell r="D12">
            <v>3</v>
          </cell>
          <cell r="E12" t="str">
            <v>St. Elizabeth Health Services Inc. (1550)</v>
          </cell>
          <cell r="F12" t="str">
            <v>St. Elizabeth Health Services Inc.</v>
          </cell>
          <cell r="G12" t="str">
            <v>Baker City</v>
          </cell>
          <cell r="H12" t="str">
            <v>OR</v>
          </cell>
          <cell r="I12" t="str">
            <v>97814</v>
          </cell>
          <cell r="J12" t="str">
            <v>Baker City, OR 97814</v>
          </cell>
          <cell r="K12" t="str">
            <v>3325 Pocahontas Road</v>
          </cell>
          <cell r="M12" t="str">
            <v>541-523-6461</v>
          </cell>
          <cell r="N12" t="str">
            <v>System Member Of</v>
          </cell>
          <cell r="O12" t="str">
            <v>Acute Care</v>
          </cell>
          <cell r="P12" t="str">
            <v>Hospital</v>
          </cell>
          <cell r="Q12" t="str">
            <v>AS1597941</v>
          </cell>
          <cell r="R12" t="str">
            <v>920040F00</v>
          </cell>
          <cell r="S12" t="str">
            <v>1100002592356</v>
          </cell>
          <cell r="T12">
            <v>35977</v>
          </cell>
          <cell r="U12">
            <v>35977</v>
          </cell>
          <cell r="V12">
            <v>43000261</v>
          </cell>
          <cell r="W12">
            <v>960423</v>
          </cell>
          <cell r="X12">
            <v>56</v>
          </cell>
          <cell r="Y12" t="str">
            <v>Active</v>
          </cell>
          <cell r="AA12">
            <v>1550</v>
          </cell>
        </row>
        <row r="13">
          <cell r="A13">
            <v>1551</v>
          </cell>
          <cell r="B13" t="str">
            <v>St. Thomas More Hospital / Canon City / CO</v>
          </cell>
          <cell r="D13">
            <v>5</v>
          </cell>
          <cell r="E13" t="str">
            <v>St. Thomas More Hospital (1551)</v>
          </cell>
          <cell r="F13" t="str">
            <v>St. Thomas More Hospital</v>
          </cell>
          <cell r="G13" t="str">
            <v>Canon City</v>
          </cell>
          <cell r="H13" t="str">
            <v>CO</v>
          </cell>
          <cell r="I13" t="str">
            <v>81212</v>
          </cell>
          <cell r="J13" t="str">
            <v>Canon City, CO 81212</v>
          </cell>
          <cell r="K13" t="str">
            <v>1338 Phay Avenue</v>
          </cell>
          <cell r="M13" t="str">
            <v>719-269-2000</v>
          </cell>
          <cell r="N13" t="str">
            <v>Affiliate Member Of</v>
          </cell>
          <cell r="O13" t="str">
            <v>Acute Care</v>
          </cell>
          <cell r="P13" t="str">
            <v>Hospital</v>
          </cell>
          <cell r="Q13" t="str">
            <v>BC5645823</v>
          </cell>
          <cell r="R13" t="str">
            <v>840160J00</v>
          </cell>
          <cell r="S13" t="str">
            <v>1100005436473</v>
          </cell>
          <cell r="T13">
            <v>35977</v>
          </cell>
          <cell r="U13">
            <v>35977</v>
          </cell>
          <cell r="V13">
            <v>43000261</v>
          </cell>
          <cell r="W13">
            <v>102381</v>
          </cell>
          <cell r="X13">
            <v>13</v>
          </cell>
          <cell r="Y13" t="str">
            <v>Active</v>
          </cell>
          <cell r="AA13">
            <v>1551</v>
          </cell>
        </row>
        <row r="14">
          <cell r="A14">
            <v>1553</v>
          </cell>
          <cell r="B14" t="str">
            <v>St. Francis Health Center / Colorado Springs / CO</v>
          </cell>
          <cell r="D14">
            <v>5</v>
          </cell>
          <cell r="E14" t="str">
            <v>St. Francis Health Center (1553)</v>
          </cell>
          <cell r="F14" t="str">
            <v>St. Francis Health Center</v>
          </cell>
          <cell r="G14" t="str">
            <v>Colorado Springs</v>
          </cell>
          <cell r="H14" t="str">
            <v>CO</v>
          </cell>
          <cell r="I14" t="str">
            <v>80903</v>
          </cell>
          <cell r="J14" t="str">
            <v>Colorado Springs, CO 80903</v>
          </cell>
          <cell r="K14" t="str">
            <v>825 E Pikes Peak Avenue</v>
          </cell>
          <cell r="M14" t="str">
            <v>719-636-8800</v>
          </cell>
          <cell r="N14" t="str">
            <v>Affiliate Member Of</v>
          </cell>
          <cell r="O14" t="str">
            <v>Acute Care</v>
          </cell>
          <cell r="P14" t="str">
            <v>Hospital</v>
          </cell>
          <cell r="Q14" t="str">
            <v>AS0817405</v>
          </cell>
          <cell r="R14" t="str">
            <v>0EHK5N700</v>
          </cell>
          <cell r="S14" t="str">
            <v>1100005392090</v>
          </cell>
          <cell r="T14">
            <v>35977</v>
          </cell>
          <cell r="U14">
            <v>35977</v>
          </cell>
          <cell r="V14">
            <v>43000261</v>
          </cell>
          <cell r="W14">
            <v>102381</v>
          </cell>
          <cell r="X14">
            <v>8</v>
          </cell>
          <cell r="Y14" t="str">
            <v>Active</v>
          </cell>
          <cell r="AA14">
            <v>1553</v>
          </cell>
        </row>
        <row r="15">
          <cell r="A15">
            <v>1554</v>
          </cell>
          <cell r="B15" t="str">
            <v>Penrose Community Hospital / Colorado Springs / CO</v>
          </cell>
          <cell r="D15">
            <v>5</v>
          </cell>
          <cell r="E15" t="str">
            <v>Penrose Community Hospital (1554)</v>
          </cell>
          <cell r="F15" t="str">
            <v>Penrose Community Hospital</v>
          </cell>
          <cell r="G15" t="str">
            <v>Colorado Springs</v>
          </cell>
          <cell r="H15" t="str">
            <v>CO</v>
          </cell>
          <cell r="I15" t="str">
            <v>80917</v>
          </cell>
          <cell r="J15" t="str">
            <v>Colorado Springs, CO 80917</v>
          </cell>
          <cell r="K15" t="str">
            <v>3205 N Academy Boulevard</v>
          </cell>
          <cell r="M15" t="str">
            <v>719-776-5000</v>
          </cell>
          <cell r="N15" t="str">
            <v>Affiliate Member Of</v>
          </cell>
          <cell r="O15" t="str">
            <v>Acute Care</v>
          </cell>
          <cell r="P15" t="str">
            <v>Hospital</v>
          </cell>
          <cell r="Q15" t="str">
            <v>AP7966659</v>
          </cell>
          <cell r="R15" t="str">
            <v>840210F00</v>
          </cell>
          <cell r="S15" t="str">
            <v>1100003988035</v>
          </cell>
          <cell r="T15">
            <v>35977</v>
          </cell>
          <cell r="U15">
            <v>35977</v>
          </cell>
          <cell r="V15">
            <v>43000261</v>
          </cell>
          <cell r="W15">
            <v>102381</v>
          </cell>
          <cell r="X15">
            <v>4</v>
          </cell>
          <cell r="Y15" t="str">
            <v>Active</v>
          </cell>
          <cell r="AA15">
            <v>1554</v>
          </cell>
        </row>
        <row r="16">
          <cell r="A16">
            <v>1555</v>
          </cell>
          <cell r="B16" t="str">
            <v>Penrose Hospital / Colorado Springs / CO</v>
          </cell>
          <cell r="D16">
            <v>5</v>
          </cell>
          <cell r="E16" t="str">
            <v>Penrose Hospital (1555)</v>
          </cell>
          <cell r="F16" t="str">
            <v>Penrose Hospital</v>
          </cell>
          <cell r="G16" t="str">
            <v>Colorado Springs</v>
          </cell>
          <cell r="H16" t="str">
            <v>CO</v>
          </cell>
          <cell r="I16" t="str">
            <v>80907</v>
          </cell>
          <cell r="J16" t="str">
            <v>Colorado Springs, CO 80907</v>
          </cell>
          <cell r="K16" t="str">
            <v>2222 North Nevada Ave.</v>
          </cell>
          <cell r="M16" t="str">
            <v>719-776-5000</v>
          </cell>
          <cell r="N16" t="str">
            <v>Affiliate Member Of</v>
          </cell>
          <cell r="O16" t="str">
            <v>Acute Care</v>
          </cell>
          <cell r="P16" t="str">
            <v>Hospital</v>
          </cell>
          <cell r="Q16" t="str">
            <v>AP0843436</v>
          </cell>
          <cell r="R16" t="str">
            <v>840220G00</v>
          </cell>
          <cell r="S16" t="str">
            <v>1100005318564</v>
          </cell>
          <cell r="T16">
            <v>35977</v>
          </cell>
          <cell r="U16">
            <v>35977</v>
          </cell>
          <cell r="V16">
            <v>43000261</v>
          </cell>
          <cell r="W16">
            <v>102381</v>
          </cell>
          <cell r="X16">
            <v>8</v>
          </cell>
          <cell r="Y16" t="str">
            <v>Active</v>
          </cell>
          <cell r="AA16">
            <v>1555</v>
          </cell>
        </row>
        <row r="17">
          <cell r="A17">
            <v>1557</v>
          </cell>
          <cell r="B17" t="str">
            <v>St. Anthony Central Hospital / Denver / CO</v>
          </cell>
          <cell r="D17">
            <v>5</v>
          </cell>
          <cell r="E17" t="str">
            <v>St. Anthony Central Hospital (1557)</v>
          </cell>
          <cell r="F17" t="str">
            <v>St. Anthony Central Hospital</v>
          </cell>
          <cell r="G17" t="str">
            <v>Denver</v>
          </cell>
          <cell r="H17" t="str">
            <v>CO</v>
          </cell>
          <cell r="I17" t="str">
            <v>80204</v>
          </cell>
          <cell r="J17" t="str">
            <v>Denver, CO 80204</v>
          </cell>
          <cell r="K17" t="str">
            <v>4231 W 16th Avenue</v>
          </cell>
          <cell r="M17" t="str">
            <v>303-629-3511</v>
          </cell>
          <cell r="N17" t="str">
            <v>Affiliate Member Of</v>
          </cell>
          <cell r="O17" t="str">
            <v>Acute Care</v>
          </cell>
          <cell r="P17" t="str">
            <v>Hospital</v>
          </cell>
          <cell r="Q17" t="str">
            <v>BC5645859</v>
          </cell>
          <cell r="R17" t="str">
            <v>840450L00</v>
          </cell>
          <cell r="S17" t="str">
            <v>1100002127787</v>
          </cell>
          <cell r="T17">
            <v>35977</v>
          </cell>
          <cell r="U17">
            <v>35977</v>
          </cell>
          <cell r="V17">
            <v>43000261</v>
          </cell>
          <cell r="W17">
            <v>102381</v>
          </cell>
          <cell r="X17">
            <v>10</v>
          </cell>
          <cell r="Y17" t="str">
            <v>Active</v>
          </cell>
          <cell r="AA17">
            <v>1557</v>
          </cell>
        </row>
        <row r="18">
          <cell r="A18">
            <v>1558</v>
          </cell>
          <cell r="B18" t="str">
            <v>St. Anthony Senior Health Clinic / Denver / CO</v>
          </cell>
          <cell r="D18">
            <v>5</v>
          </cell>
          <cell r="E18" t="str">
            <v>St. Anthony Senior Health Clinic (1558)</v>
          </cell>
          <cell r="F18" t="str">
            <v>St. Anthony Senior Health Clinic</v>
          </cell>
          <cell r="G18" t="str">
            <v>Denver</v>
          </cell>
          <cell r="H18" t="str">
            <v>CO</v>
          </cell>
          <cell r="I18" t="str">
            <v>80204</v>
          </cell>
          <cell r="J18" t="str">
            <v>Denver, CO 80204</v>
          </cell>
          <cell r="K18" t="str">
            <v>1601 Lowell Boulevard</v>
          </cell>
          <cell r="M18" t="str">
            <v>303-825-2190</v>
          </cell>
          <cell r="N18" t="str">
            <v>Affiliate Member Of</v>
          </cell>
          <cell r="O18" t="str">
            <v>Acute Care</v>
          </cell>
          <cell r="P18" t="str">
            <v>Hospital Outpatient Pharmacy (Closed-Door)</v>
          </cell>
          <cell r="Q18" t="str">
            <v>BC5645835</v>
          </cell>
          <cell r="R18" t="str">
            <v>YXKET9V00</v>
          </cell>
          <cell r="S18" t="str">
            <v>1100005258136</v>
          </cell>
          <cell r="T18">
            <v>35977</v>
          </cell>
          <cell r="U18">
            <v>35977</v>
          </cell>
          <cell r="V18">
            <v>43000261</v>
          </cell>
          <cell r="W18">
            <v>102381</v>
          </cell>
          <cell r="X18">
            <v>4</v>
          </cell>
          <cell r="Y18" t="str">
            <v>Active</v>
          </cell>
          <cell r="AA18">
            <v>1558</v>
          </cell>
        </row>
        <row r="19">
          <cell r="A19">
            <v>1559</v>
          </cell>
          <cell r="B19" t="str">
            <v>St. Anthony Summit Medical Center / Frisco / CO</v>
          </cell>
          <cell r="D19">
            <v>5</v>
          </cell>
          <cell r="E19" t="str">
            <v>St. Anthony Summit Medical Center (1559)</v>
          </cell>
          <cell r="F19" t="str">
            <v>St. Anthony Summit Medical Center</v>
          </cell>
          <cell r="G19" t="str">
            <v>Frisco</v>
          </cell>
          <cell r="H19" t="str">
            <v>CO</v>
          </cell>
          <cell r="I19" t="str">
            <v>80443</v>
          </cell>
          <cell r="J19" t="str">
            <v>Frisco, CO 80443</v>
          </cell>
          <cell r="K19" t="str">
            <v>340 Peak One Drive</v>
          </cell>
          <cell r="M19" t="str">
            <v>970-668-3300</v>
          </cell>
          <cell r="N19" t="str">
            <v>Affiliate Member Of</v>
          </cell>
          <cell r="O19" t="str">
            <v>Acute Care</v>
          </cell>
          <cell r="P19" t="str">
            <v>Hospital</v>
          </cell>
          <cell r="Q19" t="str">
            <v>BS9545902</v>
          </cell>
          <cell r="R19" t="str">
            <v>840610J00</v>
          </cell>
          <cell r="S19" t="str">
            <v>1100003082290</v>
          </cell>
          <cell r="T19">
            <v>35977</v>
          </cell>
          <cell r="U19">
            <v>35977</v>
          </cell>
          <cell r="V19">
            <v>43000261</v>
          </cell>
          <cell r="W19">
            <v>102381</v>
          </cell>
          <cell r="X19">
            <v>14</v>
          </cell>
          <cell r="Y19" t="str">
            <v>Active</v>
          </cell>
          <cell r="AA19">
            <v>1559</v>
          </cell>
        </row>
        <row r="20">
          <cell r="A20">
            <v>1560</v>
          </cell>
          <cell r="B20" t="str">
            <v>Sunny Acres Villa, Inc. Corporate Office / Denver / CO</v>
          </cell>
          <cell r="D20">
            <v>5</v>
          </cell>
          <cell r="E20" t="str">
            <v>Sunny Acres Villa, Inc. Corporate Office (1560)</v>
          </cell>
          <cell r="F20" t="str">
            <v>Sunny Acres Villa, Inc. Corporate Office</v>
          </cell>
          <cell r="G20" t="str">
            <v>Denver</v>
          </cell>
          <cell r="H20" t="str">
            <v>CO</v>
          </cell>
          <cell r="I20" t="str">
            <v>80233-4401</v>
          </cell>
          <cell r="J20" t="str">
            <v>Denver, CO 80233-4401</v>
          </cell>
          <cell r="K20" t="str">
            <v>2501 East 104th Ave</v>
          </cell>
          <cell r="M20" t="str">
            <v>303-452-4181</v>
          </cell>
          <cell r="N20" t="str">
            <v>Affiliate Member Of</v>
          </cell>
          <cell r="O20" t="str">
            <v>Long Term Care</v>
          </cell>
          <cell r="P20" t="str">
            <v>Skilled Nursing Facility</v>
          </cell>
          <cell r="R20" t="str">
            <v>08503ZF00</v>
          </cell>
          <cell r="S20" t="str">
            <v>1100004634429</v>
          </cell>
          <cell r="T20">
            <v>35977</v>
          </cell>
          <cell r="V20">
            <v>0</v>
          </cell>
          <cell r="W20">
            <v>0</v>
          </cell>
          <cell r="X20">
            <v>4</v>
          </cell>
          <cell r="Y20" t="str">
            <v>Inactive</v>
          </cell>
          <cell r="Z20">
            <v>39377</v>
          </cell>
          <cell r="AA20">
            <v>1560</v>
          </cell>
        </row>
        <row r="21">
          <cell r="A21">
            <v>1561</v>
          </cell>
          <cell r="B21" t="str">
            <v>St. Francis Hospital / Federal Way / WA</v>
          </cell>
          <cell r="D21">
            <v>3</v>
          </cell>
          <cell r="E21" t="str">
            <v>St. Francis Hospital (1561)</v>
          </cell>
          <cell r="F21" t="str">
            <v>St. Francis Hospital</v>
          </cell>
          <cell r="G21" t="str">
            <v>Federal Way</v>
          </cell>
          <cell r="H21" t="str">
            <v>WA</v>
          </cell>
          <cell r="I21" t="str">
            <v>98003</v>
          </cell>
          <cell r="J21" t="str">
            <v>Federal Way, WA 98003</v>
          </cell>
          <cell r="K21" t="str">
            <v>34515 Ninth Avenue, South</v>
          </cell>
          <cell r="M21" t="str">
            <v>206-952-7966</v>
          </cell>
          <cell r="N21" t="str">
            <v>System Member Of</v>
          </cell>
          <cell r="O21" t="str">
            <v>Acute Care</v>
          </cell>
          <cell r="P21" t="str">
            <v>Hospital</v>
          </cell>
          <cell r="Q21" t="str">
            <v>BS0850708</v>
          </cell>
          <cell r="R21" t="str">
            <v>910310E00</v>
          </cell>
          <cell r="S21" t="str">
            <v>1100005992689</v>
          </cell>
          <cell r="T21">
            <v>35977</v>
          </cell>
          <cell r="U21">
            <v>35977</v>
          </cell>
          <cell r="V21">
            <v>43000261</v>
          </cell>
          <cell r="W21">
            <v>1502846</v>
          </cell>
          <cell r="X21">
            <v>63</v>
          </cell>
          <cell r="Y21" t="str">
            <v>Active</v>
          </cell>
          <cell r="AA21">
            <v>1561</v>
          </cell>
        </row>
        <row r="22">
          <cell r="A22">
            <v>1562</v>
          </cell>
          <cell r="B22" t="str">
            <v>Saint Francis Medical Center / Grand Island / NE</v>
          </cell>
          <cell r="C22" t="str">
            <v>MBO23</v>
          </cell>
          <cell r="D22">
            <v>2</v>
          </cell>
          <cell r="E22" t="str">
            <v>Saint Francis Medical Center (1562)</v>
          </cell>
          <cell r="F22" t="str">
            <v>Saint Francis Medical Center</v>
          </cell>
          <cell r="G22" t="str">
            <v>Grand Island</v>
          </cell>
          <cell r="H22" t="str">
            <v>NE</v>
          </cell>
          <cell r="I22" t="str">
            <v xml:space="preserve">68803-4205 </v>
          </cell>
          <cell r="J22" t="str">
            <v xml:space="preserve">Grand Island, NE 68803-4205 </v>
          </cell>
          <cell r="K22" t="str">
            <v>2620 W. Faidley Avenue</v>
          </cell>
          <cell r="M22" t="str">
            <v>308-384-4600</v>
          </cell>
          <cell r="N22" t="str">
            <v>System Member Of</v>
          </cell>
          <cell r="O22" t="str">
            <v>Acute Care</v>
          </cell>
          <cell r="P22" t="str">
            <v>Hospital</v>
          </cell>
          <cell r="Q22" t="str">
            <v>AS3979549</v>
          </cell>
          <cell r="R22" t="str">
            <v>660370M00</v>
          </cell>
          <cell r="S22" t="str">
            <v>1100004930040</v>
          </cell>
          <cell r="T22">
            <v>35977</v>
          </cell>
          <cell r="U22">
            <v>35977</v>
          </cell>
          <cell r="V22">
            <v>43000261</v>
          </cell>
          <cell r="W22">
            <v>370511</v>
          </cell>
          <cell r="X22">
            <v>47</v>
          </cell>
          <cell r="Y22" t="str">
            <v>Active</v>
          </cell>
          <cell r="AA22">
            <v>1562</v>
          </cell>
        </row>
        <row r="23">
          <cell r="A23">
            <v>1563</v>
          </cell>
          <cell r="B23" t="str">
            <v>Granby Medical Center / Granby / CO</v>
          </cell>
          <cell r="D23">
            <v>5</v>
          </cell>
          <cell r="E23" t="str">
            <v>Granby Medical Center (1563)</v>
          </cell>
          <cell r="F23" t="str">
            <v>Granby Medical Center</v>
          </cell>
          <cell r="G23" t="str">
            <v>Granby</v>
          </cell>
          <cell r="H23" t="str">
            <v>CO</v>
          </cell>
          <cell r="I23" t="str">
            <v>80446</v>
          </cell>
          <cell r="J23" t="str">
            <v>Granby, CO 80446</v>
          </cell>
          <cell r="K23" t="str">
            <v>480 E. Agate Street</v>
          </cell>
          <cell r="L23" t="str">
            <v>P.O. Box 397</v>
          </cell>
          <cell r="M23" t="str">
            <v>970-887-2117</v>
          </cell>
          <cell r="N23" t="str">
            <v>Affiliate Member Of</v>
          </cell>
          <cell r="O23" t="str">
            <v>Acute Care</v>
          </cell>
          <cell r="P23" t="str">
            <v>Surgery Center</v>
          </cell>
          <cell r="Q23" t="str">
            <v>BF1198476</v>
          </cell>
          <cell r="R23" t="str">
            <v>RECEENW00</v>
          </cell>
          <cell r="S23" t="str">
            <v>1100003859595</v>
          </cell>
          <cell r="T23">
            <v>35977</v>
          </cell>
          <cell r="U23">
            <v>35977</v>
          </cell>
          <cell r="V23">
            <v>43000261</v>
          </cell>
          <cell r="W23">
            <v>102381</v>
          </cell>
          <cell r="X23">
            <v>4</v>
          </cell>
          <cell r="Y23" t="str">
            <v>Active</v>
          </cell>
          <cell r="AA23">
            <v>1563</v>
          </cell>
        </row>
        <row r="24">
          <cell r="A24">
            <v>1564</v>
          </cell>
          <cell r="B24" t="str">
            <v>Good Samaritan Hospital / Kearney / NE</v>
          </cell>
          <cell r="C24" t="str">
            <v>MBO21</v>
          </cell>
          <cell r="D24">
            <v>2</v>
          </cell>
          <cell r="E24" t="str">
            <v>Good Samaritan Hospital (1564)</v>
          </cell>
          <cell r="F24" t="str">
            <v>Good Samaritan Hospital</v>
          </cell>
          <cell r="G24" t="str">
            <v>Kearney</v>
          </cell>
          <cell r="H24" t="str">
            <v>NE</v>
          </cell>
          <cell r="I24" t="str">
            <v>68848-1990</v>
          </cell>
          <cell r="J24" t="str">
            <v>Kearney, NE 68848-1990</v>
          </cell>
          <cell r="K24" t="str">
            <v>10 E 31st Street</v>
          </cell>
          <cell r="M24" t="str">
            <v>308-865-7100</v>
          </cell>
          <cell r="N24" t="str">
            <v>System Member Of</v>
          </cell>
          <cell r="O24" t="str">
            <v>Acute Care</v>
          </cell>
          <cell r="P24" t="str">
            <v>Hospital</v>
          </cell>
          <cell r="Q24" t="str">
            <v>AG3979563</v>
          </cell>
          <cell r="R24" t="str">
            <v>660470N00</v>
          </cell>
          <cell r="S24" t="str">
            <v>1100003726798</v>
          </cell>
          <cell r="T24">
            <v>35977</v>
          </cell>
          <cell r="U24">
            <v>35977</v>
          </cell>
          <cell r="V24">
            <v>43000261</v>
          </cell>
          <cell r="W24">
            <v>374820</v>
          </cell>
          <cell r="X24">
            <v>45</v>
          </cell>
          <cell r="Y24" t="str">
            <v>Active</v>
          </cell>
          <cell r="AA24">
            <v>1564</v>
          </cell>
        </row>
        <row r="25">
          <cell r="A25">
            <v>1565</v>
          </cell>
          <cell r="B25" t="str">
            <v>Richard Young Hospital / Kearney / NE</v>
          </cell>
          <cell r="D25">
            <v>2</v>
          </cell>
          <cell r="E25" t="str">
            <v>Richard Young Hospital (1565)</v>
          </cell>
          <cell r="F25" t="str">
            <v>Richard Young Hospital</v>
          </cell>
          <cell r="G25" t="str">
            <v>Kearney</v>
          </cell>
          <cell r="H25" t="str">
            <v>NE</v>
          </cell>
          <cell r="I25" t="str">
            <v>68845</v>
          </cell>
          <cell r="J25" t="str">
            <v>Kearney, NE 68845</v>
          </cell>
          <cell r="K25" t="str">
            <v>1755 Prairie View Place</v>
          </cell>
          <cell r="M25" t="str">
            <v>308-236-2000</v>
          </cell>
          <cell r="N25" t="str">
            <v>System Member Of</v>
          </cell>
          <cell r="O25" t="str">
            <v>Acute Care</v>
          </cell>
          <cell r="P25" t="str">
            <v>Hospital</v>
          </cell>
          <cell r="Q25" t="str">
            <v>BR0804270</v>
          </cell>
          <cell r="R25" t="str">
            <v>660480O00</v>
          </cell>
          <cell r="S25" t="str">
            <v>1100002718978</v>
          </cell>
          <cell r="T25">
            <v>35977</v>
          </cell>
          <cell r="U25">
            <v>35977</v>
          </cell>
          <cell r="V25">
            <v>43000261</v>
          </cell>
          <cell r="W25">
            <v>374820</v>
          </cell>
          <cell r="X25">
            <v>45</v>
          </cell>
          <cell r="Y25" t="str">
            <v>Inactive</v>
          </cell>
          <cell r="Z25">
            <v>39303</v>
          </cell>
          <cell r="AA25">
            <v>1565</v>
          </cell>
        </row>
        <row r="26">
          <cell r="A26">
            <v>1568</v>
          </cell>
          <cell r="B26" t="str">
            <v>Saint Elizabeth Regional Medical Center / Lincoln / NE</v>
          </cell>
          <cell r="C26" t="str">
            <v>MBO22</v>
          </cell>
          <cell r="D26">
            <v>2</v>
          </cell>
          <cell r="E26" t="str">
            <v>Saint Elizabeth Regional Medical Center (1568)</v>
          </cell>
          <cell r="F26" t="str">
            <v>Saint Elizabeth Regional Medical Center</v>
          </cell>
          <cell r="G26" t="str">
            <v>Lincoln</v>
          </cell>
          <cell r="H26" t="str">
            <v>NE</v>
          </cell>
          <cell r="I26" t="str">
            <v>68510</v>
          </cell>
          <cell r="J26" t="str">
            <v>Lincoln, NE 68510</v>
          </cell>
          <cell r="K26" t="str">
            <v>555 S 70th Street</v>
          </cell>
          <cell r="M26" t="str">
            <v>402-489-7181</v>
          </cell>
          <cell r="N26" t="str">
            <v>System Member Of</v>
          </cell>
          <cell r="O26" t="str">
            <v>Acute Care</v>
          </cell>
          <cell r="P26" t="str">
            <v>Hospital</v>
          </cell>
          <cell r="Q26" t="str">
            <v>AS4004165</v>
          </cell>
          <cell r="R26" t="str">
            <v>660550M00</v>
          </cell>
          <cell r="S26" t="str">
            <v>1100002656270</v>
          </cell>
          <cell r="T26">
            <v>35977</v>
          </cell>
          <cell r="U26">
            <v>35977</v>
          </cell>
          <cell r="V26">
            <v>43000261</v>
          </cell>
          <cell r="W26">
            <v>374838</v>
          </cell>
          <cell r="X26">
            <v>46</v>
          </cell>
          <cell r="Y26" t="str">
            <v>Active</v>
          </cell>
          <cell r="AA26">
            <v>1568</v>
          </cell>
        </row>
        <row r="27">
          <cell r="A27">
            <v>1569</v>
          </cell>
          <cell r="B27" t="str">
            <v>Saint Joseph Martin / Martin / KY</v>
          </cell>
          <cell r="C27" t="str">
            <v>MBO17</v>
          </cell>
          <cell r="D27">
            <v>1</v>
          </cell>
          <cell r="E27" t="str">
            <v>Saint Joseph Martin (1569)</v>
          </cell>
          <cell r="F27" t="str">
            <v>Our Lady of the Way Hospital</v>
          </cell>
          <cell r="G27" t="str">
            <v>Martin</v>
          </cell>
          <cell r="H27" t="str">
            <v>KY</v>
          </cell>
          <cell r="I27" t="str">
            <v>41649</v>
          </cell>
          <cell r="J27" t="str">
            <v>Martin, KY 41649</v>
          </cell>
          <cell r="K27" t="str">
            <v>11203 Main St. PO Box 910</v>
          </cell>
          <cell r="M27" t="str">
            <v>606-285-5181</v>
          </cell>
          <cell r="N27" t="str">
            <v>System Member Of</v>
          </cell>
          <cell r="O27" t="str">
            <v>Acute Care</v>
          </cell>
          <cell r="P27" t="str">
            <v>Hospital</v>
          </cell>
          <cell r="Q27" t="str">
            <v>AO3010268</v>
          </cell>
          <cell r="R27" t="str">
            <v>511000700</v>
          </cell>
          <cell r="S27" t="str">
            <v>1100004186539</v>
          </cell>
          <cell r="T27">
            <v>35977</v>
          </cell>
          <cell r="U27">
            <v>35977</v>
          </cell>
          <cell r="V27">
            <v>43000261</v>
          </cell>
          <cell r="W27">
            <v>60732</v>
          </cell>
          <cell r="X27">
            <v>25</v>
          </cell>
          <cell r="Y27" t="str">
            <v>Active</v>
          </cell>
          <cell r="AA27">
            <v>1569</v>
          </cell>
        </row>
        <row r="28">
          <cell r="A28">
            <v>1570</v>
          </cell>
          <cell r="B28" t="str">
            <v>Sisters of Charity Mother Margaret Hall / Mount St. Joseph / OH</v>
          </cell>
          <cell r="D28">
            <v>1</v>
          </cell>
          <cell r="E28" t="str">
            <v>Sisters of Charity/Mother Margaret Hall (1570)</v>
          </cell>
          <cell r="F28" t="str">
            <v>Sisters of Charity/Mother Margaret Hall</v>
          </cell>
          <cell r="G28" t="str">
            <v>Mount St. Joseph</v>
          </cell>
          <cell r="H28" t="str">
            <v>OH</v>
          </cell>
          <cell r="I28" t="str">
            <v>45051</v>
          </cell>
          <cell r="J28" t="str">
            <v>Mount St. Joseph, OH 45051</v>
          </cell>
          <cell r="K28" t="str">
            <v>5900 Delhi Road</v>
          </cell>
          <cell r="M28" t="str">
            <v>513-347-5435</v>
          </cell>
          <cell r="N28" t="str">
            <v>System Member Of</v>
          </cell>
          <cell r="O28" t="str">
            <v>Other</v>
          </cell>
          <cell r="P28" t="str">
            <v>Other Facility</v>
          </cell>
          <cell r="R28" t="str">
            <v>AL3NBGC00</v>
          </cell>
          <cell r="S28" t="str">
            <v>1100004461766</v>
          </cell>
          <cell r="T28">
            <v>35977</v>
          </cell>
          <cell r="V28">
            <v>0</v>
          </cell>
          <cell r="W28">
            <v>0</v>
          </cell>
          <cell r="X28">
            <v>91</v>
          </cell>
          <cell r="Y28" t="str">
            <v>Active</v>
          </cell>
          <cell r="AA28">
            <v>1570</v>
          </cell>
        </row>
        <row r="29">
          <cell r="A29">
            <v>1571</v>
          </cell>
          <cell r="B29" t="str">
            <v>St. Mary's Community Hospital / Nebraska City / NE</v>
          </cell>
          <cell r="C29" t="str">
            <v>MBO24</v>
          </cell>
          <cell r="D29">
            <v>2</v>
          </cell>
          <cell r="E29" t="str">
            <v>St. Mary's Community Hospital (1571)</v>
          </cell>
          <cell r="F29" t="str">
            <v>St. Mary's Community Hospital</v>
          </cell>
          <cell r="G29" t="str">
            <v>Nebraska City</v>
          </cell>
          <cell r="H29" t="str">
            <v>NE</v>
          </cell>
          <cell r="I29" t="str">
            <v>68410</v>
          </cell>
          <cell r="J29" t="str">
            <v>Nebraska City, NE 68410</v>
          </cell>
          <cell r="K29" t="str">
            <v>1314 Third Avenue</v>
          </cell>
          <cell r="M29" t="str">
            <v>402-873-3321</v>
          </cell>
          <cell r="N29" t="str">
            <v>System Member Of</v>
          </cell>
          <cell r="O29" t="str">
            <v>Acute Care</v>
          </cell>
          <cell r="P29" t="str">
            <v>Hospital</v>
          </cell>
          <cell r="Q29" t="str">
            <v>AS3984095</v>
          </cell>
          <cell r="R29" t="str">
            <v>660630L00</v>
          </cell>
          <cell r="S29" t="str">
            <v>1100002093075</v>
          </cell>
          <cell r="T29">
            <v>35977</v>
          </cell>
          <cell r="U29">
            <v>35977</v>
          </cell>
          <cell r="V29">
            <v>43000261</v>
          </cell>
          <cell r="W29">
            <v>400741</v>
          </cell>
          <cell r="X29">
            <v>48</v>
          </cell>
          <cell r="Y29" t="str">
            <v>Active</v>
          </cell>
          <cell r="AA29">
            <v>1571</v>
          </cell>
        </row>
        <row r="30">
          <cell r="A30">
            <v>1572</v>
          </cell>
          <cell r="B30" t="str">
            <v>St. Anthony Hospital / Pendleton / OR</v>
          </cell>
          <cell r="C30" t="str">
            <v>MBO46</v>
          </cell>
          <cell r="D30">
            <v>3</v>
          </cell>
          <cell r="E30" t="str">
            <v>St. Anthony Hospital (1572)</v>
          </cell>
          <cell r="F30" t="str">
            <v>St. Anthony Hospital</v>
          </cell>
          <cell r="G30" t="str">
            <v>Pendleton</v>
          </cell>
          <cell r="H30" t="str">
            <v>OR</v>
          </cell>
          <cell r="I30" t="str">
            <v>97801</v>
          </cell>
          <cell r="J30" t="str">
            <v>Pendleton, OR 97801</v>
          </cell>
          <cell r="K30" t="str">
            <v>1601 SE Court Ave.</v>
          </cell>
          <cell r="M30" t="str">
            <v>503-278-3234</v>
          </cell>
          <cell r="N30" t="str">
            <v>System Member Of</v>
          </cell>
          <cell r="O30" t="str">
            <v>Acute Care</v>
          </cell>
          <cell r="P30" t="str">
            <v>Hospital</v>
          </cell>
          <cell r="Q30" t="str">
            <v>AS1620396</v>
          </cell>
          <cell r="R30" t="str">
            <v>920520I00</v>
          </cell>
          <cell r="S30" t="str">
            <v>1100003441530</v>
          </cell>
          <cell r="T30">
            <v>35977</v>
          </cell>
          <cell r="U30">
            <v>35977</v>
          </cell>
          <cell r="V30">
            <v>43000261</v>
          </cell>
          <cell r="W30">
            <v>960407</v>
          </cell>
          <cell r="X30">
            <v>55</v>
          </cell>
          <cell r="Y30" t="str">
            <v>Active</v>
          </cell>
          <cell r="AA30">
            <v>1572</v>
          </cell>
        </row>
        <row r="31">
          <cell r="A31">
            <v>1574</v>
          </cell>
          <cell r="B31" t="str">
            <v>St. Mary Corwin Medical Center / Pueblo / CO</v>
          </cell>
          <cell r="D31">
            <v>5</v>
          </cell>
          <cell r="E31" t="str">
            <v>St. Mary Corwin Medical Center (1574)</v>
          </cell>
          <cell r="F31" t="str">
            <v>St. Mary Corwin Medical Center</v>
          </cell>
          <cell r="G31" t="str">
            <v>Pueblo</v>
          </cell>
          <cell r="H31" t="str">
            <v>CO</v>
          </cell>
          <cell r="I31" t="str">
            <v>81004</v>
          </cell>
          <cell r="J31" t="str">
            <v>Pueblo, CO 81004</v>
          </cell>
          <cell r="K31" t="str">
            <v>1008 Minnequa Avenue</v>
          </cell>
          <cell r="M31" t="str">
            <v>719-560-4000</v>
          </cell>
          <cell r="N31" t="str">
            <v>Affiliate Member Of</v>
          </cell>
          <cell r="O31" t="str">
            <v>Acute Care</v>
          </cell>
          <cell r="P31" t="str">
            <v>Hospital</v>
          </cell>
          <cell r="Q31" t="str">
            <v>BC5645811</v>
          </cell>
          <cell r="R31" t="str">
            <v>840890T00</v>
          </cell>
          <cell r="S31" t="str">
            <v>1100005200708</v>
          </cell>
          <cell r="T31">
            <v>35977</v>
          </cell>
          <cell r="U31">
            <v>35977</v>
          </cell>
          <cell r="V31">
            <v>43000261</v>
          </cell>
          <cell r="W31">
            <v>102381</v>
          </cell>
          <cell r="X31">
            <v>12</v>
          </cell>
          <cell r="Y31" t="str">
            <v>Active</v>
          </cell>
          <cell r="AA31">
            <v>1574</v>
          </cell>
        </row>
        <row r="32">
          <cell r="A32">
            <v>1575</v>
          </cell>
          <cell r="B32" t="str">
            <v>St. Joseph Medical Center / Reading / PA</v>
          </cell>
          <cell r="C32" t="str">
            <v>MBO08</v>
          </cell>
          <cell r="D32">
            <v>1</v>
          </cell>
          <cell r="E32" t="str">
            <v>St. Joseph Medical Center (1575)</v>
          </cell>
          <cell r="F32" t="str">
            <v>St. Joseph Medical Center</v>
          </cell>
          <cell r="G32" t="str">
            <v>Reading</v>
          </cell>
          <cell r="H32" t="str">
            <v>PA</v>
          </cell>
          <cell r="I32" t="str">
            <v>19605-9453</v>
          </cell>
          <cell r="J32" t="str">
            <v>Reading, PA 19603-0316</v>
          </cell>
          <cell r="K32" t="str">
            <v>2500 Bernville Road</v>
          </cell>
          <cell r="M32" t="str">
            <v>610-378-2000</v>
          </cell>
          <cell r="N32" t="str">
            <v>System Member Of</v>
          </cell>
          <cell r="O32" t="str">
            <v>Acute Care</v>
          </cell>
          <cell r="P32" t="str">
            <v>Hospital</v>
          </cell>
          <cell r="Q32" t="str">
            <v>AS2480793</v>
          </cell>
          <cell r="R32" t="str">
            <v>232570J00</v>
          </cell>
          <cell r="S32" t="str">
            <v>1100003355929</v>
          </cell>
          <cell r="T32">
            <v>35977</v>
          </cell>
          <cell r="U32">
            <v>35977</v>
          </cell>
          <cell r="V32">
            <v>43000261</v>
          </cell>
          <cell r="W32">
            <v>960482</v>
          </cell>
          <cell r="X32">
            <v>57</v>
          </cell>
          <cell r="Y32" t="str">
            <v>Active</v>
          </cell>
          <cell r="AA32">
            <v>1575</v>
          </cell>
        </row>
        <row r="33">
          <cell r="A33">
            <v>1576</v>
          </cell>
          <cell r="B33" t="str">
            <v>St. Clare Hospital / Lakewood / WA</v>
          </cell>
          <cell r="D33">
            <v>3</v>
          </cell>
          <cell r="E33" t="str">
            <v>St. Clare Hospital (1576)</v>
          </cell>
          <cell r="F33" t="str">
            <v>St. Clare Hospital</v>
          </cell>
          <cell r="G33" t="str">
            <v>Lakewood</v>
          </cell>
          <cell r="H33" t="str">
            <v>WA</v>
          </cell>
          <cell r="I33" t="str">
            <v>98499-0998</v>
          </cell>
          <cell r="J33" t="str">
            <v>Lakewood, WA 98499-0998</v>
          </cell>
          <cell r="K33" t="str">
            <v>11315 Bridgeport Way SW</v>
          </cell>
          <cell r="L33" t="str">
            <v>PO Box 99998</v>
          </cell>
          <cell r="M33" t="str">
            <v>253-588-1711</v>
          </cell>
          <cell r="N33" t="str">
            <v>System Member Of</v>
          </cell>
          <cell r="O33" t="str">
            <v>Acute Care</v>
          </cell>
          <cell r="P33" t="str">
            <v>Hospital</v>
          </cell>
          <cell r="Q33" t="str">
            <v>BS2354001</v>
          </cell>
          <cell r="R33" t="str">
            <v>911080J00</v>
          </cell>
          <cell r="S33" t="str">
            <v>1100005339255</v>
          </cell>
          <cell r="T33">
            <v>35977</v>
          </cell>
          <cell r="U33">
            <v>35977</v>
          </cell>
          <cell r="V33">
            <v>43000261</v>
          </cell>
          <cell r="W33">
            <v>1459198</v>
          </cell>
          <cell r="X33">
            <v>62</v>
          </cell>
          <cell r="Y33" t="str">
            <v>Active</v>
          </cell>
          <cell r="AA33">
            <v>1576</v>
          </cell>
        </row>
        <row r="34">
          <cell r="A34">
            <v>1577</v>
          </cell>
          <cell r="B34" t="str">
            <v>St. Joseph Medical Center / Tacoma / WA</v>
          </cell>
          <cell r="C34" t="str">
            <v>MBO51</v>
          </cell>
          <cell r="D34">
            <v>3</v>
          </cell>
          <cell r="E34" t="str">
            <v>St. Joseph Medical Center (1577)</v>
          </cell>
          <cell r="F34" t="str">
            <v>St. Joseph Medical Center</v>
          </cell>
          <cell r="G34" t="str">
            <v>Tacoma</v>
          </cell>
          <cell r="H34" t="str">
            <v>WA</v>
          </cell>
          <cell r="I34" t="str">
            <v>98405</v>
          </cell>
          <cell r="J34" t="str">
            <v>Tacoma, WA 98405</v>
          </cell>
          <cell r="K34" t="str">
            <v>1717 South J Street</v>
          </cell>
          <cell r="M34" t="str">
            <v>253-591-6692</v>
          </cell>
          <cell r="N34" t="str">
            <v>System Member Of</v>
          </cell>
          <cell r="O34" t="str">
            <v>Acute Care</v>
          </cell>
          <cell r="P34" t="str">
            <v>Hospital</v>
          </cell>
          <cell r="Q34" t="str">
            <v>AS0969191</v>
          </cell>
          <cell r="R34" t="str">
            <v>911120E00</v>
          </cell>
          <cell r="S34" t="str">
            <v>1100005401792</v>
          </cell>
          <cell r="T34">
            <v>35977</v>
          </cell>
          <cell r="U34">
            <v>35977</v>
          </cell>
          <cell r="V34">
            <v>43000261</v>
          </cell>
          <cell r="W34">
            <v>960546</v>
          </cell>
          <cell r="X34">
            <v>64</v>
          </cell>
          <cell r="Y34" t="str">
            <v>Active</v>
          </cell>
          <cell r="AA34">
            <v>1577</v>
          </cell>
        </row>
        <row r="35">
          <cell r="A35">
            <v>1578</v>
          </cell>
          <cell r="B35" t="str">
            <v>St. Joseph Medical Center, Inc. / Towson / MD</v>
          </cell>
          <cell r="C35" t="str">
            <v>MBO02</v>
          </cell>
          <cell r="D35">
            <v>1</v>
          </cell>
          <cell r="E35" t="str">
            <v>St. Joseph Medical Center, Inc. (1578)</v>
          </cell>
          <cell r="F35" t="str">
            <v>St. Joseph Medical Center, Inc.</v>
          </cell>
          <cell r="G35" t="str">
            <v>Towson</v>
          </cell>
          <cell r="H35" t="str">
            <v>MD</v>
          </cell>
          <cell r="I35" t="str">
            <v>21204</v>
          </cell>
          <cell r="J35" t="str">
            <v>Towson, MD 21204</v>
          </cell>
          <cell r="K35" t="str">
            <v>7601 Osler Drive</v>
          </cell>
          <cell r="M35" t="str">
            <v>410-337-1000</v>
          </cell>
          <cell r="N35" t="str">
            <v>System Member Of</v>
          </cell>
          <cell r="O35" t="str">
            <v>Acute Care</v>
          </cell>
          <cell r="P35" t="str">
            <v>Hospital</v>
          </cell>
          <cell r="Q35" t="str">
            <v>AS2542074</v>
          </cell>
          <cell r="R35" t="str">
            <v>320970L00</v>
          </cell>
          <cell r="S35" t="str">
            <v>1100004348456</v>
          </cell>
          <cell r="T35">
            <v>35977</v>
          </cell>
          <cell r="U35">
            <v>35977</v>
          </cell>
          <cell r="V35">
            <v>43000261</v>
          </cell>
          <cell r="W35">
            <v>960503</v>
          </cell>
          <cell r="X35">
            <v>29</v>
          </cell>
          <cell r="Y35" t="str">
            <v>Active</v>
          </cell>
          <cell r="AA35">
            <v>1578</v>
          </cell>
        </row>
        <row r="36">
          <cell r="A36">
            <v>1580</v>
          </cell>
          <cell r="B36" t="str">
            <v>St. Anthony North Hospital / Westminster / CO</v>
          </cell>
          <cell r="D36">
            <v>5</v>
          </cell>
          <cell r="E36" t="str">
            <v>St. Anthony North Hospital (1580)</v>
          </cell>
          <cell r="F36" t="str">
            <v>St. Anthony North Hospital</v>
          </cell>
          <cell r="G36" t="str">
            <v>Westminster</v>
          </cell>
          <cell r="H36" t="str">
            <v>CO</v>
          </cell>
          <cell r="I36" t="str">
            <v>80031</v>
          </cell>
          <cell r="J36" t="str">
            <v>Westminster, CO 80031</v>
          </cell>
          <cell r="K36" t="str">
            <v>2551 West 84th Avenue</v>
          </cell>
          <cell r="M36" t="str">
            <v>303-426-2151</v>
          </cell>
          <cell r="N36" t="str">
            <v>Affiliate Member Of</v>
          </cell>
          <cell r="O36" t="str">
            <v>Acute Care</v>
          </cell>
          <cell r="P36" t="str">
            <v>Hospital</v>
          </cell>
          <cell r="Q36" t="str">
            <v>BC5645847</v>
          </cell>
          <cell r="R36" t="str">
            <v>841020F00</v>
          </cell>
          <cell r="S36" t="str">
            <v>1100004611949</v>
          </cell>
          <cell r="T36">
            <v>35977</v>
          </cell>
          <cell r="U36">
            <v>35977</v>
          </cell>
          <cell r="V36">
            <v>43000261</v>
          </cell>
          <cell r="W36">
            <v>102381</v>
          </cell>
          <cell r="X36">
            <v>11</v>
          </cell>
          <cell r="Y36" t="str">
            <v>Active</v>
          </cell>
          <cell r="AA36">
            <v>1580</v>
          </cell>
        </row>
        <row r="37">
          <cell r="A37">
            <v>1586</v>
          </cell>
          <cell r="B37" t="str">
            <v>Centura Home Infusion / Colorado Springs / CO</v>
          </cell>
          <cell r="D37">
            <v>5</v>
          </cell>
          <cell r="E37" t="str">
            <v>Centura Home Infusion (1586)</v>
          </cell>
          <cell r="F37" t="str">
            <v>Centura Home Infusion</v>
          </cell>
          <cell r="G37" t="str">
            <v>Colorado Springs</v>
          </cell>
          <cell r="H37" t="str">
            <v>CO</v>
          </cell>
          <cell r="I37" t="str">
            <v>80919</v>
          </cell>
          <cell r="J37" t="str">
            <v>Colorado Springs, CO 80919</v>
          </cell>
          <cell r="K37" t="str">
            <v>7015 Tall Oak Drive</v>
          </cell>
          <cell r="M37" t="str">
            <v>719-272-7507</v>
          </cell>
          <cell r="N37" t="str">
            <v>Affiliate Member Of</v>
          </cell>
          <cell r="O37" t="str">
            <v>Home Care</v>
          </cell>
          <cell r="P37" t="str">
            <v>Home Infusion Provider</v>
          </cell>
          <cell r="Q37" t="str">
            <v>BP4502109</v>
          </cell>
          <cell r="R37" t="str">
            <v>F8KAR6E00</v>
          </cell>
          <cell r="S37" t="str">
            <v>1100005941441</v>
          </cell>
          <cell r="T37">
            <v>35977</v>
          </cell>
          <cell r="U37">
            <v>35977</v>
          </cell>
          <cell r="V37">
            <v>0</v>
          </cell>
          <cell r="W37">
            <v>0</v>
          </cell>
          <cell r="X37">
            <v>4</v>
          </cell>
          <cell r="Y37" t="str">
            <v>Inactive</v>
          </cell>
          <cell r="Z37">
            <v>38929</v>
          </cell>
          <cell r="AA37">
            <v>1586</v>
          </cell>
        </row>
        <row r="38">
          <cell r="A38">
            <v>1602</v>
          </cell>
          <cell r="B38" t="str">
            <v>St. Francis Nursing Center / Colorado Springs / CO</v>
          </cell>
          <cell r="D38">
            <v>5</v>
          </cell>
          <cell r="E38" t="str">
            <v>St. Francis Nursing Center (1602)</v>
          </cell>
          <cell r="F38" t="str">
            <v>St. Francis Nursing Center</v>
          </cell>
          <cell r="G38" t="str">
            <v>Colorado Springs</v>
          </cell>
          <cell r="H38" t="str">
            <v>CO</v>
          </cell>
          <cell r="I38" t="str">
            <v>80919</v>
          </cell>
          <cell r="J38" t="str">
            <v>Colorado Springs, CO 80919</v>
          </cell>
          <cell r="K38" t="str">
            <v>7665 Assisi Heights</v>
          </cell>
          <cell r="M38" t="str">
            <v>719-598-1336</v>
          </cell>
          <cell r="N38" t="str">
            <v>Affiliate Member Of</v>
          </cell>
          <cell r="O38" t="str">
            <v>Long Term Care</v>
          </cell>
          <cell r="P38" t="str">
            <v>Skilled Nursing Facility</v>
          </cell>
          <cell r="R38" t="str">
            <v>BTVT23X00</v>
          </cell>
          <cell r="S38" t="str">
            <v>1100002483265</v>
          </cell>
          <cell r="T38">
            <v>35977</v>
          </cell>
          <cell r="V38">
            <v>0</v>
          </cell>
          <cell r="W38">
            <v>0</v>
          </cell>
          <cell r="X38">
            <v>4</v>
          </cell>
          <cell r="Y38" t="str">
            <v>Inactive</v>
          </cell>
          <cell r="Z38">
            <v>38564</v>
          </cell>
        </row>
        <row r="39">
          <cell r="A39">
            <v>1603</v>
          </cell>
          <cell r="B39" t="str">
            <v>Holy Family Services / Weslaco / TX</v>
          </cell>
          <cell r="D39">
            <v>2</v>
          </cell>
          <cell r="E39" t="str">
            <v>Holy Family Services (1603)</v>
          </cell>
          <cell r="F39" t="str">
            <v>Holy Family Services</v>
          </cell>
          <cell r="G39" t="str">
            <v>Weslaco</v>
          </cell>
          <cell r="H39" t="str">
            <v>TX</v>
          </cell>
          <cell r="I39" t="str">
            <v>78596</v>
          </cell>
          <cell r="J39" t="str">
            <v>Weslaco, TX 78596</v>
          </cell>
          <cell r="K39" t="str">
            <v>Route 4, Box 257</v>
          </cell>
          <cell r="M39" t="str">
            <v>956-969-2538</v>
          </cell>
          <cell r="N39" t="str">
            <v>Affiliate Member Of</v>
          </cell>
          <cell r="O39" t="str">
            <v>Ambulatory Care</v>
          </cell>
          <cell r="P39" t="str">
            <v>Clinic</v>
          </cell>
          <cell r="R39" t="str">
            <v>DFJ56G200</v>
          </cell>
          <cell r="S39" t="str">
            <v>1100003255168</v>
          </cell>
          <cell r="T39">
            <v>35977</v>
          </cell>
          <cell r="V39">
            <v>0</v>
          </cell>
          <cell r="W39">
            <v>0</v>
          </cell>
          <cell r="X39">
            <v>91</v>
          </cell>
          <cell r="Y39" t="str">
            <v>Inactive</v>
          </cell>
          <cell r="Z39">
            <v>39345</v>
          </cell>
          <cell r="AA39">
            <v>1603</v>
          </cell>
        </row>
        <row r="40">
          <cell r="A40">
            <v>1604</v>
          </cell>
          <cell r="B40" t="str">
            <v>Albany Area Hospital and Medical Center / Albany / MN</v>
          </cell>
          <cell r="D40">
            <v>4</v>
          </cell>
          <cell r="E40" t="str">
            <v>Albany Area Hospital and Medical Center (1604)</v>
          </cell>
          <cell r="F40" t="str">
            <v>Albany Area Hospital and Medical Center</v>
          </cell>
          <cell r="G40" t="str">
            <v>Albany</v>
          </cell>
          <cell r="H40" t="str">
            <v>MN</v>
          </cell>
          <cell r="I40" t="str">
            <v>56307</v>
          </cell>
          <cell r="J40" t="str">
            <v>Albany, MN 56307</v>
          </cell>
          <cell r="K40" t="str">
            <v>300 Third Avenue</v>
          </cell>
          <cell r="M40" t="str">
            <v>320-845-2121</v>
          </cell>
          <cell r="N40" t="str">
            <v>System Member Of</v>
          </cell>
          <cell r="O40" t="str">
            <v>Acute Care</v>
          </cell>
          <cell r="P40" t="str">
            <v>Hospital</v>
          </cell>
          <cell r="Q40" t="str">
            <v>BA2095392</v>
          </cell>
          <cell r="R40" t="str">
            <v>610040B00</v>
          </cell>
          <cell r="S40" t="str">
            <v>1100004999221</v>
          </cell>
          <cell r="T40">
            <v>35977</v>
          </cell>
          <cell r="U40">
            <v>35977</v>
          </cell>
          <cell r="V40">
            <v>43000261</v>
          </cell>
          <cell r="W40">
            <v>370360</v>
          </cell>
          <cell r="X40">
            <v>30</v>
          </cell>
          <cell r="Y40" t="str">
            <v>Active</v>
          </cell>
          <cell r="AA40">
            <v>1604</v>
          </cell>
        </row>
        <row r="41">
          <cell r="A41">
            <v>1605</v>
          </cell>
          <cell r="B41" t="str">
            <v>Carrington Health Center / Carrington / ND</v>
          </cell>
          <cell r="C41" t="str">
            <v>MBO34</v>
          </cell>
          <cell r="D41">
            <v>4</v>
          </cell>
          <cell r="E41" t="str">
            <v>Carrington Health Center (1605)</v>
          </cell>
          <cell r="F41" t="str">
            <v>Carrington Health Center</v>
          </cell>
          <cell r="G41" t="str">
            <v>Carrington</v>
          </cell>
          <cell r="H41" t="str">
            <v>ND</v>
          </cell>
          <cell r="I41" t="str">
            <v>58421</v>
          </cell>
          <cell r="J41" t="str">
            <v>Carrington, ND 58421</v>
          </cell>
          <cell r="K41" t="str">
            <v>800 N Fourth Street</v>
          </cell>
          <cell r="M41" t="str">
            <v>701-652-3141</v>
          </cell>
          <cell r="N41" t="str">
            <v>System Member Of</v>
          </cell>
          <cell r="O41" t="str">
            <v>Acute Care</v>
          </cell>
          <cell r="P41" t="str">
            <v>Hospital</v>
          </cell>
          <cell r="Q41" t="str">
            <v>AC5288837</v>
          </cell>
          <cell r="R41" t="str">
            <v>640090J00</v>
          </cell>
          <cell r="S41" t="str">
            <v>1100003884221</v>
          </cell>
          <cell r="T41">
            <v>35977</v>
          </cell>
          <cell r="U41">
            <v>35977</v>
          </cell>
          <cell r="V41">
            <v>43000261</v>
          </cell>
          <cell r="W41">
            <v>370386</v>
          </cell>
          <cell r="X41">
            <v>37</v>
          </cell>
          <cell r="Y41" t="str">
            <v>Active</v>
          </cell>
          <cell r="AA41">
            <v>1605</v>
          </cell>
        </row>
        <row r="42">
          <cell r="A42">
            <v>1606</v>
          </cell>
          <cell r="B42" t="str">
            <v>Central Kansas Medical Center / Great Bend / KS</v>
          </cell>
          <cell r="C42" t="str">
            <v>MBO12</v>
          </cell>
          <cell r="D42">
            <v>2</v>
          </cell>
          <cell r="E42" t="str">
            <v>Central Kansas Medical Center (1606)</v>
          </cell>
          <cell r="F42" t="str">
            <v>Central Kansas Medical Center</v>
          </cell>
          <cell r="G42" t="str">
            <v>Great Bend</v>
          </cell>
          <cell r="H42" t="str">
            <v>KS</v>
          </cell>
          <cell r="I42" t="str">
            <v>67530</v>
          </cell>
          <cell r="J42" t="str">
            <v>Great Bend, KS 67530</v>
          </cell>
          <cell r="K42" t="str">
            <v>3515 Broadway Avenue</v>
          </cell>
          <cell r="M42" t="str">
            <v>620-786-6187</v>
          </cell>
          <cell r="N42" t="str">
            <v>System Member Of</v>
          </cell>
          <cell r="O42" t="str">
            <v>Acute Care</v>
          </cell>
          <cell r="P42" t="str">
            <v>Hospital</v>
          </cell>
          <cell r="Q42" t="str">
            <v>AC1294747</v>
          </cell>
          <cell r="R42" t="str">
            <v>670440L00</v>
          </cell>
          <cell r="S42" t="str">
            <v>1100004748256</v>
          </cell>
          <cell r="T42">
            <v>35977</v>
          </cell>
          <cell r="U42">
            <v>35977</v>
          </cell>
          <cell r="V42">
            <v>43000261</v>
          </cell>
          <cell r="W42">
            <v>374782</v>
          </cell>
          <cell r="X42">
            <v>18</v>
          </cell>
          <cell r="Y42" t="str">
            <v>Active</v>
          </cell>
          <cell r="AA42">
            <v>1606</v>
          </cell>
        </row>
        <row r="43">
          <cell r="A43">
            <v>1607</v>
          </cell>
          <cell r="B43" t="str">
            <v>Gettysburg Medical Center / Gettysburg / SD</v>
          </cell>
          <cell r="D43">
            <v>4</v>
          </cell>
          <cell r="E43" t="str">
            <v>Gettysburg Medical Center (1607)</v>
          </cell>
          <cell r="F43" t="str">
            <v>Gettysburg Medical Center</v>
          </cell>
          <cell r="G43" t="str">
            <v>Gettysburg</v>
          </cell>
          <cell r="H43" t="str">
            <v>SD</v>
          </cell>
          <cell r="I43" t="str">
            <v>57442</v>
          </cell>
          <cell r="J43" t="str">
            <v>Gettysburg, SD 57442</v>
          </cell>
          <cell r="K43" t="str">
            <v>606 E Garfield</v>
          </cell>
          <cell r="M43" t="str">
            <v>605-765-2480</v>
          </cell>
          <cell r="N43" t="str">
            <v>System Member Of</v>
          </cell>
          <cell r="O43" t="str">
            <v>Acute Care</v>
          </cell>
          <cell r="P43" t="str">
            <v>Hospital</v>
          </cell>
          <cell r="Q43" t="str">
            <v>AG4072942</v>
          </cell>
          <cell r="R43" t="str">
            <v>650240H00</v>
          </cell>
          <cell r="S43" t="str">
            <v>1100004093523</v>
          </cell>
          <cell r="T43">
            <v>35977</v>
          </cell>
          <cell r="U43">
            <v>35977</v>
          </cell>
          <cell r="V43">
            <v>43000261</v>
          </cell>
          <cell r="W43">
            <v>586355</v>
          </cell>
          <cell r="X43">
            <v>58</v>
          </cell>
          <cell r="Y43" t="str">
            <v>Active</v>
          </cell>
          <cell r="AA43">
            <v>1607</v>
          </cell>
        </row>
        <row r="44">
          <cell r="A44">
            <v>1608</v>
          </cell>
          <cell r="B44" t="str">
            <v>Holy Rosary Medical Center / Ontario / OR</v>
          </cell>
          <cell r="C44" t="str">
            <v>MBO43</v>
          </cell>
          <cell r="D44">
            <v>3</v>
          </cell>
          <cell r="E44" t="str">
            <v>Holy Rosary Medical Center (1608)</v>
          </cell>
          <cell r="F44" t="str">
            <v>Holy Rosary Medical Center</v>
          </cell>
          <cell r="G44" t="str">
            <v>Ontario</v>
          </cell>
          <cell r="H44" t="str">
            <v>OR</v>
          </cell>
          <cell r="I44" t="str">
            <v>97914</v>
          </cell>
          <cell r="J44" t="str">
            <v>Ontario, OR 97914</v>
          </cell>
          <cell r="K44" t="str">
            <v>351 SW 9th St</v>
          </cell>
          <cell r="M44" t="str">
            <v>541-881-7000</v>
          </cell>
          <cell r="N44" t="str">
            <v>System Member Of</v>
          </cell>
          <cell r="O44" t="str">
            <v>Acute Care</v>
          </cell>
          <cell r="P44" t="str">
            <v>Hospital</v>
          </cell>
          <cell r="Q44" t="str">
            <v>AH1595682</v>
          </cell>
          <cell r="R44" t="str">
            <v>920480N00</v>
          </cell>
          <cell r="S44" t="str">
            <v>1100003628139</v>
          </cell>
          <cell r="T44">
            <v>35977</v>
          </cell>
          <cell r="U44">
            <v>35977</v>
          </cell>
          <cell r="V44">
            <v>43000261</v>
          </cell>
          <cell r="W44">
            <v>355709</v>
          </cell>
          <cell r="X44">
            <v>53</v>
          </cell>
          <cell r="Y44" t="str">
            <v>Active</v>
          </cell>
          <cell r="AA44">
            <v>1608</v>
          </cell>
        </row>
        <row r="45">
          <cell r="A45">
            <v>1609</v>
          </cell>
          <cell r="B45" t="str">
            <v>Lakewood Health Center / Baudette / MN</v>
          </cell>
          <cell r="C45" t="str">
            <v>MBO29</v>
          </cell>
          <cell r="D45">
            <v>4</v>
          </cell>
          <cell r="E45" t="str">
            <v>Lakewood Health Center (1609)</v>
          </cell>
          <cell r="F45" t="str">
            <v>Lakewood Health Center</v>
          </cell>
          <cell r="G45" t="str">
            <v>Baudette</v>
          </cell>
          <cell r="H45" t="str">
            <v>MN</v>
          </cell>
          <cell r="I45" t="str">
            <v>56623</v>
          </cell>
          <cell r="J45" t="str">
            <v>Baudette, MN 56623</v>
          </cell>
          <cell r="K45" t="str">
            <v>600 South Main Ave</v>
          </cell>
          <cell r="M45" t="str">
            <v>218-634-2120</v>
          </cell>
          <cell r="N45" t="str">
            <v>System Member Of</v>
          </cell>
          <cell r="O45" t="str">
            <v>Acute Care</v>
          </cell>
          <cell r="P45" t="str">
            <v>Hospital</v>
          </cell>
          <cell r="Q45" t="str">
            <v>AT3599618</v>
          </cell>
          <cell r="R45" t="str">
            <v>610130B00</v>
          </cell>
          <cell r="S45" t="str">
            <v>1100005716926</v>
          </cell>
          <cell r="T45">
            <v>35977</v>
          </cell>
          <cell r="U45">
            <v>35977</v>
          </cell>
          <cell r="V45">
            <v>43000261</v>
          </cell>
          <cell r="W45">
            <v>370503</v>
          </cell>
          <cell r="X45">
            <v>31</v>
          </cell>
          <cell r="Y45" t="str">
            <v>Active</v>
          </cell>
          <cell r="AA45">
            <v>1609</v>
          </cell>
        </row>
        <row r="46">
          <cell r="A46">
            <v>1610</v>
          </cell>
          <cell r="B46" t="str">
            <v>Mercy Medical Center / Roseburg / OR</v>
          </cell>
          <cell r="C46" t="str">
            <v>MBO44</v>
          </cell>
          <cell r="D46">
            <v>3</v>
          </cell>
          <cell r="E46" t="str">
            <v>Mercy Medical Center (1610)</v>
          </cell>
          <cell r="F46" t="str">
            <v>Mercy Medical Center</v>
          </cell>
          <cell r="G46" t="str">
            <v>Roseburg</v>
          </cell>
          <cell r="H46" t="str">
            <v>OR</v>
          </cell>
          <cell r="I46" t="str">
            <v>97470</v>
          </cell>
          <cell r="J46" t="str">
            <v>Roseburg, OR 97470</v>
          </cell>
          <cell r="K46" t="str">
            <v>2700 Stewart Parkway</v>
          </cell>
          <cell r="M46" t="str">
            <v>541-440-2387</v>
          </cell>
          <cell r="N46" t="str">
            <v>System Member Of</v>
          </cell>
          <cell r="O46" t="str">
            <v>Acute Care</v>
          </cell>
          <cell r="P46" t="str">
            <v>Hospital</v>
          </cell>
          <cell r="Q46" t="str">
            <v>AM7527154</v>
          </cell>
          <cell r="R46" t="str">
            <v>920750N00</v>
          </cell>
          <cell r="S46" t="str">
            <v>1100004010599</v>
          </cell>
          <cell r="T46">
            <v>35977</v>
          </cell>
          <cell r="U46">
            <v>35977</v>
          </cell>
          <cell r="V46">
            <v>43000261</v>
          </cell>
          <cell r="W46">
            <v>355725</v>
          </cell>
          <cell r="X46">
            <v>54</v>
          </cell>
          <cell r="Y46" t="str">
            <v>Active</v>
          </cell>
          <cell r="AA46">
            <v>1610</v>
          </cell>
        </row>
        <row r="47">
          <cell r="A47">
            <v>1611</v>
          </cell>
          <cell r="B47" t="str">
            <v>Mercy Hospital / Devils Lake / ND</v>
          </cell>
          <cell r="C47" t="str">
            <v>MBO36</v>
          </cell>
          <cell r="D47">
            <v>4</v>
          </cell>
          <cell r="E47" t="str">
            <v>Mercy Hospital (1611)</v>
          </cell>
          <cell r="F47" t="str">
            <v>Mercy Hospital</v>
          </cell>
          <cell r="G47" t="str">
            <v>Devils Lake</v>
          </cell>
          <cell r="H47" t="str">
            <v>ND</v>
          </cell>
          <cell r="I47" t="str">
            <v>58301</v>
          </cell>
          <cell r="J47" t="str">
            <v>Devils Lake, ND 58301</v>
          </cell>
          <cell r="K47" t="str">
            <v xml:space="preserve">1031 7th Street NE </v>
          </cell>
          <cell r="M47" t="str">
            <v>701-662-2131</v>
          </cell>
          <cell r="N47" t="str">
            <v>System Member Of</v>
          </cell>
          <cell r="O47" t="str">
            <v>Acute Care</v>
          </cell>
          <cell r="P47" t="str">
            <v>Hospital</v>
          </cell>
          <cell r="Q47" t="str">
            <v>AM3795816</v>
          </cell>
          <cell r="R47" t="str">
            <v>640130E00</v>
          </cell>
          <cell r="S47" t="str">
            <v>1100002397678</v>
          </cell>
          <cell r="T47">
            <v>35977</v>
          </cell>
          <cell r="U47">
            <v>35977</v>
          </cell>
          <cell r="V47">
            <v>43000261</v>
          </cell>
          <cell r="W47">
            <v>370394</v>
          </cell>
          <cell r="X47">
            <v>39</v>
          </cell>
          <cell r="Y47" t="str">
            <v>Active</v>
          </cell>
          <cell r="AA47">
            <v>1611</v>
          </cell>
        </row>
        <row r="48">
          <cell r="A48">
            <v>1612</v>
          </cell>
          <cell r="B48" t="str">
            <v>Mercy Hospital / Valley City / ND</v>
          </cell>
          <cell r="C48" t="str">
            <v>MBO37</v>
          </cell>
          <cell r="D48">
            <v>4</v>
          </cell>
          <cell r="E48" t="str">
            <v>Mercy Hospital (1612)</v>
          </cell>
          <cell r="F48" t="str">
            <v>Mercy Hospital</v>
          </cell>
          <cell r="G48" t="str">
            <v>Valley City</v>
          </cell>
          <cell r="H48" t="str">
            <v>ND</v>
          </cell>
          <cell r="I48" t="str">
            <v>58072</v>
          </cell>
          <cell r="J48" t="str">
            <v>Valley City, ND 58072</v>
          </cell>
          <cell r="K48" t="str">
            <v>570 Chautauqua Boulevard</v>
          </cell>
          <cell r="M48" t="str">
            <v>701-845-6400</v>
          </cell>
          <cell r="N48" t="str">
            <v>System Member Of</v>
          </cell>
          <cell r="O48" t="str">
            <v>Acute Care</v>
          </cell>
          <cell r="P48" t="str">
            <v>Hospital</v>
          </cell>
          <cell r="Q48" t="str">
            <v>AM3795727</v>
          </cell>
          <cell r="R48" t="str">
            <v>640590O00</v>
          </cell>
          <cell r="S48" t="str">
            <v>1100005829381</v>
          </cell>
          <cell r="T48">
            <v>35977</v>
          </cell>
          <cell r="U48">
            <v>35977</v>
          </cell>
          <cell r="V48">
            <v>43000261</v>
          </cell>
          <cell r="W48">
            <v>370440</v>
          </cell>
          <cell r="X48">
            <v>40</v>
          </cell>
          <cell r="Y48" t="str">
            <v>Active</v>
          </cell>
          <cell r="AA48">
            <v>1612</v>
          </cell>
        </row>
        <row r="49">
          <cell r="A49">
            <v>1613</v>
          </cell>
          <cell r="B49" t="str">
            <v>Mercy Medical Center - Des Moines / Des Moines / IA</v>
          </cell>
          <cell r="C49" t="str">
            <v>JOA2</v>
          </cell>
          <cell r="D49">
            <v>2</v>
          </cell>
          <cell r="E49" t="str">
            <v>Mercy Medical Center - Des Moines (1613)</v>
          </cell>
          <cell r="F49" t="str">
            <v>Mercy Medical Center - Des Moines</v>
          </cell>
          <cell r="G49" t="str">
            <v>Des Moines</v>
          </cell>
          <cell r="H49" t="str">
            <v>IA</v>
          </cell>
          <cell r="I49" t="str">
            <v>50314</v>
          </cell>
          <cell r="J49" t="str">
            <v>Des Moines, IA 50314</v>
          </cell>
          <cell r="K49" t="str">
            <v>1111 6th Avenue</v>
          </cell>
          <cell r="M49" t="str">
            <v>515-247-3121</v>
          </cell>
          <cell r="N49" t="str">
            <v>System Member Of</v>
          </cell>
          <cell r="O49" t="str">
            <v>Acute Care</v>
          </cell>
          <cell r="P49" t="str">
            <v>Hospital</v>
          </cell>
          <cell r="Q49" t="str">
            <v>AM4033445</v>
          </cell>
          <cell r="R49" t="str">
            <v>620450H00</v>
          </cell>
          <cell r="S49" t="str">
            <v>1100004246394</v>
          </cell>
          <cell r="T49">
            <v>37135</v>
          </cell>
          <cell r="U49">
            <v>37257</v>
          </cell>
          <cell r="V49">
            <v>43000261</v>
          </cell>
          <cell r="W49">
            <v>374766</v>
          </cell>
          <cell r="X49">
            <v>15</v>
          </cell>
          <cell r="Y49" t="str">
            <v>Active</v>
          </cell>
          <cell r="AA49">
            <v>1613</v>
          </cell>
        </row>
        <row r="50">
          <cell r="A50">
            <v>1614</v>
          </cell>
          <cell r="B50" t="str">
            <v>Mercy Regional Medical Center / Durango / CO</v>
          </cell>
          <cell r="C50" t="str">
            <v>MBO55</v>
          </cell>
          <cell r="D50">
            <v>2</v>
          </cell>
          <cell r="E50" t="str">
            <v>Mercy Regional Medical Center (1614)</v>
          </cell>
          <cell r="F50" t="str">
            <v>Mercy Regional Medical Center</v>
          </cell>
          <cell r="G50" t="str">
            <v>Durango</v>
          </cell>
          <cell r="H50" t="str">
            <v>CO</v>
          </cell>
          <cell r="I50" t="str">
            <v>81301</v>
          </cell>
          <cell r="J50" t="str">
            <v>Durango, CO 81301</v>
          </cell>
          <cell r="K50" t="str">
            <v>1010 Three Springs Blvd.</v>
          </cell>
          <cell r="M50" t="str">
            <v>970-247-4311</v>
          </cell>
          <cell r="N50" t="str">
            <v>System Member Of</v>
          </cell>
          <cell r="O50" t="str">
            <v>Acute Care</v>
          </cell>
          <cell r="P50" t="str">
            <v>Hospital</v>
          </cell>
          <cell r="Q50" t="str">
            <v>BM9774616</v>
          </cell>
          <cell r="R50" t="str">
            <v>840500H00</v>
          </cell>
          <cell r="S50" t="str">
            <v>1100002591786</v>
          </cell>
          <cell r="T50">
            <v>35977</v>
          </cell>
          <cell r="U50">
            <v>35977</v>
          </cell>
          <cell r="V50">
            <v>43000261</v>
          </cell>
          <cell r="W50">
            <v>404398</v>
          </cell>
          <cell r="X50">
            <v>6</v>
          </cell>
          <cell r="Y50" t="str">
            <v>Active</v>
          </cell>
          <cell r="AA50">
            <v>1614</v>
          </cell>
        </row>
        <row r="51">
          <cell r="A51">
            <v>1615</v>
          </cell>
          <cell r="B51" t="str">
            <v>Mercy Medical Center / Nampa / ID</v>
          </cell>
          <cell r="C51" t="str">
            <v>MBO27</v>
          </cell>
          <cell r="D51">
            <v>3</v>
          </cell>
          <cell r="E51" t="str">
            <v>Mercy Medical Center (1615)</v>
          </cell>
          <cell r="F51" t="str">
            <v>Mercy Medical Center</v>
          </cell>
          <cell r="G51" t="str">
            <v>Nampa</v>
          </cell>
          <cell r="H51" t="str">
            <v>ID</v>
          </cell>
          <cell r="I51" t="str">
            <v>83686</v>
          </cell>
          <cell r="J51" t="str">
            <v>Nampa, ID 83686</v>
          </cell>
          <cell r="K51" t="str">
            <v>1512 12th Avenue Road</v>
          </cell>
          <cell r="M51" t="str">
            <v>208-463-5000</v>
          </cell>
          <cell r="N51" t="str">
            <v>System Member Of</v>
          </cell>
          <cell r="O51" t="str">
            <v>Acute Care</v>
          </cell>
          <cell r="P51" t="str">
            <v>Hospital</v>
          </cell>
          <cell r="Q51" t="str">
            <v>AM1618505</v>
          </cell>
          <cell r="R51" t="str">
            <v>820400E00</v>
          </cell>
          <cell r="S51" t="str">
            <v>1100003012815</v>
          </cell>
          <cell r="T51">
            <v>35977</v>
          </cell>
          <cell r="U51">
            <v>35977</v>
          </cell>
          <cell r="V51">
            <v>43000261</v>
          </cell>
          <cell r="W51">
            <v>355688</v>
          </cell>
          <cell r="X51">
            <v>17</v>
          </cell>
          <cell r="Y51" t="str">
            <v>Active</v>
          </cell>
          <cell r="AA51">
            <v>1615</v>
          </cell>
        </row>
        <row r="52">
          <cell r="A52">
            <v>1616</v>
          </cell>
          <cell r="B52" t="str">
            <v>Mercy Medical Center / Williston / ND</v>
          </cell>
          <cell r="C52" t="str">
            <v>MBO38</v>
          </cell>
          <cell r="D52">
            <v>4</v>
          </cell>
          <cell r="E52" t="str">
            <v>Mercy Medical Center (1616)</v>
          </cell>
          <cell r="F52" t="str">
            <v>Mercy Medical Center</v>
          </cell>
          <cell r="G52" t="str">
            <v>Williston</v>
          </cell>
          <cell r="H52" t="str">
            <v>ND</v>
          </cell>
          <cell r="I52" t="str">
            <v>58801</v>
          </cell>
          <cell r="J52" t="str">
            <v>Williston, ND 58801</v>
          </cell>
          <cell r="K52" t="str">
            <v>1301 15th Avenue West</v>
          </cell>
          <cell r="M52" t="str">
            <v>701-774-7400</v>
          </cell>
          <cell r="N52" t="str">
            <v>System Member Of</v>
          </cell>
          <cell r="O52" t="str">
            <v>Acute Care</v>
          </cell>
          <cell r="P52" t="str">
            <v>Hospital</v>
          </cell>
          <cell r="Q52" t="str">
            <v>AM3789368</v>
          </cell>
          <cell r="R52" t="str">
            <v>640610H00</v>
          </cell>
          <cell r="S52" t="str">
            <v>1100003874642</v>
          </cell>
          <cell r="T52">
            <v>35977</v>
          </cell>
          <cell r="U52">
            <v>35977</v>
          </cell>
          <cell r="V52">
            <v>43000261</v>
          </cell>
          <cell r="W52">
            <v>370458</v>
          </cell>
          <cell r="X52">
            <v>41</v>
          </cell>
          <cell r="Y52" t="str">
            <v>Active</v>
          </cell>
          <cell r="AA52">
            <v>1616</v>
          </cell>
        </row>
        <row r="53">
          <cell r="A53">
            <v>1617</v>
          </cell>
          <cell r="B53" t="str">
            <v>Porter Adventist Hospital / Denver / CO</v>
          </cell>
          <cell r="D53">
            <v>5</v>
          </cell>
          <cell r="E53" t="str">
            <v>Porter Adventist Hospital (1617)</v>
          </cell>
          <cell r="F53" t="str">
            <v>Porter Adventist Hospital</v>
          </cell>
          <cell r="G53" t="str">
            <v>Denver</v>
          </cell>
          <cell r="H53" t="str">
            <v>CO</v>
          </cell>
          <cell r="I53" t="str">
            <v>80210</v>
          </cell>
          <cell r="J53" t="str">
            <v>Denver, CO 80210</v>
          </cell>
          <cell r="K53" t="str">
            <v>2525 S Downing Street</v>
          </cell>
          <cell r="M53" t="str">
            <v>303-778-1955</v>
          </cell>
          <cell r="N53" t="str">
            <v>Affiliate Member Of</v>
          </cell>
          <cell r="O53" t="str">
            <v>Acute Care</v>
          </cell>
          <cell r="P53" t="str">
            <v>Hospital</v>
          </cell>
          <cell r="Q53" t="str">
            <v>AP0851673</v>
          </cell>
          <cell r="R53" t="str">
            <v>840410H00</v>
          </cell>
          <cell r="S53" t="str">
            <v>1100005986633</v>
          </cell>
          <cell r="T53">
            <v>35977</v>
          </cell>
          <cell r="U53">
            <v>35977</v>
          </cell>
          <cell r="V53">
            <v>43000261</v>
          </cell>
          <cell r="W53">
            <v>102381</v>
          </cell>
          <cell r="X53">
            <v>9</v>
          </cell>
          <cell r="Y53" t="str">
            <v>Active</v>
          </cell>
          <cell r="AA53">
            <v>1617</v>
          </cell>
        </row>
        <row r="54">
          <cell r="A54">
            <v>1618</v>
          </cell>
          <cell r="B54" t="str">
            <v>Avista Adventist Hospital / Louisville / CO</v>
          </cell>
          <cell r="D54">
            <v>5</v>
          </cell>
          <cell r="E54" t="str">
            <v>Avista Adventist Hospital (1618)</v>
          </cell>
          <cell r="F54" t="str">
            <v>Avista Adventist Hospital</v>
          </cell>
          <cell r="G54" t="str">
            <v>Louisville</v>
          </cell>
          <cell r="H54" t="str">
            <v>CO</v>
          </cell>
          <cell r="I54" t="str">
            <v>80027</v>
          </cell>
          <cell r="J54" t="str">
            <v>Louisville, CO 80027</v>
          </cell>
          <cell r="K54" t="str">
            <v>100 Health Park Drive</v>
          </cell>
          <cell r="M54" t="str">
            <v>303-673-1000</v>
          </cell>
          <cell r="N54" t="str">
            <v>Affiliate Member Of</v>
          </cell>
          <cell r="O54" t="str">
            <v>Acute Care</v>
          </cell>
          <cell r="P54" t="str">
            <v>Hospital</v>
          </cell>
          <cell r="Q54" t="str">
            <v>BC5645809</v>
          </cell>
          <cell r="R54" t="str">
            <v>84WSSC400</v>
          </cell>
          <cell r="S54" t="str">
            <v>1100005918887</v>
          </cell>
          <cell r="T54">
            <v>35977</v>
          </cell>
          <cell r="U54">
            <v>35977</v>
          </cell>
          <cell r="V54">
            <v>43000261</v>
          </cell>
          <cell r="W54">
            <v>102381</v>
          </cell>
          <cell r="X54">
            <v>3</v>
          </cell>
          <cell r="Y54" t="str">
            <v>Active</v>
          </cell>
          <cell r="AA54">
            <v>1618</v>
          </cell>
        </row>
        <row r="55">
          <cell r="A55">
            <v>1619</v>
          </cell>
          <cell r="B55" t="str">
            <v>Littleton Adventist Hospital / Littleton / CO</v>
          </cell>
          <cell r="D55">
            <v>5</v>
          </cell>
          <cell r="E55" t="str">
            <v>Littleton Adventist Hospital (1619)</v>
          </cell>
          <cell r="F55" t="str">
            <v>Littleton Adventist Hospital</v>
          </cell>
          <cell r="G55" t="str">
            <v>Littleton</v>
          </cell>
          <cell r="H55" t="str">
            <v>CO</v>
          </cell>
          <cell r="I55" t="str">
            <v>80122</v>
          </cell>
          <cell r="J55" t="str">
            <v>Littleton, CO 80122</v>
          </cell>
          <cell r="K55" t="str">
            <v>7700 S Broadway</v>
          </cell>
          <cell r="M55" t="str">
            <v>303-730-8900</v>
          </cell>
          <cell r="N55" t="str">
            <v>Affiliate Member Of</v>
          </cell>
          <cell r="O55" t="str">
            <v>Acute Care</v>
          </cell>
          <cell r="P55" t="str">
            <v>Hospital</v>
          </cell>
          <cell r="Q55" t="str">
            <v>BL1743738</v>
          </cell>
          <cell r="R55" t="str">
            <v>84D16FB00</v>
          </cell>
          <cell r="S55" t="str">
            <v>1100004551443</v>
          </cell>
          <cell r="T55">
            <v>35977</v>
          </cell>
          <cell r="U55">
            <v>35977</v>
          </cell>
          <cell r="V55">
            <v>43000261</v>
          </cell>
          <cell r="W55">
            <v>102381</v>
          </cell>
          <cell r="X55">
            <v>5</v>
          </cell>
          <cell r="Y55" t="str">
            <v>Active</v>
          </cell>
          <cell r="AA55">
            <v>1619</v>
          </cell>
        </row>
        <row r="56">
          <cell r="A56">
            <v>1621</v>
          </cell>
          <cell r="B56" t="str">
            <v>St. Catherine Hospital / Garden City / KS</v>
          </cell>
          <cell r="C56" t="str">
            <v>MBO13</v>
          </cell>
          <cell r="D56">
            <v>2</v>
          </cell>
          <cell r="E56" t="str">
            <v>St. Catherine Hospital (1621)</v>
          </cell>
          <cell r="F56" t="str">
            <v>St. Catherine Hospital</v>
          </cell>
          <cell r="G56" t="str">
            <v>Garden City</v>
          </cell>
          <cell r="H56" t="str">
            <v>KS</v>
          </cell>
          <cell r="I56" t="str">
            <v>67846-5679</v>
          </cell>
          <cell r="J56" t="str">
            <v>Garden City, KS 67846-5679</v>
          </cell>
          <cell r="K56" t="str">
            <v>401 E. Spruce</v>
          </cell>
          <cell r="M56" t="str">
            <v>620-272-2222</v>
          </cell>
          <cell r="N56" t="str">
            <v>System Member Of</v>
          </cell>
          <cell r="O56" t="str">
            <v>Acute Care</v>
          </cell>
          <cell r="P56" t="str">
            <v>Hospital</v>
          </cell>
          <cell r="Q56" t="str">
            <v>AS1301706</v>
          </cell>
          <cell r="R56" t="str">
            <v>670390P00</v>
          </cell>
          <cell r="S56" t="str">
            <v>1100005115163</v>
          </cell>
          <cell r="T56">
            <v>35977</v>
          </cell>
          <cell r="U56">
            <v>35977</v>
          </cell>
          <cell r="V56">
            <v>43000261</v>
          </cell>
          <cell r="W56">
            <v>374774</v>
          </cell>
          <cell r="X56">
            <v>19</v>
          </cell>
          <cell r="Y56" t="str">
            <v>Active</v>
          </cell>
          <cell r="AA56">
            <v>1621</v>
          </cell>
        </row>
        <row r="57">
          <cell r="A57">
            <v>1622</v>
          </cell>
          <cell r="B57" t="str">
            <v>St. Francis Healthcare Campus / Breckenridge  / MN</v>
          </cell>
          <cell r="C57" t="str">
            <v>MBO31</v>
          </cell>
          <cell r="D57">
            <v>4</v>
          </cell>
          <cell r="E57" t="str">
            <v>St. Francis Healthcare Campus (1622)</v>
          </cell>
          <cell r="F57" t="str">
            <v>St. Francis Healthcare Campus</v>
          </cell>
          <cell r="G57" t="str">
            <v xml:space="preserve">Breckenridge </v>
          </cell>
          <cell r="H57" t="str">
            <v>MN</v>
          </cell>
          <cell r="I57" t="str">
            <v>56520</v>
          </cell>
          <cell r="J57" t="str">
            <v>Breckenridge , MN 56520</v>
          </cell>
          <cell r="K57" t="str">
            <v>2400 St. Francis Drive</v>
          </cell>
          <cell r="M57" t="str">
            <v>218-643-3000</v>
          </cell>
          <cell r="N57" t="str">
            <v>System Member Of</v>
          </cell>
          <cell r="O57" t="str">
            <v>Acute Care</v>
          </cell>
          <cell r="P57" t="str">
            <v>Hospital</v>
          </cell>
          <cell r="Q57" t="str">
            <v>AS3642798</v>
          </cell>
          <cell r="R57" t="str">
            <v>610200900</v>
          </cell>
          <cell r="S57" t="str">
            <v>1100002174262</v>
          </cell>
          <cell r="T57">
            <v>35977</v>
          </cell>
          <cell r="U57">
            <v>35977</v>
          </cell>
          <cell r="V57">
            <v>43000261</v>
          </cell>
          <cell r="W57">
            <v>370351</v>
          </cell>
          <cell r="X57">
            <v>32</v>
          </cell>
          <cell r="Y57" t="str">
            <v>Active</v>
          </cell>
          <cell r="AA57">
            <v>1622</v>
          </cell>
        </row>
        <row r="58">
          <cell r="A58">
            <v>1623</v>
          </cell>
          <cell r="B58" t="str">
            <v>St. Gabriel's Hospital / Little Falls / MN</v>
          </cell>
          <cell r="C58" t="str">
            <v>MBO33</v>
          </cell>
          <cell r="D58">
            <v>4</v>
          </cell>
          <cell r="E58" t="str">
            <v>St. Gabriel's Hospital (1623)</v>
          </cell>
          <cell r="F58" t="str">
            <v>St. Gabriel's Hospital</v>
          </cell>
          <cell r="G58" t="str">
            <v>Little Falls</v>
          </cell>
          <cell r="H58" t="str">
            <v>MN</v>
          </cell>
          <cell r="I58" t="str">
            <v>56345</v>
          </cell>
          <cell r="J58" t="str">
            <v>Little Falls, MN 56345</v>
          </cell>
          <cell r="K58" t="str">
            <v>815 2nd St SE</v>
          </cell>
          <cell r="M58" t="str">
            <v>320-632-5441</v>
          </cell>
          <cell r="N58" t="str">
            <v>System Member Of</v>
          </cell>
          <cell r="O58" t="str">
            <v>Acute Care</v>
          </cell>
          <cell r="P58" t="str">
            <v>Hospital</v>
          </cell>
          <cell r="Q58" t="str">
            <v>AS3642065</v>
          </cell>
          <cell r="R58" t="str">
            <v>610810G00</v>
          </cell>
          <cell r="S58" t="str">
            <v>1100005690271</v>
          </cell>
          <cell r="T58">
            <v>35977</v>
          </cell>
          <cell r="U58">
            <v>35977</v>
          </cell>
          <cell r="V58">
            <v>43000261</v>
          </cell>
          <cell r="W58">
            <v>370360</v>
          </cell>
          <cell r="X58">
            <v>33</v>
          </cell>
          <cell r="Y58" t="str">
            <v>Active</v>
          </cell>
          <cell r="AA58">
            <v>1623</v>
          </cell>
        </row>
        <row r="59">
          <cell r="A59">
            <v>1624</v>
          </cell>
          <cell r="B59" t="str">
            <v>St. John's Regional Medical Center / Joplin / MO</v>
          </cell>
          <cell r="C59" t="str">
            <v>MBO19</v>
          </cell>
          <cell r="D59">
            <v>2</v>
          </cell>
          <cell r="E59" t="str">
            <v>St. John's Regional Medical Center (1624)</v>
          </cell>
          <cell r="F59" t="str">
            <v>St. John's Regional Medical Center</v>
          </cell>
          <cell r="G59" t="str">
            <v>Joplin</v>
          </cell>
          <cell r="H59" t="str">
            <v>MO</v>
          </cell>
          <cell r="I59" t="str">
            <v>64804</v>
          </cell>
          <cell r="J59" t="str">
            <v>Joplin, MO 64804</v>
          </cell>
          <cell r="K59" t="str">
            <v>2727 McClelland Boulevard</v>
          </cell>
          <cell r="M59" t="str">
            <v>417-781-2727</v>
          </cell>
          <cell r="N59" t="str">
            <v>System Member Of</v>
          </cell>
          <cell r="O59" t="str">
            <v>Acute Care</v>
          </cell>
          <cell r="P59" t="str">
            <v>Hospital</v>
          </cell>
          <cell r="Q59" t="str">
            <v>AS3964889</v>
          </cell>
          <cell r="R59" t="str">
            <v>630670M00</v>
          </cell>
          <cell r="S59" t="str">
            <v>1100004611505</v>
          </cell>
          <cell r="T59">
            <v>35977</v>
          </cell>
          <cell r="U59">
            <v>35977</v>
          </cell>
          <cell r="V59">
            <v>43000261</v>
          </cell>
          <cell r="W59">
            <v>374803</v>
          </cell>
          <cell r="X59">
            <v>36</v>
          </cell>
          <cell r="Y59" t="str">
            <v>Active</v>
          </cell>
          <cell r="AA59">
            <v>1624</v>
          </cell>
        </row>
        <row r="60">
          <cell r="A60">
            <v>1625</v>
          </cell>
          <cell r="B60" t="str">
            <v>St. Joseph's Hospital / Park Rapids / MN</v>
          </cell>
          <cell r="C60" t="str">
            <v>MBO32</v>
          </cell>
          <cell r="D60">
            <v>4</v>
          </cell>
          <cell r="E60" t="str">
            <v>St. Joseph's Hospital (1625)</v>
          </cell>
          <cell r="F60" t="str">
            <v>St. Joseph's Hospital</v>
          </cell>
          <cell r="G60" t="str">
            <v>Park Rapids</v>
          </cell>
          <cell r="H60" t="str">
            <v>MN</v>
          </cell>
          <cell r="I60" t="str">
            <v>56470</v>
          </cell>
          <cell r="J60" t="str">
            <v>Park Rapids, MN 56470</v>
          </cell>
          <cell r="K60" t="str">
            <v>600 Pleasant Avenue</v>
          </cell>
          <cell r="M60" t="str">
            <v>218-732-3311</v>
          </cell>
          <cell r="N60" t="str">
            <v>System Member Of</v>
          </cell>
          <cell r="O60" t="str">
            <v>Acute Care</v>
          </cell>
          <cell r="P60" t="str">
            <v>Hospital</v>
          </cell>
          <cell r="Q60" t="str">
            <v>BS3867263</v>
          </cell>
          <cell r="R60" t="str">
            <v>611200A00</v>
          </cell>
          <cell r="S60" t="str">
            <v>1100002123246</v>
          </cell>
          <cell r="T60">
            <v>35977</v>
          </cell>
          <cell r="U60">
            <v>35977</v>
          </cell>
          <cell r="V60">
            <v>43000261</v>
          </cell>
          <cell r="W60">
            <v>370378</v>
          </cell>
          <cell r="X60">
            <v>34</v>
          </cell>
          <cell r="Y60" t="str">
            <v>Active</v>
          </cell>
          <cell r="AA60">
            <v>1625</v>
          </cell>
        </row>
        <row r="61">
          <cell r="A61">
            <v>1626</v>
          </cell>
          <cell r="B61" t="str">
            <v>St. Joseph's Hospital and Health Center / Dickinson / ND</v>
          </cell>
          <cell r="C61" t="str">
            <v>MBO42</v>
          </cell>
          <cell r="D61">
            <v>4</v>
          </cell>
          <cell r="E61" t="str">
            <v>St. Joseph's Hospital and Health Center (1626)</v>
          </cell>
          <cell r="F61" t="str">
            <v>St. Joseph's Hospital and Health Center</v>
          </cell>
          <cell r="G61" t="str">
            <v>Dickinson</v>
          </cell>
          <cell r="H61" t="str">
            <v>ND</v>
          </cell>
          <cell r="I61" t="str">
            <v>58601</v>
          </cell>
          <cell r="J61" t="str">
            <v>Dickinson, ND 58601</v>
          </cell>
          <cell r="K61" t="str">
            <v>30 West 7th Street</v>
          </cell>
          <cell r="M61" t="str">
            <v>701-456-4000</v>
          </cell>
          <cell r="N61" t="str">
            <v>System Member Of</v>
          </cell>
          <cell r="O61" t="str">
            <v>Acute Care</v>
          </cell>
          <cell r="P61" t="str">
            <v>Hospital</v>
          </cell>
          <cell r="Q61" t="str">
            <v>AS3791212</v>
          </cell>
          <cell r="R61" t="str">
            <v>640140F00</v>
          </cell>
          <cell r="S61" t="str">
            <v>1100004709400</v>
          </cell>
          <cell r="T61">
            <v>35977</v>
          </cell>
          <cell r="U61">
            <v>35977</v>
          </cell>
          <cell r="V61">
            <v>43000261</v>
          </cell>
          <cell r="W61">
            <v>370407</v>
          </cell>
          <cell r="X61">
            <v>43</v>
          </cell>
          <cell r="Y61" t="str">
            <v>Active</v>
          </cell>
          <cell r="AA61">
            <v>1626</v>
          </cell>
        </row>
        <row r="62">
          <cell r="A62">
            <v>1628</v>
          </cell>
          <cell r="B62" t="str">
            <v>St. Mary's Healthcare Center / Pierre / SD</v>
          </cell>
          <cell r="C62" t="str">
            <v>MBO50</v>
          </cell>
          <cell r="D62">
            <v>4</v>
          </cell>
          <cell r="E62" t="str">
            <v>St. Mary's Healthcare Center (1628)</v>
          </cell>
          <cell r="F62" t="str">
            <v>St. Mary's Healthcare Center</v>
          </cell>
          <cell r="G62" t="str">
            <v>Pierre</v>
          </cell>
          <cell r="H62" t="str">
            <v>SD</v>
          </cell>
          <cell r="I62" t="str">
            <v>57501-3313</v>
          </cell>
          <cell r="J62" t="str">
            <v>Pierre, SD 57501-3313</v>
          </cell>
          <cell r="K62" t="str">
            <v>800 E Dakota Avenue</v>
          </cell>
          <cell r="M62" t="str">
            <v>605-224-3100</v>
          </cell>
          <cell r="N62" t="str">
            <v>System Member Of</v>
          </cell>
          <cell r="O62" t="str">
            <v>Acute Care</v>
          </cell>
          <cell r="P62" t="str">
            <v>Hospital</v>
          </cell>
          <cell r="Q62" t="str">
            <v>AS4069313</v>
          </cell>
          <cell r="R62" t="str">
            <v>650420H00</v>
          </cell>
          <cell r="S62" t="str">
            <v>1100003154232</v>
          </cell>
          <cell r="T62">
            <v>35977</v>
          </cell>
          <cell r="U62">
            <v>35977</v>
          </cell>
          <cell r="V62">
            <v>43000261</v>
          </cell>
          <cell r="W62">
            <v>370466</v>
          </cell>
          <cell r="X62">
            <v>59</v>
          </cell>
          <cell r="Y62" t="str">
            <v>Active</v>
          </cell>
          <cell r="AA62">
            <v>1628</v>
          </cell>
        </row>
        <row r="63">
          <cell r="A63">
            <v>1630</v>
          </cell>
          <cell r="B63" t="str">
            <v>St. Catherine's Residence and Nursing Home / North Bend / OR</v>
          </cell>
          <cell r="D63">
            <v>3</v>
          </cell>
          <cell r="E63" t="str">
            <v>St. Catherine's Residence and Nursing Home (1630)</v>
          </cell>
          <cell r="F63" t="str">
            <v>St. Catherine's Residence and Nursing Home</v>
          </cell>
          <cell r="G63" t="str">
            <v>North Bend</v>
          </cell>
          <cell r="H63" t="str">
            <v>OR</v>
          </cell>
          <cell r="I63" t="str">
            <v>97459</v>
          </cell>
          <cell r="J63" t="str">
            <v>North Bend, OR 97459</v>
          </cell>
          <cell r="K63" t="str">
            <v>3959 Sheridan Avenue</v>
          </cell>
          <cell r="M63" t="str">
            <v>541-756-4151</v>
          </cell>
          <cell r="N63" t="str">
            <v>System Member Of</v>
          </cell>
          <cell r="O63" t="str">
            <v>Long Term Care</v>
          </cell>
          <cell r="P63" t="str">
            <v>Skilled Nursing Facility</v>
          </cell>
          <cell r="R63" t="str">
            <v>41SPZG100</v>
          </cell>
          <cell r="T63">
            <v>35977</v>
          </cell>
          <cell r="V63">
            <v>0</v>
          </cell>
          <cell r="W63">
            <v>0</v>
          </cell>
          <cell r="X63">
            <v>91</v>
          </cell>
          <cell r="Y63" t="str">
            <v>Inactive</v>
          </cell>
          <cell r="Z63">
            <v>38231</v>
          </cell>
        </row>
        <row r="64">
          <cell r="A64">
            <v>1631</v>
          </cell>
          <cell r="B64" t="str">
            <v>Saint Francis Memorial Health Center / Grand Island / NE</v>
          </cell>
          <cell r="D64">
            <v>2</v>
          </cell>
          <cell r="E64" t="str">
            <v>Saint Francis Memorial Health Center (1631)</v>
          </cell>
          <cell r="F64" t="str">
            <v>Saint Francis Memorial Health Center</v>
          </cell>
          <cell r="G64" t="str">
            <v>Grand Island</v>
          </cell>
          <cell r="H64" t="str">
            <v>NE</v>
          </cell>
          <cell r="I64" t="str">
            <v>68803</v>
          </cell>
          <cell r="J64" t="str">
            <v>Grand Island, NE 68803</v>
          </cell>
          <cell r="K64" t="str">
            <v>2116 West Faidley Avenue</v>
          </cell>
          <cell r="M64" t="str">
            <v>308-384-4600</v>
          </cell>
          <cell r="N64" t="str">
            <v>System Member Of</v>
          </cell>
          <cell r="O64" t="str">
            <v>Long Term Care</v>
          </cell>
          <cell r="P64" t="str">
            <v>Long Term Care Pharmacy Provider</v>
          </cell>
          <cell r="Q64" t="str">
            <v>BS4953368</v>
          </cell>
          <cell r="R64" t="str">
            <v>0C8975500</v>
          </cell>
          <cell r="S64" t="str">
            <v>1100005127906</v>
          </cell>
          <cell r="T64">
            <v>35977</v>
          </cell>
          <cell r="U64">
            <v>35977</v>
          </cell>
          <cell r="V64">
            <v>43000261</v>
          </cell>
          <cell r="W64">
            <v>370511</v>
          </cell>
          <cell r="X64">
            <v>47</v>
          </cell>
          <cell r="Y64" t="str">
            <v>Active</v>
          </cell>
          <cell r="AA64">
            <v>1631</v>
          </cell>
        </row>
        <row r="65">
          <cell r="A65">
            <v>1632</v>
          </cell>
          <cell r="B65" t="str">
            <v>Mt. St. Joseph Residence and Extended Care Center / Portland / OR</v>
          </cell>
          <cell r="D65">
            <v>3</v>
          </cell>
          <cell r="E65" t="str">
            <v>Mt. St. Joseph Residence and Extended Care Center (1632)</v>
          </cell>
          <cell r="F65" t="str">
            <v>Mt. St. Joseph Residence and Extended Care Center</v>
          </cell>
          <cell r="G65" t="str">
            <v>Portland</v>
          </cell>
          <cell r="H65" t="str">
            <v>OR</v>
          </cell>
          <cell r="J65" t="str">
            <v>Portland, OR 97214</v>
          </cell>
          <cell r="K65" t="str">
            <v>3060 SE Stark Street</v>
          </cell>
          <cell r="M65" t="str">
            <v>503-232-6193</v>
          </cell>
          <cell r="N65" t="str">
            <v>System Member Of</v>
          </cell>
          <cell r="O65" t="str">
            <v>Long Term Care</v>
          </cell>
          <cell r="P65" t="str">
            <v>Skilled Nursing Facility</v>
          </cell>
          <cell r="R65" t="str">
            <v>41VT6KJ00</v>
          </cell>
          <cell r="S65" t="str">
            <v>1100003527272</v>
          </cell>
          <cell r="T65">
            <v>35977</v>
          </cell>
          <cell r="V65">
            <v>0</v>
          </cell>
          <cell r="W65">
            <v>0</v>
          </cell>
          <cell r="X65">
            <v>91</v>
          </cell>
          <cell r="Y65" t="str">
            <v>Inactive</v>
          </cell>
          <cell r="Z65">
            <v>38533</v>
          </cell>
        </row>
        <row r="66">
          <cell r="A66">
            <v>1636</v>
          </cell>
          <cell r="B66" t="str">
            <v>Monroe County Hospital / Albia / IA</v>
          </cell>
          <cell r="D66">
            <v>2</v>
          </cell>
          <cell r="E66" t="str">
            <v>Monroe County Hospital (1636)</v>
          </cell>
          <cell r="F66" t="str">
            <v>Monroe County Hospital</v>
          </cell>
          <cell r="G66" t="str">
            <v>Albia</v>
          </cell>
          <cell r="H66" t="str">
            <v>IA</v>
          </cell>
          <cell r="I66" t="str">
            <v>52531</v>
          </cell>
          <cell r="J66" t="str">
            <v>Albia, IA 52531</v>
          </cell>
          <cell r="K66" t="str">
            <v>6580 165th Street</v>
          </cell>
          <cell r="M66" t="str">
            <v>641-932-1755</v>
          </cell>
          <cell r="N66" t="str">
            <v>Affiliate Member Of</v>
          </cell>
          <cell r="O66" t="str">
            <v>Acute Care</v>
          </cell>
          <cell r="P66" t="str">
            <v>Hospital</v>
          </cell>
          <cell r="Q66" t="str">
            <v>AM4050592</v>
          </cell>
          <cell r="R66" t="str">
            <v>620020A00</v>
          </cell>
          <cell r="S66" t="str">
            <v>1100003262418</v>
          </cell>
          <cell r="T66">
            <v>37135</v>
          </cell>
          <cell r="U66">
            <v>37895</v>
          </cell>
          <cell r="V66">
            <v>43000261</v>
          </cell>
          <cell r="W66">
            <v>374766</v>
          </cell>
          <cell r="X66">
            <v>15</v>
          </cell>
          <cell r="Y66" t="str">
            <v>Active</v>
          </cell>
          <cell r="AA66">
            <v>1636</v>
          </cell>
        </row>
        <row r="67">
          <cell r="A67">
            <v>1637</v>
          </cell>
          <cell r="B67" t="str">
            <v>Davis County Hospital / Bloomfield / IA</v>
          </cell>
          <cell r="D67">
            <v>2</v>
          </cell>
          <cell r="E67" t="str">
            <v>Davis County Hospital (1637)</v>
          </cell>
          <cell r="F67" t="str">
            <v>Davis County Hospital</v>
          </cell>
          <cell r="G67" t="str">
            <v>Bloomfield</v>
          </cell>
          <cell r="H67" t="str">
            <v>IA</v>
          </cell>
          <cell r="I67" t="str">
            <v>52537</v>
          </cell>
          <cell r="J67" t="str">
            <v>Bloomfield, IA 52537</v>
          </cell>
          <cell r="K67" t="str">
            <v>507 N Madison</v>
          </cell>
          <cell r="M67" t="str">
            <v>641-664-2145</v>
          </cell>
          <cell r="N67" t="str">
            <v>Affiliate Member Of</v>
          </cell>
          <cell r="O67" t="str">
            <v>Acute Care</v>
          </cell>
          <cell r="P67" t="str">
            <v>Hospital</v>
          </cell>
          <cell r="Q67" t="str">
            <v>AD4034435</v>
          </cell>
          <cell r="R67" t="str">
            <v>620090H00</v>
          </cell>
          <cell r="S67" t="str">
            <v>1100004637307</v>
          </cell>
          <cell r="T67">
            <v>37135</v>
          </cell>
          <cell r="U67">
            <v>37257</v>
          </cell>
          <cell r="V67">
            <v>43000261</v>
          </cell>
          <cell r="W67">
            <v>374766</v>
          </cell>
          <cell r="X67">
            <v>15</v>
          </cell>
          <cell r="Y67" t="str">
            <v>Active</v>
          </cell>
          <cell r="AA67">
            <v>1637</v>
          </cell>
        </row>
        <row r="68">
          <cell r="A68">
            <v>1638</v>
          </cell>
          <cell r="B68" t="str">
            <v>Wayne County Hospital / Corydon / IA</v>
          </cell>
          <cell r="D68">
            <v>2</v>
          </cell>
          <cell r="E68" t="str">
            <v>Wayne County Hospital (1638)</v>
          </cell>
          <cell r="F68" t="str">
            <v>Wayne County Hospital</v>
          </cell>
          <cell r="G68" t="str">
            <v>Corydon</v>
          </cell>
          <cell r="H68" t="str">
            <v>IA</v>
          </cell>
          <cell r="I68" t="str">
            <v>50060</v>
          </cell>
          <cell r="J68" t="str">
            <v>Corydon, IA 50060</v>
          </cell>
          <cell r="K68" t="str">
            <v>417 South East Street</v>
          </cell>
          <cell r="M68" t="str">
            <v>641-872-2260</v>
          </cell>
          <cell r="N68" t="str">
            <v>Affiliate Member Of</v>
          </cell>
          <cell r="O68" t="str">
            <v>Acute Care</v>
          </cell>
          <cell r="P68" t="str">
            <v>Hospital</v>
          </cell>
          <cell r="Q68" t="str">
            <v>AW3013252</v>
          </cell>
          <cell r="R68" t="str">
            <v>620290J00</v>
          </cell>
          <cell r="S68" t="str">
            <v>1100004528674</v>
          </cell>
          <cell r="T68">
            <v>37135</v>
          </cell>
          <cell r="U68">
            <v>37257</v>
          </cell>
          <cell r="V68">
            <v>43000261</v>
          </cell>
          <cell r="W68">
            <v>374766</v>
          </cell>
          <cell r="X68">
            <v>15</v>
          </cell>
          <cell r="Y68" t="str">
            <v>Active</v>
          </cell>
          <cell r="AA68">
            <v>1638</v>
          </cell>
        </row>
        <row r="69">
          <cell r="A69">
            <v>1639</v>
          </cell>
          <cell r="B69" t="str">
            <v>Adair County Memorial Hospital / Greenfield / IA</v>
          </cell>
          <cell r="D69">
            <v>2</v>
          </cell>
          <cell r="E69" t="str">
            <v>Adair County Memorial Hospital (1639)</v>
          </cell>
          <cell r="F69" t="str">
            <v>Adair County Memorial Hospital</v>
          </cell>
          <cell r="G69" t="str">
            <v>Greenfield</v>
          </cell>
          <cell r="H69" t="str">
            <v>IA</v>
          </cell>
          <cell r="I69" t="str">
            <v>50849</v>
          </cell>
          <cell r="J69" t="str">
            <v>Greenfield, IA 50849</v>
          </cell>
          <cell r="K69" t="str">
            <v>609 SE Kent</v>
          </cell>
          <cell r="M69" t="str">
            <v>641-743-2123</v>
          </cell>
          <cell r="N69" t="str">
            <v>Affiliate Member Of</v>
          </cell>
          <cell r="O69" t="str">
            <v>Acute Care</v>
          </cell>
          <cell r="P69" t="str">
            <v>Hospital</v>
          </cell>
          <cell r="Q69" t="str">
            <v>AA4036504</v>
          </cell>
          <cell r="R69" t="str">
            <v>620600E00</v>
          </cell>
          <cell r="S69" t="str">
            <v>1100004551658</v>
          </cell>
          <cell r="T69">
            <v>37135</v>
          </cell>
          <cell r="U69">
            <v>37257</v>
          </cell>
          <cell r="V69">
            <v>43000261</v>
          </cell>
          <cell r="W69">
            <v>374766</v>
          </cell>
          <cell r="X69">
            <v>15</v>
          </cell>
          <cell r="Y69" t="str">
            <v>Active</v>
          </cell>
          <cell r="AA69">
            <v>1639</v>
          </cell>
        </row>
        <row r="70">
          <cell r="A70">
            <v>1640</v>
          </cell>
          <cell r="B70" t="str">
            <v>Madrid Home for the Aged / Madrid / IA</v>
          </cell>
          <cell r="D70">
            <v>2</v>
          </cell>
          <cell r="E70" t="str">
            <v>Madrid Home for the Aged (1640)</v>
          </cell>
          <cell r="F70" t="str">
            <v>Madrid Home for the Aged</v>
          </cell>
          <cell r="G70" t="str">
            <v>Madrid</v>
          </cell>
          <cell r="H70" t="str">
            <v>IA</v>
          </cell>
          <cell r="I70" t="str">
            <v>50156</v>
          </cell>
          <cell r="J70" t="str">
            <v>Madrid, IA 50156</v>
          </cell>
          <cell r="K70" t="str">
            <v>613 W North Street</v>
          </cell>
          <cell r="M70" t="str">
            <v>515-795-3007</v>
          </cell>
          <cell r="N70" t="str">
            <v>Affiliate Member Of</v>
          </cell>
          <cell r="O70" t="str">
            <v>Long Term Care</v>
          </cell>
          <cell r="P70" t="str">
            <v>Nursing Home w/ Pharmacy</v>
          </cell>
          <cell r="R70" t="str">
            <v>199YZUA00</v>
          </cell>
          <cell r="S70" t="str">
            <v>1100002591724</v>
          </cell>
          <cell r="T70">
            <v>37135</v>
          </cell>
          <cell r="V70">
            <v>43000261</v>
          </cell>
          <cell r="W70">
            <v>374766</v>
          </cell>
          <cell r="X70">
            <v>15</v>
          </cell>
          <cell r="Y70" t="str">
            <v>Active</v>
          </cell>
          <cell r="AA70">
            <v>1640</v>
          </cell>
        </row>
        <row r="71">
          <cell r="A71">
            <v>1642</v>
          </cell>
          <cell r="B71" t="str">
            <v>Audubon County Memorial Hospital / Audubon / IA</v>
          </cell>
          <cell r="D71">
            <v>2</v>
          </cell>
          <cell r="E71" t="str">
            <v>Audubon County Memorial Hospital (1642)</v>
          </cell>
          <cell r="F71" t="str">
            <v>Audubon County Memorial Hospital</v>
          </cell>
          <cell r="G71" t="str">
            <v>Audubon</v>
          </cell>
          <cell r="H71" t="str">
            <v>IA</v>
          </cell>
          <cell r="I71" t="str">
            <v>50025</v>
          </cell>
          <cell r="J71" t="str">
            <v>Audubon, IA 50025</v>
          </cell>
          <cell r="K71" t="str">
            <v>515 Pacific Street</v>
          </cell>
          <cell r="M71" t="str">
            <v>712-563-2611</v>
          </cell>
          <cell r="N71" t="str">
            <v>Affiliate Member Of</v>
          </cell>
          <cell r="O71" t="str">
            <v>Acute Care</v>
          </cell>
          <cell r="P71" t="str">
            <v>Hospital</v>
          </cell>
          <cell r="Q71" t="str">
            <v>AA4029864</v>
          </cell>
          <cell r="R71" t="str">
            <v>620070F00</v>
          </cell>
          <cell r="S71" t="str">
            <v>1100002591960</v>
          </cell>
          <cell r="T71">
            <v>37135</v>
          </cell>
          <cell r="U71">
            <v>37257</v>
          </cell>
          <cell r="V71">
            <v>43000261</v>
          </cell>
          <cell r="W71">
            <v>374766</v>
          </cell>
          <cell r="X71">
            <v>15</v>
          </cell>
          <cell r="Y71" t="str">
            <v>Active</v>
          </cell>
          <cell r="AA71">
            <v>1642</v>
          </cell>
        </row>
        <row r="72">
          <cell r="A72">
            <v>1643</v>
          </cell>
          <cell r="B72" t="str">
            <v>Ringgold County Hospital / Mount Ayr / IA</v>
          </cell>
          <cell r="D72">
            <v>2</v>
          </cell>
          <cell r="E72" t="str">
            <v>Ringgold County Hospital (1643)</v>
          </cell>
          <cell r="F72" t="str">
            <v>Ringgold County Hospital</v>
          </cell>
          <cell r="G72" t="str">
            <v>Mount Ayr</v>
          </cell>
          <cell r="H72" t="str">
            <v>IA</v>
          </cell>
          <cell r="I72" t="str">
            <v>50854-1233</v>
          </cell>
          <cell r="J72" t="str">
            <v>Mount Ayr, IA 50854-1233</v>
          </cell>
          <cell r="K72" t="str">
            <v>211 Shellway Drive</v>
          </cell>
          <cell r="M72" t="str">
            <v>515-464-3226</v>
          </cell>
          <cell r="N72" t="str">
            <v>Affiliate Member Of</v>
          </cell>
          <cell r="O72" t="str">
            <v>Acute Care</v>
          </cell>
          <cell r="P72" t="str">
            <v>Hospital</v>
          </cell>
          <cell r="Q72" t="str">
            <v>AR4013215</v>
          </cell>
          <cell r="R72" t="str">
            <v>620970O00</v>
          </cell>
          <cell r="S72" t="str">
            <v>1100004893932</v>
          </cell>
          <cell r="T72">
            <v>37135</v>
          </cell>
          <cell r="U72">
            <v>37257</v>
          </cell>
          <cell r="V72">
            <v>43000261</v>
          </cell>
          <cell r="W72">
            <v>374766</v>
          </cell>
          <cell r="X72">
            <v>15</v>
          </cell>
          <cell r="Y72" t="str">
            <v>Active</v>
          </cell>
          <cell r="AA72">
            <v>1643</v>
          </cell>
        </row>
        <row r="73">
          <cell r="A73">
            <v>1644</v>
          </cell>
          <cell r="B73" t="str">
            <v>Story County Hospital / Nevada / IA</v>
          </cell>
          <cell r="D73">
            <v>2</v>
          </cell>
          <cell r="E73" t="str">
            <v>Story County Hospital (1644)</v>
          </cell>
          <cell r="F73" t="str">
            <v>Story County Hospital</v>
          </cell>
          <cell r="G73" t="str">
            <v>Nevada</v>
          </cell>
          <cell r="H73" t="str">
            <v>IA</v>
          </cell>
          <cell r="I73" t="str">
            <v>50201-2213</v>
          </cell>
          <cell r="J73" t="str">
            <v>Nevada, IA 50201-2213</v>
          </cell>
          <cell r="K73" t="str">
            <v>630 6th Street</v>
          </cell>
          <cell r="M73" t="str">
            <v>515-382-2111</v>
          </cell>
          <cell r="N73" t="str">
            <v>Affiliate Member Of</v>
          </cell>
          <cell r="O73" t="str">
            <v>Acute Care</v>
          </cell>
          <cell r="P73" t="str">
            <v>Hospital</v>
          </cell>
          <cell r="Q73" t="str">
            <v>AS4020157</v>
          </cell>
          <cell r="R73" t="str">
            <v>621010A00</v>
          </cell>
          <cell r="S73" t="str">
            <v>1100005483439</v>
          </cell>
          <cell r="T73">
            <v>37135</v>
          </cell>
          <cell r="U73">
            <v>37257</v>
          </cell>
          <cell r="V73">
            <v>43000261</v>
          </cell>
          <cell r="W73">
            <v>374766</v>
          </cell>
          <cell r="X73">
            <v>15</v>
          </cell>
          <cell r="Y73" t="str">
            <v>Active</v>
          </cell>
          <cell r="AA73">
            <v>1644</v>
          </cell>
        </row>
        <row r="74">
          <cell r="A74">
            <v>1663</v>
          </cell>
          <cell r="B74" t="str">
            <v>Mercy Indianola Medical Clinic / Indianola / IA</v>
          </cell>
          <cell r="D74">
            <v>2</v>
          </cell>
          <cell r="E74" t="str">
            <v>Mercy Indianola Medical Clinic (1663)</v>
          </cell>
          <cell r="F74" t="str">
            <v>Mercy Indianola Medical Clinic</v>
          </cell>
          <cell r="G74" t="str">
            <v>Indianola</v>
          </cell>
          <cell r="H74" t="str">
            <v>IA</v>
          </cell>
          <cell r="I74" t="str">
            <v>50125</v>
          </cell>
          <cell r="J74" t="str">
            <v>Indianola, IA 50125</v>
          </cell>
          <cell r="K74" t="str">
            <v>108 N Jefferson</v>
          </cell>
          <cell r="M74" t="str">
            <v>515-961-8448</v>
          </cell>
          <cell r="N74" t="str">
            <v>System Member Of</v>
          </cell>
          <cell r="O74" t="str">
            <v>Ambulatory Care</v>
          </cell>
          <cell r="P74" t="str">
            <v>Clinic</v>
          </cell>
          <cell r="Q74" t="str">
            <v>BL0685872</v>
          </cell>
          <cell r="R74" t="str">
            <v>H7ZR4L300</v>
          </cell>
          <cell r="S74" t="str">
            <v>1100002871895</v>
          </cell>
          <cell r="T74">
            <v>37135</v>
          </cell>
          <cell r="U74">
            <v>37257</v>
          </cell>
          <cell r="V74">
            <v>43000261</v>
          </cell>
          <cell r="W74">
            <v>374766</v>
          </cell>
          <cell r="X74">
            <v>15</v>
          </cell>
          <cell r="Y74" t="str">
            <v>Active</v>
          </cell>
          <cell r="AA74">
            <v>1663</v>
          </cell>
        </row>
        <row r="75">
          <cell r="A75">
            <v>1664</v>
          </cell>
          <cell r="B75" t="str">
            <v>Mercy Urbandale Medical Clinic / Urbandale / IA</v>
          </cell>
          <cell r="D75">
            <v>2</v>
          </cell>
          <cell r="E75" t="str">
            <v>Mercy Urbandale Medical Clinic (1664)</v>
          </cell>
          <cell r="F75" t="str">
            <v>Mercy Urbandale Medical Clinic</v>
          </cell>
          <cell r="G75" t="str">
            <v>Urbandale</v>
          </cell>
          <cell r="H75" t="str">
            <v>IA</v>
          </cell>
          <cell r="I75" t="str">
            <v>50322</v>
          </cell>
          <cell r="J75" t="str">
            <v>Urbandale, IA 50322</v>
          </cell>
          <cell r="K75" t="str">
            <v>6200 Aurora Ave</v>
          </cell>
          <cell r="M75" t="str">
            <v>515-270-1177</v>
          </cell>
          <cell r="N75" t="str">
            <v>System Member Of</v>
          </cell>
          <cell r="O75" t="str">
            <v>Ambulatory Care</v>
          </cell>
          <cell r="P75" t="str">
            <v>Clinic</v>
          </cell>
          <cell r="Q75" t="str">
            <v>AT5192846</v>
          </cell>
          <cell r="R75" t="str">
            <v>HRV05Y600</v>
          </cell>
          <cell r="S75" t="str">
            <v>1100002564766</v>
          </cell>
          <cell r="T75">
            <v>37135</v>
          </cell>
          <cell r="U75">
            <v>37257</v>
          </cell>
          <cell r="V75">
            <v>43000261</v>
          </cell>
          <cell r="W75">
            <v>374766</v>
          </cell>
          <cell r="X75">
            <v>15</v>
          </cell>
          <cell r="Y75" t="str">
            <v>Active</v>
          </cell>
          <cell r="AA75">
            <v>1664</v>
          </cell>
        </row>
        <row r="76">
          <cell r="A76">
            <v>1665</v>
          </cell>
          <cell r="B76" t="str">
            <v>Mercy East Pediatric Clinic / Pleasant Hill / IA</v>
          </cell>
          <cell r="D76">
            <v>2</v>
          </cell>
          <cell r="E76" t="str">
            <v>Mercy East Pediatric Clinic (1665)</v>
          </cell>
          <cell r="F76" t="str">
            <v>Mercy East Pediatric Clinic</v>
          </cell>
          <cell r="G76" t="str">
            <v>Pleasant Hill</v>
          </cell>
          <cell r="H76" t="str">
            <v>IA</v>
          </cell>
          <cell r="I76" t="str">
            <v>50317</v>
          </cell>
          <cell r="J76" t="str">
            <v>Pleasant Hill, IA 50317</v>
          </cell>
          <cell r="K76" t="str">
            <v>5900 E. University, Suite 300</v>
          </cell>
          <cell r="M76" t="str">
            <v>515-643-2600</v>
          </cell>
          <cell r="N76" t="str">
            <v>System Member Of</v>
          </cell>
          <cell r="O76" t="str">
            <v>Ambulatory Care</v>
          </cell>
          <cell r="P76" t="str">
            <v>Clinic</v>
          </cell>
          <cell r="Q76" t="str">
            <v>BO6051243</v>
          </cell>
          <cell r="R76" t="str">
            <v>67721QD00</v>
          </cell>
          <cell r="S76" t="str">
            <v>1100002743376</v>
          </cell>
          <cell r="T76">
            <v>37135</v>
          </cell>
          <cell r="U76">
            <v>37257</v>
          </cell>
          <cell r="V76">
            <v>43000261</v>
          </cell>
          <cell r="W76">
            <v>374766</v>
          </cell>
          <cell r="X76">
            <v>15</v>
          </cell>
          <cell r="Y76" t="str">
            <v>Active</v>
          </cell>
          <cell r="AA76">
            <v>1665</v>
          </cell>
        </row>
        <row r="77">
          <cell r="A77">
            <v>1666</v>
          </cell>
          <cell r="B77" t="str">
            <v>Mercy West Medical Clinic / Clive / IA</v>
          </cell>
          <cell r="D77">
            <v>2</v>
          </cell>
          <cell r="E77" t="str">
            <v>Mercy West Medical Clinic (1666)</v>
          </cell>
          <cell r="F77" t="str">
            <v>Mercy West Medical Clinic</v>
          </cell>
          <cell r="G77" t="str">
            <v>Clive</v>
          </cell>
          <cell r="H77" t="str">
            <v>IA</v>
          </cell>
          <cell r="I77" t="str">
            <v>50325</v>
          </cell>
          <cell r="J77" t="str">
            <v>Clive, IA 50325</v>
          </cell>
          <cell r="K77" t="str">
            <v>1601 NW 114th St</v>
          </cell>
          <cell r="M77" t="str">
            <v>515-222-7000</v>
          </cell>
          <cell r="N77" t="str">
            <v>System Member Of</v>
          </cell>
          <cell r="O77" t="str">
            <v>Ambulatory Care</v>
          </cell>
          <cell r="P77" t="str">
            <v>Clinic</v>
          </cell>
          <cell r="Q77" t="str">
            <v>AE5686843</v>
          </cell>
          <cell r="R77" t="str">
            <v>7Q7GM4A00</v>
          </cell>
          <cell r="S77" t="str">
            <v>1100002503789</v>
          </cell>
          <cell r="T77">
            <v>37135</v>
          </cell>
          <cell r="U77">
            <v>37257</v>
          </cell>
          <cell r="V77">
            <v>43000261</v>
          </cell>
          <cell r="W77">
            <v>374766</v>
          </cell>
          <cell r="X77">
            <v>15</v>
          </cell>
          <cell r="Y77" t="str">
            <v>Active</v>
          </cell>
          <cell r="AA77">
            <v>1666</v>
          </cell>
        </row>
        <row r="78">
          <cell r="A78">
            <v>1667</v>
          </cell>
          <cell r="B78" t="str">
            <v>Mercy Central Pediatric Clinic / Des Moines / IA</v>
          </cell>
          <cell r="D78">
            <v>2</v>
          </cell>
          <cell r="E78" t="str">
            <v>Mercy Central Pediatric Clinic (1667)</v>
          </cell>
          <cell r="F78" t="str">
            <v>Mercy Central Pediatric Clinic</v>
          </cell>
          <cell r="G78" t="str">
            <v>Des Moines</v>
          </cell>
          <cell r="H78" t="str">
            <v>IA</v>
          </cell>
          <cell r="I78" t="str">
            <v>50314</v>
          </cell>
          <cell r="J78" t="str">
            <v>Des Moines, IA 50314</v>
          </cell>
          <cell r="K78" t="str">
            <v>330 Laurel St., Suite 2100</v>
          </cell>
          <cell r="M78" t="str">
            <v>515-643-8611</v>
          </cell>
          <cell r="N78" t="str">
            <v>System Member Of</v>
          </cell>
          <cell r="O78" t="str">
            <v>Ambulatory Care</v>
          </cell>
          <cell r="P78" t="str">
            <v>Clinic</v>
          </cell>
          <cell r="Q78" t="str">
            <v>AS8902492</v>
          </cell>
          <cell r="R78" t="str">
            <v>9PN4AFE00</v>
          </cell>
          <cell r="S78" t="str">
            <v>1100003036132</v>
          </cell>
          <cell r="T78">
            <v>37135</v>
          </cell>
          <cell r="U78">
            <v>37257</v>
          </cell>
          <cell r="V78">
            <v>43000261</v>
          </cell>
          <cell r="W78">
            <v>374766</v>
          </cell>
          <cell r="X78">
            <v>15</v>
          </cell>
          <cell r="Y78" t="str">
            <v>Active</v>
          </cell>
          <cell r="AA78">
            <v>1667</v>
          </cell>
        </row>
        <row r="79">
          <cell r="A79">
            <v>1668</v>
          </cell>
          <cell r="B79" t="str">
            <v>Mercy North Family Practice Urgent Care / Ankeny / IA</v>
          </cell>
          <cell r="D79">
            <v>2</v>
          </cell>
          <cell r="E79" t="str">
            <v>Mercy North Family Practice Urgent Care (1668)</v>
          </cell>
          <cell r="F79" t="str">
            <v>Mercy North Family Practice Urgent Care</v>
          </cell>
          <cell r="G79" t="str">
            <v>Ankeny</v>
          </cell>
          <cell r="H79" t="str">
            <v>IA</v>
          </cell>
          <cell r="I79" t="str">
            <v>50021</v>
          </cell>
          <cell r="J79" t="str">
            <v>Ankeny, IA 50021</v>
          </cell>
          <cell r="K79" t="str">
            <v>800 E. 1st Street, Ste. 1700</v>
          </cell>
          <cell r="M79" t="str">
            <v>515-964-2022</v>
          </cell>
          <cell r="N79" t="str">
            <v>System Member Of</v>
          </cell>
          <cell r="O79" t="str">
            <v>Ambulatory Care</v>
          </cell>
          <cell r="P79" t="str">
            <v>Clinic</v>
          </cell>
          <cell r="Q79" t="str">
            <v>AH5752375</v>
          </cell>
          <cell r="R79" t="str">
            <v>D7HEHFB00</v>
          </cell>
          <cell r="S79" t="str">
            <v>1100002117993</v>
          </cell>
          <cell r="T79">
            <v>37135</v>
          </cell>
          <cell r="U79">
            <v>37257</v>
          </cell>
          <cell r="V79">
            <v>43000261</v>
          </cell>
          <cell r="W79">
            <v>374766</v>
          </cell>
          <cell r="X79">
            <v>15</v>
          </cell>
          <cell r="Y79" t="str">
            <v>Active</v>
          </cell>
          <cell r="AA79">
            <v>1668</v>
          </cell>
        </row>
        <row r="80">
          <cell r="A80">
            <v>1669</v>
          </cell>
          <cell r="B80" t="str">
            <v>Mercy Arthritis &amp; Osteoporosis Center / Des Moines / IA</v>
          </cell>
          <cell r="D80">
            <v>2</v>
          </cell>
          <cell r="E80" t="str">
            <v>Mercy Arthritis &amp; Osteoporosis Center (1669)</v>
          </cell>
          <cell r="F80" t="str">
            <v>Mercy Arthritis &amp; Osteoporosis Center</v>
          </cell>
          <cell r="G80" t="str">
            <v>Des Moines</v>
          </cell>
          <cell r="H80" t="str">
            <v>IA</v>
          </cell>
          <cell r="I80" t="str">
            <v>50322</v>
          </cell>
          <cell r="J80" t="str">
            <v>Des Moines, IA 50322</v>
          </cell>
          <cell r="K80" t="str">
            <v>8421 Plum Dr</v>
          </cell>
          <cell r="M80" t="str">
            <v>515-643-9699</v>
          </cell>
          <cell r="N80" t="str">
            <v>System Member Of</v>
          </cell>
          <cell r="O80" t="str">
            <v>Ambulatory Care</v>
          </cell>
          <cell r="P80" t="str">
            <v>Clinic</v>
          </cell>
          <cell r="Q80" t="str">
            <v>AR9226110</v>
          </cell>
          <cell r="R80" t="str">
            <v>A45HVLG00</v>
          </cell>
          <cell r="S80" t="str">
            <v>1100004601049</v>
          </cell>
          <cell r="T80">
            <v>37135</v>
          </cell>
          <cell r="U80">
            <v>37257</v>
          </cell>
          <cell r="V80">
            <v>43000261</v>
          </cell>
          <cell r="W80">
            <v>374766</v>
          </cell>
          <cell r="X80">
            <v>15</v>
          </cell>
          <cell r="Y80" t="str">
            <v>Active</v>
          </cell>
          <cell r="AA80">
            <v>1669</v>
          </cell>
        </row>
        <row r="81">
          <cell r="A81">
            <v>1670</v>
          </cell>
          <cell r="B81" t="str">
            <v>Mercy East Family Practice / Des Moines / IA</v>
          </cell>
          <cell r="D81">
            <v>2</v>
          </cell>
          <cell r="E81" t="str">
            <v>Mercy East Family Practice (1670)</v>
          </cell>
          <cell r="F81" t="str">
            <v>Mercy East Family Practice</v>
          </cell>
          <cell r="G81" t="str">
            <v>Des Moines</v>
          </cell>
          <cell r="H81" t="str">
            <v>IA</v>
          </cell>
          <cell r="I81" t="str">
            <v>50317</v>
          </cell>
          <cell r="J81" t="str">
            <v>Des Moines, IA 50317</v>
          </cell>
          <cell r="K81" t="str">
            <v>2588 Hubbell Ave</v>
          </cell>
          <cell r="M81" t="str">
            <v>515-643-2400</v>
          </cell>
          <cell r="N81" t="str">
            <v>System Member Of</v>
          </cell>
          <cell r="O81" t="str">
            <v>Ambulatory Care</v>
          </cell>
          <cell r="P81" t="str">
            <v>Clinic</v>
          </cell>
          <cell r="Q81" t="str">
            <v>AR2095291</v>
          </cell>
          <cell r="S81" t="str">
            <v>1100003482366</v>
          </cell>
          <cell r="T81">
            <v>37135</v>
          </cell>
          <cell r="U81">
            <v>37257</v>
          </cell>
          <cell r="V81">
            <v>43000261</v>
          </cell>
          <cell r="W81">
            <v>374766</v>
          </cell>
          <cell r="X81">
            <v>15</v>
          </cell>
          <cell r="Y81" t="str">
            <v>Active</v>
          </cell>
          <cell r="AA81">
            <v>1670</v>
          </cell>
        </row>
        <row r="82">
          <cell r="A82">
            <v>1673</v>
          </cell>
          <cell r="B82" t="str">
            <v>Mercy Campus Medical Clinic / Des Moines / IA</v>
          </cell>
          <cell r="D82">
            <v>2</v>
          </cell>
          <cell r="E82" t="str">
            <v>Mercy Campus Medical Clinic (1673)</v>
          </cell>
          <cell r="F82" t="str">
            <v>Mercy Campus Medical Clinic</v>
          </cell>
          <cell r="G82" t="str">
            <v>Des Moines</v>
          </cell>
          <cell r="H82" t="str">
            <v>IA</v>
          </cell>
          <cell r="I82" t="str">
            <v>50314</v>
          </cell>
          <cell r="J82" t="str">
            <v>Des Moines, IA 50314</v>
          </cell>
          <cell r="K82" t="str">
            <v>411 Laurel St, Suite A120</v>
          </cell>
          <cell r="M82" t="str">
            <v>515-244-4400</v>
          </cell>
          <cell r="N82" t="str">
            <v>System Member Of</v>
          </cell>
          <cell r="O82" t="str">
            <v>Ambulatory Care</v>
          </cell>
          <cell r="P82" t="str">
            <v>Clinic</v>
          </cell>
          <cell r="Q82" t="str">
            <v>BH2017095</v>
          </cell>
          <cell r="R82" t="str">
            <v>H41D5NR00</v>
          </cell>
          <cell r="S82" t="str">
            <v>1100003626135</v>
          </cell>
          <cell r="T82">
            <v>37135</v>
          </cell>
          <cell r="U82">
            <v>37257</v>
          </cell>
          <cell r="V82">
            <v>43000261</v>
          </cell>
          <cell r="W82">
            <v>374766</v>
          </cell>
          <cell r="X82">
            <v>15</v>
          </cell>
          <cell r="Y82" t="str">
            <v>Active</v>
          </cell>
          <cell r="AA82">
            <v>1673</v>
          </cell>
        </row>
        <row r="83">
          <cell r="A83">
            <v>1675</v>
          </cell>
          <cell r="B83" t="str">
            <v>Mercy Ruan Neurology Clinic / Des Moines / IA</v>
          </cell>
          <cell r="D83">
            <v>2</v>
          </cell>
          <cell r="E83" t="str">
            <v>Mercy Ruan Neurology Clinic (1675)</v>
          </cell>
          <cell r="F83" t="str">
            <v>Mercy Ruan Neurology Clinic</v>
          </cell>
          <cell r="G83" t="str">
            <v>Des Moines</v>
          </cell>
          <cell r="H83" t="str">
            <v>IA</v>
          </cell>
          <cell r="I83" t="str">
            <v>50314-3101</v>
          </cell>
          <cell r="J83" t="str">
            <v>Des Moines, IA 50314-3101</v>
          </cell>
          <cell r="K83" t="str">
            <v>1111 6th Ave. W. Bldg. Ste. 400</v>
          </cell>
          <cell r="M83" t="str">
            <v>515-643-4500</v>
          </cell>
          <cell r="N83" t="str">
            <v>System Member Of</v>
          </cell>
          <cell r="O83" t="str">
            <v>Ambulatory Care</v>
          </cell>
          <cell r="P83" t="str">
            <v>Clinic</v>
          </cell>
          <cell r="Q83" t="str">
            <v>BJ2880804</v>
          </cell>
          <cell r="R83" t="str">
            <v>620450HF3</v>
          </cell>
          <cell r="S83" t="str">
            <v>1100002941352</v>
          </cell>
          <cell r="T83">
            <v>37135</v>
          </cell>
          <cell r="U83">
            <v>37257</v>
          </cell>
          <cell r="V83">
            <v>43000261</v>
          </cell>
          <cell r="W83">
            <v>374766</v>
          </cell>
          <cell r="X83">
            <v>15</v>
          </cell>
          <cell r="Y83" t="str">
            <v>Active</v>
          </cell>
          <cell r="AA83">
            <v>1675</v>
          </cell>
        </row>
        <row r="84">
          <cell r="A84">
            <v>1676</v>
          </cell>
          <cell r="B84" t="str">
            <v>Mercy Norwalk Medical Clinic / Norwalk / IA</v>
          </cell>
          <cell r="D84">
            <v>2</v>
          </cell>
          <cell r="E84" t="str">
            <v>Mercy Norwalk Medical Clinic (1676)</v>
          </cell>
          <cell r="F84" t="str">
            <v xml:space="preserve">Mercy Norwalk Medical Clinic </v>
          </cell>
          <cell r="G84" t="str">
            <v>Norwalk</v>
          </cell>
          <cell r="H84" t="str">
            <v>IA</v>
          </cell>
          <cell r="I84" t="str">
            <v>50211</v>
          </cell>
          <cell r="J84" t="str">
            <v>Norwalk, IA 50211</v>
          </cell>
          <cell r="K84" t="str">
            <v>1031 Sunset Dr.</v>
          </cell>
          <cell r="M84" t="str">
            <v>515-981-0663</v>
          </cell>
          <cell r="N84" t="str">
            <v>System Member Of</v>
          </cell>
          <cell r="O84" t="str">
            <v>Ambulatory Care</v>
          </cell>
          <cell r="P84" t="str">
            <v>Clinic</v>
          </cell>
          <cell r="Q84" t="str">
            <v>BS3452860</v>
          </cell>
          <cell r="R84" t="str">
            <v>TF9QH9X00</v>
          </cell>
          <cell r="S84" t="str">
            <v>1100002016623</v>
          </cell>
          <cell r="T84">
            <v>37438</v>
          </cell>
          <cell r="V84">
            <v>0</v>
          </cell>
          <cell r="W84">
            <v>0</v>
          </cell>
          <cell r="X84">
            <v>15</v>
          </cell>
          <cell r="Y84" t="str">
            <v>Inactive</v>
          </cell>
          <cell r="Z84">
            <v>38686</v>
          </cell>
        </row>
        <row r="85">
          <cell r="A85">
            <v>1677</v>
          </cell>
          <cell r="B85" t="str">
            <v>Mercy Pleasant Hill Medical Clinic / Pleasant Hill / IA</v>
          </cell>
          <cell r="D85">
            <v>2</v>
          </cell>
          <cell r="E85" t="str">
            <v>Mercy Pleasant Hill Medical Clinic (1677)</v>
          </cell>
          <cell r="F85" t="str">
            <v>Mercy Pleasant Hill Medical Clinic</v>
          </cell>
          <cell r="G85" t="str">
            <v>Pleasant Hill</v>
          </cell>
          <cell r="H85" t="str">
            <v>IA</v>
          </cell>
          <cell r="I85" t="str">
            <v>50317</v>
          </cell>
          <cell r="J85" t="str">
            <v>Pleasant Hill, IA 50317</v>
          </cell>
          <cell r="K85" t="str">
            <v>932 North Shadyview Blvd</v>
          </cell>
          <cell r="M85" t="str">
            <v>515-266-6644</v>
          </cell>
          <cell r="N85" t="str">
            <v>System Member Of</v>
          </cell>
          <cell r="O85" t="str">
            <v>Ambulatory Care</v>
          </cell>
          <cell r="P85" t="str">
            <v>Clinic</v>
          </cell>
          <cell r="Q85" t="str">
            <v>BC7510628</v>
          </cell>
          <cell r="R85" t="str">
            <v>S53LFLL00</v>
          </cell>
          <cell r="S85" t="str">
            <v>1100002494452</v>
          </cell>
          <cell r="T85">
            <v>37135</v>
          </cell>
          <cell r="U85">
            <v>37257</v>
          </cell>
          <cell r="V85">
            <v>43000261</v>
          </cell>
          <cell r="W85">
            <v>374766</v>
          </cell>
          <cell r="X85">
            <v>15</v>
          </cell>
          <cell r="Y85" t="str">
            <v>Active</v>
          </cell>
          <cell r="AA85">
            <v>1677</v>
          </cell>
        </row>
        <row r="86">
          <cell r="A86">
            <v>1710</v>
          </cell>
          <cell r="B86" t="str">
            <v>Catholic Health Initiatives - Upper Midwest Region / Minneapolis / MN</v>
          </cell>
          <cell r="D86">
            <v>4</v>
          </cell>
          <cell r="E86" t="str">
            <v>Catholic Health Initiatives - Upper Midwest Region (1710)</v>
          </cell>
          <cell r="F86" t="str">
            <v>Catholic Health Initiatives - Upper Midwest Region</v>
          </cell>
          <cell r="G86" t="str">
            <v>Minneapolis</v>
          </cell>
          <cell r="H86" t="str">
            <v>MN</v>
          </cell>
          <cell r="I86" t="str">
            <v>55435-5239</v>
          </cell>
          <cell r="J86" t="str">
            <v>Minneapolis, MN 55435-5239</v>
          </cell>
          <cell r="K86" t="str">
            <v>7650 Edinborough Way</v>
          </cell>
          <cell r="L86" t="str">
            <v>Suite 200</v>
          </cell>
          <cell r="M86" t="str">
            <v>952-324-9010</v>
          </cell>
          <cell r="N86" t="str">
            <v>System Member Of</v>
          </cell>
          <cell r="O86" t="str">
            <v>Other</v>
          </cell>
          <cell r="P86" t="str">
            <v>Health Care System/IDN - Office</v>
          </cell>
          <cell r="R86" t="str">
            <v>A5R3RWW00</v>
          </cell>
          <cell r="S86" t="str">
            <v>1100002040017</v>
          </cell>
          <cell r="T86">
            <v>35977</v>
          </cell>
          <cell r="V86">
            <v>0</v>
          </cell>
          <cell r="W86">
            <v>0</v>
          </cell>
          <cell r="X86">
            <v>91</v>
          </cell>
          <cell r="Y86" t="str">
            <v>Active</v>
          </cell>
          <cell r="AA86">
            <v>1710</v>
          </cell>
        </row>
        <row r="87">
          <cell r="A87">
            <v>1712</v>
          </cell>
          <cell r="B87" t="str">
            <v>Centura Health / Englewood / CO</v>
          </cell>
          <cell r="D87">
            <v>5</v>
          </cell>
          <cell r="E87" t="str">
            <v>Centura Health (1712)</v>
          </cell>
          <cell r="F87" t="str">
            <v>Centura Health</v>
          </cell>
          <cell r="G87" t="str">
            <v>Englewood</v>
          </cell>
          <cell r="H87" t="str">
            <v>CO</v>
          </cell>
          <cell r="I87" t="str">
            <v>80111</v>
          </cell>
          <cell r="J87" t="str">
            <v>Englewood, CO 80111</v>
          </cell>
          <cell r="K87" t="str">
            <v>5570 DTC Parkway</v>
          </cell>
          <cell r="M87" t="str">
            <v>303-290-6500</v>
          </cell>
          <cell r="N87" t="str">
            <v>Affiliate Member Of</v>
          </cell>
          <cell r="O87" t="str">
            <v>Other</v>
          </cell>
          <cell r="P87" t="str">
            <v>Health Care System/IDN - Office</v>
          </cell>
          <cell r="R87" t="str">
            <v>HDG6KMM00</v>
          </cell>
          <cell r="T87">
            <v>35977</v>
          </cell>
          <cell r="V87">
            <v>43000261</v>
          </cell>
          <cell r="W87">
            <v>102381</v>
          </cell>
          <cell r="X87">
            <v>4</v>
          </cell>
          <cell r="Y87" t="str">
            <v>Active</v>
          </cell>
          <cell r="AA87">
            <v>1712</v>
          </cell>
        </row>
        <row r="88">
          <cell r="A88">
            <v>1714</v>
          </cell>
          <cell r="B88" t="str">
            <v>Catholic Health Initiatives / Tacoma / WA</v>
          </cell>
          <cell r="D88">
            <v>3</v>
          </cell>
          <cell r="E88" t="str">
            <v>Catholic Health Initiatives (1714)</v>
          </cell>
          <cell r="F88" t="str">
            <v>Catholic Health Initiatives - Western Region</v>
          </cell>
          <cell r="G88" t="str">
            <v>Tacoma</v>
          </cell>
          <cell r="H88" t="str">
            <v>WA</v>
          </cell>
          <cell r="I88" t="str">
            <v>98401-2197</v>
          </cell>
          <cell r="J88" t="str">
            <v>Tacoma, WA 98401-2197</v>
          </cell>
          <cell r="K88" t="str">
            <v>1149 Market Street</v>
          </cell>
          <cell r="L88" t="str">
            <v>P.O. Box 2197</v>
          </cell>
          <cell r="M88" t="str">
            <v>253-552-4100</v>
          </cell>
          <cell r="N88" t="str">
            <v>System Member Of</v>
          </cell>
          <cell r="O88" t="str">
            <v>Other</v>
          </cell>
          <cell r="P88" t="str">
            <v>Health Care System/IDN - Office</v>
          </cell>
          <cell r="R88" t="str">
            <v>B7JAEMB00</v>
          </cell>
          <cell r="S88" t="str">
            <v>1100002231835</v>
          </cell>
          <cell r="T88">
            <v>35977</v>
          </cell>
          <cell r="V88">
            <v>0</v>
          </cell>
          <cell r="W88">
            <v>0</v>
          </cell>
          <cell r="X88">
            <v>64</v>
          </cell>
          <cell r="Y88" t="str">
            <v>Active</v>
          </cell>
          <cell r="AA88">
            <v>1714</v>
          </cell>
        </row>
        <row r="89">
          <cell r="A89">
            <v>1716</v>
          </cell>
          <cell r="B89" t="str">
            <v>Sedgwick County Health Center / Julesburg / CO</v>
          </cell>
          <cell r="D89">
            <v>5</v>
          </cell>
          <cell r="E89" t="str">
            <v>Sedgwick County Health Center (1716)</v>
          </cell>
          <cell r="F89" t="str">
            <v>Sedgwick County Health Center</v>
          </cell>
          <cell r="G89" t="str">
            <v>Julesburg</v>
          </cell>
          <cell r="H89" t="str">
            <v>CO</v>
          </cell>
          <cell r="I89" t="str">
            <v>80737</v>
          </cell>
          <cell r="J89" t="str">
            <v>Julesburg, CO 80737</v>
          </cell>
          <cell r="K89" t="str">
            <v>900 Cedar Street</v>
          </cell>
          <cell r="M89" t="str">
            <v>970-474-3323</v>
          </cell>
          <cell r="N89" t="str">
            <v>Affiliate Member Of</v>
          </cell>
          <cell r="O89" t="str">
            <v>Acute Care</v>
          </cell>
          <cell r="P89" t="str">
            <v>Hospital</v>
          </cell>
          <cell r="Q89" t="str">
            <v>AS0807668</v>
          </cell>
          <cell r="R89" t="str">
            <v>840730M00</v>
          </cell>
          <cell r="S89" t="str">
            <v>1100002670344</v>
          </cell>
          <cell r="T89">
            <v>35977</v>
          </cell>
          <cell r="U89">
            <v>35977</v>
          </cell>
          <cell r="V89">
            <v>43000261</v>
          </cell>
          <cell r="W89">
            <v>102381</v>
          </cell>
          <cell r="X89">
            <v>4</v>
          </cell>
          <cell r="Y89" t="str">
            <v>Active</v>
          </cell>
          <cell r="AA89">
            <v>1716</v>
          </cell>
        </row>
        <row r="90">
          <cell r="A90">
            <v>1717</v>
          </cell>
          <cell r="B90" t="str">
            <v>Mercy Central Internal Medicine Clinic / Des Moines / IA</v>
          </cell>
          <cell r="D90">
            <v>2</v>
          </cell>
          <cell r="E90" t="str">
            <v>Mercy Central Internal Medicine Clinic (1717)</v>
          </cell>
          <cell r="F90" t="str">
            <v>Mercy Central Internal Medicine Clinic</v>
          </cell>
          <cell r="G90" t="str">
            <v>Des Moines</v>
          </cell>
          <cell r="H90" t="str">
            <v>IA</v>
          </cell>
          <cell r="I90" t="str">
            <v>50314</v>
          </cell>
          <cell r="J90" t="str">
            <v>Des Moines, IA 50314</v>
          </cell>
          <cell r="K90" t="str">
            <v>411 Laurel St, Suite 3140</v>
          </cell>
          <cell r="M90" t="str">
            <v>515-247-8790</v>
          </cell>
          <cell r="N90" t="str">
            <v>System Member Of</v>
          </cell>
          <cell r="O90" t="str">
            <v>Ambulatory Care</v>
          </cell>
          <cell r="P90" t="str">
            <v>Clinic</v>
          </cell>
          <cell r="Q90" t="str">
            <v>AA3195078</v>
          </cell>
          <cell r="R90" t="str">
            <v>7E22FCG00</v>
          </cell>
          <cell r="S90" t="str">
            <v>1100002295028</v>
          </cell>
          <cell r="T90">
            <v>37135</v>
          </cell>
          <cell r="U90">
            <v>37257</v>
          </cell>
          <cell r="V90">
            <v>43000261</v>
          </cell>
          <cell r="W90">
            <v>374766</v>
          </cell>
          <cell r="X90">
            <v>15</v>
          </cell>
          <cell r="Y90" t="str">
            <v>Active</v>
          </cell>
          <cell r="AA90">
            <v>1717</v>
          </cell>
        </row>
        <row r="91">
          <cell r="A91">
            <v>1718</v>
          </cell>
          <cell r="B91" t="str">
            <v>Memorial Health Care System / Chattanooga / TN</v>
          </cell>
          <cell r="C91" t="str">
            <v>MBO25</v>
          </cell>
          <cell r="D91">
            <v>1</v>
          </cell>
          <cell r="E91" t="str">
            <v>Memorial Health Care System (1718)</v>
          </cell>
          <cell r="F91" t="str">
            <v>Memorial Health Care System</v>
          </cell>
          <cell r="G91" t="str">
            <v>Chattanooga</v>
          </cell>
          <cell r="H91" t="str">
            <v>TN</v>
          </cell>
          <cell r="I91" t="str">
            <v>37404</v>
          </cell>
          <cell r="J91" t="str">
            <v>Chattanooga, TN 37404</v>
          </cell>
          <cell r="K91" t="str">
            <v>2525 de Sales Ave</v>
          </cell>
          <cell r="M91" t="str">
            <v>423-495-8647</v>
          </cell>
          <cell r="N91" t="str">
            <v>System Member Of</v>
          </cell>
          <cell r="O91" t="str">
            <v>Acute Care</v>
          </cell>
          <cell r="P91" t="str">
            <v>Hospital</v>
          </cell>
          <cell r="Q91" t="str">
            <v>AM0388353</v>
          </cell>
          <cell r="R91" t="str">
            <v>520160E00</v>
          </cell>
          <cell r="S91" t="str">
            <v>1100002428716</v>
          </cell>
          <cell r="T91">
            <v>35977</v>
          </cell>
          <cell r="U91">
            <v>35977</v>
          </cell>
          <cell r="V91">
            <v>43000261</v>
          </cell>
          <cell r="W91">
            <v>379170</v>
          </cell>
          <cell r="X91">
            <v>60</v>
          </cell>
          <cell r="Y91" t="str">
            <v>Active</v>
          </cell>
          <cell r="AA91">
            <v>1718</v>
          </cell>
        </row>
        <row r="92">
          <cell r="A92">
            <v>1719</v>
          </cell>
          <cell r="B92" t="str">
            <v>St. Vincent Infirmary Medical Center / Little Rock / AR</v>
          </cell>
          <cell r="C92" t="str">
            <v>MBO11</v>
          </cell>
          <cell r="D92">
            <v>1</v>
          </cell>
          <cell r="E92" t="str">
            <v>St. Vincent Infirmary Medical Center (1719)</v>
          </cell>
          <cell r="F92" t="str">
            <v>St. Vincent Infirmary Medical Center</v>
          </cell>
          <cell r="G92" t="str">
            <v>Little Rock</v>
          </cell>
          <cell r="H92" t="str">
            <v>AR</v>
          </cell>
          <cell r="I92" t="str">
            <v>72205-5499</v>
          </cell>
          <cell r="J92" t="str">
            <v>Little Rock, AR 72205-5499</v>
          </cell>
          <cell r="K92" t="str">
            <v>Two St. Vincent Circle</v>
          </cell>
          <cell r="M92" t="str">
            <v>501-660-2891</v>
          </cell>
          <cell r="N92" t="str">
            <v>System Member Of</v>
          </cell>
          <cell r="O92" t="str">
            <v>Acute Care</v>
          </cell>
          <cell r="P92" t="str">
            <v>Hospital</v>
          </cell>
          <cell r="Q92" t="str">
            <v>AS5092058</v>
          </cell>
          <cell r="R92" t="str">
            <v>710700F00</v>
          </cell>
          <cell r="S92" t="str">
            <v>1100005028722</v>
          </cell>
          <cell r="T92">
            <v>35977</v>
          </cell>
          <cell r="U92">
            <v>35977</v>
          </cell>
          <cell r="V92">
            <v>43000261</v>
          </cell>
          <cell r="W92">
            <v>379196</v>
          </cell>
          <cell r="X92">
            <v>2</v>
          </cell>
          <cell r="Y92" t="str">
            <v>Active</v>
          </cell>
          <cell r="AA92">
            <v>1719</v>
          </cell>
        </row>
        <row r="93">
          <cell r="A93">
            <v>1720</v>
          </cell>
          <cell r="B93" t="str">
            <v>St. Joseph Hospital / Lexington / KY</v>
          </cell>
          <cell r="C93" t="str">
            <v>MBO18</v>
          </cell>
          <cell r="D93">
            <v>1</v>
          </cell>
          <cell r="E93" t="str">
            <v>St. Joseph Hospital (1720)</v>
          </cell>
          <cell r="F93" t="str">
            <v>St. Joseph Hospital</v>
          </cell>
          <cell r="G93" t="str">
            <v>Lexington</v>
          </cell>
          <cell r="H93" t="str">
            <v>KY</v>
          </cell>
          <cell r="I93" t="str">
            <v>40504-3754</v>
          </cell>
          <cell r="J93" t="str">
            <v>Lexington, KY 40504-3754</v>
          </cell>
          <cell r="K93" t="str">
            <v>1 Saint Joseph Drive</v>
          </cell>
          <cell r="M93" t="str">
            <v>859-278-3436</v>
          </cell>
          <cell r="N93" t="str">
            <v>System Member Of</v>
          </cell>
          <cell r="O93" t="str">
            <v>Acute Care</v>
          </cell>
          <cell r="P93" t="str">
            <v>Hospital</v>
          </cell>
          <cell r="Q93" t="str">
            <v>AS3009772</v>
          </cell>
          <cell r="R93" t="str">
            <v>510700D00</v>
          </cell>
          <cell r="S93" t="str">
            <v>1100005408777</v>
          </cell>
          <cell r="T93">
            <v>35977</v>
          </cell>
          <cell r="U93">
            <v>35977</v>
          </cell>
          <cell r="V93">
            <v>43000261</v>
          </cell>
          <cell r="W93">
            <v>379209</v>
          </cell>
          <cell r="X93">
            <v>26</v>
          </cell>
          <cell r="Y93" t="str">
            <v>Active</v>
          </cell>
          <cell r="AA93">
            <v>1720</v>
          </cell>
        </row>
        <row r="94">
          <cell r="A94">
            <v>1721</v>
          </cell>
          <cell r="B94" t="str">
            <v>Saint Joseph London / London / KY</v>
          </cell>
          <cell r="C94" t="str">
            <v>MBO16</v>
          </cell>
          <cell r="D94">
            <v>1</v>
          </cell>
          <cell r="E94" t="str">
            <v>Saint Joseph London (1721)</v>
          </cell>
          <cell r="F94" t="str">
            <v>Marymount Medical Center</v>
          </cell>
          <cell r="G94" t="str">
            <v>London</v>
          </cell>
          <cell r="H94" t="str">
            <v>KY</v>
          </cell>
          <cell r="I94" t="str">
            <v>40741</v>
          </cell>
          <cell r="J94" t="str">
            <v>London, KY 40741</v>
          </cell>
          <cell r="K94" t="str">
            <v>310 East Ninth St</v>
          </cell>
          <cell r="M94" t="str">
            <v>606-877-3791</v>
          </cell>
          <cell r="N94" t="str">
            <v>System Member Of</v>
          </cell>
          <cell r="O94" t="str">
            <v>Acute Care</v>
          </cell>
          <cell r="P94" t="str">
            <v>Hospital</v>
          </cell>
          <cell r="Q94" t="str">
            <v>AM3004683</v>
          </cell>
          <cell r="R94" t="str">
            <v>510740H00</v>
          </cell>
          <cell r="S94" t="str">
            <v>1100005926851</v>
          </cell>
          <cell r="T94">
            <v>35977</v>
          </cell>
          <cell r="U94">
            <v>35977</v>
          </cell>
          <cell r="V94">
            <v>43000261</v>
          </cell>
          <cell r="W94">
            <v>379161</v>
          </cell>
          <cell r="X94">
            <v>24</v>
          </cell>
          <cell r="Y94" t="str">
            <v>Active</v>
          </cell>
          <cell r="AA94">
            <v>1721</v>
          </cell>
        </row>
        <row r="95">
          <cell r="A95">
            <v>1722</v>
          </cell>
          <cell r="B95" t="str">
            <v>Flaget Memorial Hospital / Bardstown / KY</v>
          </cell>
          <cell r="C95" t="str">
            <v>MBO15</v>
          </cell>
          <cell r="D95">
            <v>1</v>
          </cell>
          <cell r="E95" t="str">
            <v>Flaget Memorial Hospital (1722)</v>
          </cell>
          <cell r="F95" t="str">
            <v>Flaget Memorial Hospital</v>
          </cell>
          <cell r="G95" t="str">
            <v>Bardstown</v>
          </cell>
          <cell r="H95" t="str">
            <v>KY</v>
          </cell>
          <cell r="I95" t="str">
            <v>40004</v>
          </cell>
          <cell r="J95" t="str">
            <v>Bardstown, KY 40004</v>
          </cell>
          <cell r="K95" t="str">
            <v>4305 New Shepherdsville Road</v>
          </cell>
          <cell r="M95" t="str">
            <v>502-350-5000</v>
          </cell>
          <cell r="N95" t="str">
            <v>System Member Of</v>
          </cell>
          <cell r="O95" t="str">
            <v>Acute Care</v>
          </cell>
          <cell r="P95" t="str">
            <v>Hospital</v>
          </cell>
          <cell r="Q95" t="str">
            <v>AF3003388</v>
          </cell>
          <cell r="R95" t="str">
            <v>510070D00</v>
          </cell>
          <cell r="S95" t="str">
            <v>1100005505797</v>
          </cell>
          <cell r="T95">
            <v>35977</v>
          </cell>
          <cell r="U95">
            <v>35977</v>
          </cell>
          <cell r="V95">
            <v>43000261</v>
          </cell>
          <cell r="W95">
            <v>379153</v>
          </cell>
          <cell r="X95">
            <v>22</v>
          </cell>
          <cell r="Y95" t="str">
            <v>Active</v>
          </cell>
          <cell r="AA95">
            <v>1722</v>
          </cell>
        </row>
        <row r="96">
          <cell r="A96">
            <v>1723</v>
          </cell>
          <cell r="B96" t="str">
            <v>Sts. Mary &amp; Elizabeth Hospital / Louisville / KY</v>
          </cell>
          <cell r="C96" t="str">
            <v>MBO14</v>
          </cell>
          <cell r="D96">
            <v>1</v>
          </cell>
          <cell r="E96" t="str">
            <v>Sts. Mary &amp; Elizabeth Hospital (1723)</v>
          </cell>
          <cell r="F96" t="str">
            <v>Sts. Mary &amp; Elizabeth Hospital</v>
          </cell>
          <cell r="G96" t="str">
            <v>Louisville</v>
          </cell>
          <cell r="H96" t="str">
            <v>KY</v>
          </cell>
          <cell r="I96" t="str">
            <v>40215</v>
          </cell>
          <cell r="J96" t="str">
            <v>Louisville, KY 40215</v>
          </cell>
          <cell r="K96" t="str">
            <v>1850 Bluegrass Ave</v>
          </cell>
          <cell r="M96" t="str">
            <v>502-361-6000</v>
          </cell>
          <cell r="N96" t="str">
            <v>System Member Of</v>
          </cell>
          <cell r="O96" t="str">
            <v>Acute Care</v>
          </cell>
          <cell r="P96" t="str">
            <v>Hospital</v>
          </cell>
          <cell r="Q96" t="str">
            <v>BJ9610557</v>
          </cell>
          <cell r="R96" t="str">
            <v>510950K00</v>
          </cell>
          <cell r="S96" t="str">
            <v>1100004103987</v>
          </cell>
          <cell r="T96">
            <v>35977</v>
          </cell>
          <cell r="U96">
            <v>35977</v>
          </cell>
          <cell r="V96">
            <v>83001314</v>
          </cell>
          <cell r="W96">
            <v>54178207</v>
          </cell>
          <cell r="X96">
            <v>23</v>
          </cell>
          <cell r="Y96" t="str">
            <v>Active</v>
          </cell>
          <cell r="AA96">
            <v>1723</v>
          </cell>
        </row>
        <row r="97">
          <cell r="A97">
            <v>1724</v>
          </cell>
          <cell r="B97" t="str">
            <v>Our Lady of Peace / Louisville / KY</v>
          </cell>
          <cell r="D97">
            <v>1</v>
          </cell>
          <cell r="E97" t="str">
            <v>Our Lady of Peace (1724)</v>
          </cell>
          <cell r="F97" t="str">
            <v>Our Lady of Peace</v>
          </cell>
          <cell r="G97" t="str">
            <v>Louisville</v>
          </cell>
          <cell r="H97" t="str">
            <v>KY</v>
          </cell>
          <cell r="I97" t="str">
            <v>40205</v>
          </cell>
          <cell r="J97" t="str">
            <v>Louisville, KY 40205</v>
          </cell>
          <cell r="K97" t="str">
            <v>2020 Newburg Rd</v>
          </cell>
          <cell r="M97" t="str">
            <v>502-451-3338</v>
          </cell>
          <cell r="N97" t="str">
            <v>System Member Of</v>
          </cell>
          <cell r="O97" t="str">
            <v>Acute Care</v>
          </cell>
          <cell r="P97" t="str">
            <v>Hospital</v>
          </cell>
          <cell r="Q97" t="str">
            <v>BJ9610521</v>
          </cell>
          <cell r="R97" t="str">
            <v>510930I00</v>
          </cell>
          <cell r="S97" t="str">
            <v>1100004899927</v>
          </cell>
          <cell r="T97">
            <v>35977</v>
          </cell>
          <cell r="U97">
            <v>35977</v>
          </cell>
          <cell r="V97">
            <v>83001314</v>
          </cell>
          <cell r="W97">
            <v>54178207</v>
          </cell>
          <cell r="X97">
            <v>23</v>
          </cell>
          <cell r="Y97" t="str">
            <v>Active</v>
          </cell>
          <cell r="AA97">
            <v>1724</v>
          </cell>
        </row>
        <row r="98">
          <cell r="A98">
            <v>1734</v>
          </cell>
          <cell r="B98" t="str">
            <v>Sr. Robert Stoner / Towson / MD</v>
          </cell>
          <cell r="D98">
            <v>1</v>
          </cell>
          <cell r="E98" t="str">
            <v>Dr. Robert Stoner (1734)</v>
          </cell>
          <cell r="F98" t="str">
            <v>Dr. Robert Stoner</v>
          </cell>
          <cell r="G98" t="str">
            <v>Towson</v>
          </cell>
          <cell r="H98" t="str">
            <v>MD</v>
          </cell>
          <cell r="J98" t="str">
            <v>Towson, MD 21204</v>
          </cell>
          <cell r="K98" t="str">
            <v>7505 Osler Drive</v>
          </cell>
          <cell r="L98" t="str">
            <v>Suite 403</v>
          </cell>
          <cell r="N98" t="str">
            <v>Affiliate Member Of</v>
          </cell>
          <cell r="O98" t="str">
            <v>Ambulatory Care</v>
          </cell>
          <cell r="P98" t="str">
            <v>Clinic</v>
          </cell>
          <cell r="Q98" t="str">
            <v>AS6927428</v>
          </cell>
          <cell r="R98" t="str">
            <v>19W1AFW00</v>
          </cell>
          <cell r="S98" t="str">
            <v>1100003736209</v>
          </cell>
          <cell r="T98">
            <v>35977</v>
          </cell>
          <cell r="V98">
            <v>0</v>
          </cell>
          <cell r="W98">
            <v>0</v>
          </cell>
          <cell r="X98">
            <v>29</v>
          </cell>
          <cell r="Y98" t="str">
            <v>Inactive</v>
          </cell>
          <cell r="Z98">
            <v>38564</v>
          </cell>
        </row>
        <row r="99">
          <cell r="A99">
            <v>1737</v>
          </cell>
          <cell r="B99" t="str">
            <v>Mercy Specialty Care Pharmacy / Des Moines / IA</v>
          </cell>
          <cell r="D99">
            <v>2</v>
          </cell>
          <cell r="E99" t="str">
            <v>Mercy Specialty Care Pharmacy (1737)</v>
          </cell>
          <cell r="F99" t="str">
            <v>Mercy Specialty Care Pharmacy</v>
          </cell>
          <cell r="G99" t="str">
            <v>Des Moines</v>
          </cell>
          <cell r="H99" t="str">
            <v>IA</v>
          </cell>
          <cell r="I99" t="str">
            <v>50310</v>
          </cell>
          <cell r="J99" t="str">
            <v>Des Moines, IA 50310</v>
          </cell>
          <cell r="K99" t="str">
            <v>1750 48th Street, Suite #4</v>
          </cell>
          <cell r="M99" t="str">
            <v>515-271-6460</v>
          </cell>
          <cell r="N99" t="str">
            <v>System Member Of</v>
          </cell>
          <cell r="O99" t="str">
            <v>Long Term Care</v>
          </cell>
          <cell r="P99" t="str">
            <v>Long Term Care Pharmacy Provider</v>
          </cell>
          <cell r="Q99" t="str">
            <v>BM6317348</v>
          </cell>
          <cell r="R99" t="str">
            <v>65YAKCF00</v>
          </cell>
          <cell r="S99" t="str">
            <v>1100005997202</v>
          </cell>
          <cell r="T99">
            <v>37135</v>
          </cell>
          <cell r="U99">
            <v>37257</v>
          </cell>
          <cell r="V99">
            <v>43000261</v>
          </cell>
          <cell r="W99">
            <v>374766</v>
          </cell>
          <cell r="X99">
            <v>15</v>
          </cell>
          <cell r="Y99" t="str">
            <v>Active</v>
          </cell>
          <cell r="AA99">
            <v>1737</v>
          </cell>
        </row>
        <row r="100">
          <cell r="A100">
            <v>1739</v>
          </cell>
          <cell r="B100" t="str">
            <v>Centura Home Infusion / Denver / CO</v>
          </cell>
          <cell r="D100">
            <v>5</v>
          </cell>
          <cell r="E100" t="str">
            <v>Centura Home Infusion (1739)</v>
          </cell>
          <cell r="F100" t="str">
            <v>Centura Home Infusion</v>
          </cell>
          <cell r="G100" t="str">
            <v>Denver</v>
          </cell>
          <cell r="H100" t="str">
            <v>CO</v>
          </cell>
          <cell r="I100" t="str">
            <v>80204</v>
          </cell>
          <cell r="J100" t="str">
            <v>Denver, CO 80204</v>
          </cell>
          <cell r="K100" t="str">
            <v>1391 Speer Blvd. Suite 600</v>
          </cell>
          <cell r="M100" t="str">
            <v>303-561-5000</v>
          </cell>
          <cell r="N100" t="str">
            <v>Affiliate Member Of</v>
          </cell>
          <cell r="O100" t="str">
            <v>Home Care</v>
          </cell>
          <cell r="P100" t="str">
            <v>Home Infusion Provider</v>
          </cell>
          <cell r="Q100" t="str">
            <v>BC5525223</v>
          </cell>
          <cell r="R100" t="str">
            <v>J4NB9D700</v>
          </cell>
          <cell r="S100" t="str">
            <v>1100002131272</v>
          </cell>
          <cell r="T100">
            <v>35977</v>
          </cell>
          <cell r="U100">
            <v>35977</v>
          </cell>
          <cell r="V100">
            <v>43000261</v>
          </cell>
          <cell r="W100">
            <v>102381</v>
          </cell>
          <cell r="X100">
            <v>4</v>
          </cell>
          <cell r="Y100" t="str">
            <v>Active</v>
          </cell>
          <cell r="AA100">
            <v>1739</v>
          </cell>
        </row>
        <row r="101">
          <cell r="A101">
            <v>1741</v>
          </cell>
          <cell r="B101" t="str">
            <v>Mercy Ambucare Center / Nampa / ID</v>
          </cell>
          <cell r="D101">
            <v>3</v>
          </cell>
          <cell r="E101" t="str">
            <v>Mercy Ambucare Center (1741)</v>
          </cell>
          <cell r="F101" t="str">
            <v>Mercy Ambucare Center</v>
          </cell>
          <cell r="G101" t="str">
            <v>Nampa</v>
          </cell>
          <cell r="H101" t="str">
            <v>ID</v>
          </cell>
          <cell r="I101" t="str">
            <v>83687</v>
          </cell>
          <cell r="J101" t="str">
            <v>Nampa, ID 83687</v>
          </cell>
          <cell r="K101" t="str">
            <v>4400 E. Flamingo Ave.</v>
          </cell>
          <cell r="M101" t="str">
            <v>208-288-4150</v>
          </cell>
          <cell r="N101" t="str">
            <v>System Member Of</v>
          </cell>
          <cell r="O101" t="str">
            <v>Ambulatory Care</v>
          </cell>
          <cell r="P101" t="str">
            <v>Clinic</v>
          </cell>
          <cell r="Q101" t="str">
            <v>BB5338771</v>
          </cell>
          <cell r="R101" t="str">
            <v>0HKRLGT00</v>
          </cell>
          <cell r="S101" t="str">
            <v>1100004894243</v>
          </cell>
          <cell r="T101">
            <v>36161</v>
          </cell>
          <cell r="U101">
            <v>36161</v>
          </cell>
          <cell r="V101">
            <v>43000261</v>
          </cell>
          <cell r="W101">
            <v>355688</v>
          </cell>
          <cell r="X101">
            <v>17</v>
          </cell>
          <cell r="Y101" t="str">
            <v>Active</v>
          </cell>
          <cell r="AA101">
            <v>1741</v>
          </cell>
        </row>
        <row r="102">
          <cell r="A102">
            <v>1742</v>
          </cell>
          <cell r="B102" t="str">
            <v>Centura Health at Home / Denver / CO</v>
          </cell>
          <cell r="D102">
            <v>5</v>
          </cell>
          <cell r="E102" t="str">
            <v>Centura Health at Home (1742)</v>
          </cell>
          <cell r="F102" t="str">
            <v>Centura Home Care and Hospice</v>
          </cell>
          <cell r="G102" t="str">
            <v>Denver</v>
          </cell>
          <cell r="H102" t="str">
            <v>CO</v>
          </cell>
          <cell r="I102" t="str">
            <v>80211</v>
          </cell>
          <cell r="J102" t="str">
            <v>Denver, CO 80211</v>
          </cell>
          <cell r="K102" t="str">
            <v>2420 W 26th Ave  #200D</v>
          </cell>
          <cell r="M102" t="str">
            <v>303-561-5000</v>
          </cell>
          <cell r="N102" t="str">
            <v>Affiliate Member Of</v>
          </cell>
          <cell r="O102" t="str">
            <v>Long Term Care</v>
          </cell>
          <cell r="P102" t="str">
            <v>Hospice</v>
          </cell>
          <cell r="R102" t="str">
            <v>L60LCYM00</v>
          </cell>
          <cell r="S102" t="str">
            <v>1100002414825</v>
          </cell>
          <cell r="T102">
            <v>35977</v>
          </cell>
          <cell r="V102">
            <v>43000261</v>
          </cell>
          <cell r="W102">
            <v>102381</v>
          </cell>
          <cell r="X102">
            <v>4</v>
          </cell>
          <cell r="Y102" t="str">
            <v>Active</v>
          </cell>
          <cell r="AA102">
            <v>1742</v>
          </cell>
        </row>
        <row r="103">
          <cell r="A103">
            <v>1746</v>
          </cell>
          <cell r="B103" t="str">
            <v>The Community Pharmacy / Reading / PA</v>
          </cell>
          <cell r="D103">
            <v>1</v>
          </cell>
          <cell r="E103" t="str">
            <v>The Community Pharmacy (1746)</v>
          </cell>
          <cell r="F103" t="str">
            <v>The Community Pharmacy</v>
          </cell>
          <cell r="G103" t="str">
            <v>Reading</v>
          </cell>
          <cell r="H103" t="str">
            <v>PA</v>
          </cell>
          <cell r="I103" t="str">
            <v>19601</v>
          </cell>
          <cell r="J103" t="str">
            <v>Reading, PA 19601</v>
          </cell>
          <cell r="K103" t="str">
            <v>145 N 6th St.</v>
          </cell>
          <cell r="M103" t="str">
            <v>610-286-8244</v>
          </cell>
          <cell r="N103" t="str">
            <v>System Member Of</v>
          </cell>
          <cell r="O103" t="str">
            <v>Retail</v>
          </cell>
          <cell r="P103" t="str">
            <v>Hospital Outpatient Retail Pharmacy</v>
          </cell>
          <cell r="Q103" t="str">
            <v>BT5700326</v>
          </cell>
          <cell r="R103" t="str">
            <v>232540GF1</v>
          </cell>
          <cell r="S103" t="str">
            <v>1100003370618</v>
          </cell>
          <cell r="T103">
            <v>35977</v>
          </cell>
          <cell r="U103">
            <v>35977</v>
          </cell>
          <cell r="V103">
            <v>43000261</v>
          </cell>
          <cell r="W103">
            <v>960482</v>
          </cell>
          <cell r="X103">
            <v>57</v>
          </cell>
          <cell r="Y103" t="str">
            <v>Active</v>
          </cell>
          <cell r="AA103">
            <v>1746</v>
          </cell>
        </row>
        <row r="104">
          <cell r="A104">
            <v>1747</v>
          </cell>
          <cell r="B104" t="str">
            <v>St. Mary's Surgery Center / Louisville / KY</v>
          </cell>
          <cell r="D104">
            <v>1</v>
          </cell>
          <cell r="E104" t="str">
            <v>St. Mary's Surgery Center (1747)</v>
          </cell>
          <cell r="F104" t="str">
            <v>St. Mary's Surgery Center</v>
          </cell>
          <cell r="G104" t="str">
            <v>Louisville</v>
          </cell>
          <cell r="H104" t="str">
            <v>KY</v>
          </cell>
          <cell r="I104" t="str">
            <v>40215</v>
          </cell>
          <cell r="J104" t="str">
            <v>Louisville, KY 40215</v>
          </cell>
          <cell r="K104" t="str">
            <v>4414 Churchman Ave</v>
          </cell>
          <cell r="M104" t="str">
            <v>502-366-9525</v>
          </cell>
          <cell r="N104" t="str">
            <v>System Member Of</v>
          </cell>
          <cell r="O104" t="str">
            <v>Acute Care</v>
          </cell>
          <cell r="P104" t="str">
            <v>Surgery Center</v>
          </cell>
          <cell r="Q104" t="str">
            <v>BJ98102061</v>
          </cell>
          <cell r="R104" t="str">
            <v>514M6CE00</v>
          </cell>
          <cell r="S104" t="str">
            <v>1100002801656</v>
          </cell>
          <cell r="T104">
            <v>35977</v>
          </cell>
          <cell r="U104">
            <v>35977</v>
          </cell>
          <cell r="V104">
            <v>83001314</v>
          </cell>
          <cell r="W104">
            <v>54178207</v>
          </cell>
          <cell r="X104">
            <v>23</v>
          </cell>
          <cell r="Y104" t="str">
            <v>Active</v>
          </cell>
          <cell r="AA104">
            <v>1747</v>
          </cell>
        </row>
        <row r="105">
          <cell r="A105">
            <v>1748</v>
          </cell>
          <cell r="B105" t="str">
            <v>Hospital District #1 of Crawford County / Girard / KS</v>
          </cell>
          <cell r="D105">
            <v>0</v>
          </cell>
          <cell r="E105" t="str">
            <v>Hospital District #1 of Crawford County (1748)</v>
          </cell>
          <cell r="F105" t="str">
            <v>Hospital District #1 of Crawford County (1748)</v>
          </cell>
          <cell r="G105" t="str">
            <v>Girard</v>
          </cell>
          <cell r="H105" t="str">
            <v>KS</v>
          </cell>
          <cell r="I105" t="str">
            <v>66743</v>
          </cell>
          <cell r="J105" t="str">
            <v>Girard, KS 66743</v>
          </cell>
          <cell r="K105" t="str">
            <v>302 North Hospital Drive</v>
          </cell>
          <cell r="M105" t="str">
            <v>316-724-8291</v>
          </cell>
          <cell r="O105" t="str">
            <v>Acute Care</v>
          </cell>
          <cell r="P105" t="str">
            <v>Hospital</v>
          </cell>
          <cell r="V105">
            <v>0</v>
          </cell>
          <cell r="W105">
            <v>0</v>
          </cell>
          <cell r="X105">
            <v>91</v>
          </cell>
          <cell r="Y105" t="str">
            <v>Inactive</v>
          </cell>
          <cell r="Z105">
            <v>38168</v>
          </cell>
          <cell r="AA105">
            <v>1748</v>
          </cell>
        </row>
        <row r="106">
          <cell r="A106">
            <v>1749</v>
          </cell>
          <cell r="B106" t="str">
            <v>Porter Place / Denver / CO</v>
          </cell>
          <cell r="D106">
            <v>5</v>
          </cell>
          <cell r="E106" t="str">
            <v>Porter Place (1749)</v>
          </cell>
          <cell r="F106" t="str">
            <v>Porter Place</v>
          </cell>
          <cell r="G106" t="str">
            <v>Denver</v>
          </cell>
          <cell r="H106" t="str">
            <v>CO</v>
          </cell>
          <cell r="I106" t="str">
            <v>80210</v>
          </cell>
          <cell r="J106" t="str">
            <v>Denver, CO 80210</v>
          </cell>
          <cell r="K106" t="str">
            <v>1001 E Yale Ave</v>
          </cell>
          <cell r="M106" t="str">
            <v>303-765-6800</v>
          </cell>
          <cell r="N106" t="str">
            <v>Affiliate Member Of</v>
          </cell>
          <cell r="O106" t="str">
            <v>Long Term Care</v>
          </cell>
          <cell r="P106" t="str">
            <v>Assisted Living Facility</v>
          </cell>
          <cell r="R106" t="str">
            <v>N0EN1F400</v>
          </cell>
          <cell r="S106" t="str">
            <v>1100002357221</v>
          </cell>
          <cell r="T106">
            <v>35977</v>
          </cell>
          <cell r="V106">
            <v>43000261</v>
          </cell>
          <cell r="W106">
            <v>102381</v>
          </cell>
          <cell r="X106">
            <v>4</v>
          </cell>
          <cell r="Y106" t="str">
            <v>Active</v>
          </cell>
          <cell r="AA106">
            <v>1749</v>
          </cell>
        </row>
        <row r="107">
          <cell r="A107">
            <v>1754</v>
          </cell>
          <cell r="B107" t="str">
            <v>Lafayette House / Joplin / MO</v>
          </cell>
          <cell r="D107">
            <v>2</v>
          </cell>
          <cell r="E107" t="str">
            <v>Lafayette House (1754)</v>
          </cell>
          <cell r="F107" t="str">
            <v>Lafayette House</v>
          </cell>
          <cell r="G107" t="str">
            <v>Joplin</v>
          </cell>
          <cell r="H107" t="str">
            <v>MO</v>
          </cell>
          <cell r="I107" t="str">
            <v>64802</v>
          </cell>
          <cell r="J107" t="str">
            <v>Joplin, MO 64802</v>
          </cell>
          <cell r="K107" t="str">
            <v>PO Box 1765</v>
          </cell>
          <cell r="M107" t="str">
            <v>417-782-1772</v>
          </cell>
          <cell r="N107" t="str">
            <v>System Member Of</v>
          </cell>
          <cell r="O107" t="str">
            <v>Acute Care</v>
          </cell>
          <cell r="P107" t="str">
            <v>Rehabilitation Facility</v>
          </cell>
          <cell r="R107" t="str">
            <v>0FTQ8JP00</v>
          </cell>
          <cell r="S107" t="str">
            <v>1100002971922</v>
          </cell>
          <cell r="T107">
            <v>35977</v>
          </cell>
          <cell r="V107">
            <v>43000261</v>
          </cell>
          <cell r="W107">
            <v>374803</v>
          </cell>
          <cell r="X107">
            <v>36</v>
          </cell>
          <cell r="Y107" t="str">
            <v>Active</v>
          </cell>
          <cell r="AA107">
            <v>1754</v>
          </cell>
        </row>
        <row r="108">
          <cell r="A108">
            <v>1757</v>
          </cell>
          <cell r="B108" t="str">
            <v>Memorial North Park Hospital / Hixson / TN</v>
          </cell>
          <cell r="D108">
            <v>1</v>
          </cell>
          <cell r="E108" t="str">
            <v>Memorial North Park Hospital (1757)</v>
          </cell>
          <cell r="F108" t="str">
            <v>Memorial North Park Hospital</v>
          </cell>
          <cell r="G108" t="str">
            <v>Hixson</v>
          </cell>
          <cell r="H108" t="str">
            <v>TN</v>
          </cell>
          <cell r="I108" t="str">
            <v>37343</v>
          </cell>
          <cell r="J108" t="str">
            <v>Hixson, TN 37343</v>
          </cell>
          <cell r="K108" t="str">
            <v>2051 Hamill Rd</v>
          </cell>
          <cell r="M108" t="str">
            <v>423-870-6138</v>
          </cell>
          <cell r="N108" t="str">
            <v>System Member Of</v>
          </cell>
          <cell r="O108" t="str">
            <v>Acute Care</v>
          </cell>
          <cell r="P108" t="str">
            <v>Hospital</v>
          </cell>
          <cell r="Q108" t="str">
            <v>BM5838428</v>
          </cell>
          <cell r="R108" t="str">
            <v>520190H00</v>
          </cell>
          <cell r="S108" t="str">
            <v>1100003239489</v>
          </cell>
          <cell r="T108">
            <v>35977</v>
          </cell>
          <cell r="U108">
            <v>35977</v>
          </cell>
          <cell r="V108">
            <v>43000261</v>
          </cell>
          <cell r="W108">
            <v>379170</v>
          </cell>
          <cell r="X108">
            <v>61</v>
          </cell>
          <cell r="Y108" t="str">
            <v>Active</v>
          </cell>
          <cell r="AA108">
            <v>1757</v>
          </cell>
        </row>
        <row r="109">
          <cell r="A109">
            <v>1758</v>
          </cell>
          <cell r="B109" t="str">
            <v>Surgery Center of Southwest Kansas / Garden City / KS</v>
          </cell>
          <cell r="D109">
            <v>2</v>
          </cell>
          <cell r="E109" t="str">
            <v>Surgery Center of Southwest Kansas (1758)</v>
          </cell>
          <cell r="F109" t="str">
            <v>Surgery Center of Southwest Kansas</v>
          </cell>
          <cell r="G109" t="str">
            <v>Garden City</v>
          </cell>
          <cell r="H109" t="str">
            <v>KS</v>
          </cell>
          <cell r="I109" t="str">
            <v>67846</v>
          </cell>
          <cell r="J109" t="str">
            <v>Garden City, KS 67846</v>
          </cell>
          <cell r="K109" t="str">
            <v>710 N Sixth St     PO Box 2707</v>
          </cell>
          <cell r="M109" t="str">
            <v>316-271-0600</v>
          </cell>
          <cell r="N109" t="str">
            <v>System Member Of</v>
          </cell>
          <cell r="O109" t="str">
            <v>Acute Care</v>
          </cell>
          <cell r="P109" t="str">
            <v>Surgery Center</v>
          </cell>
          <cell r="Q109" t="str">
            <v>BS5799551</v>
          </cell>
          <cell r="R109" t="str">
            <v>8BXBTH100</v>
          </cell>
          <cell r="S109" t="str">
            <v>1100005909182</v>
          </cell>
          <cell r="T109">
            <v>35977</v>
          </cell>
          <cell r="U109">
            <v>35977</v>
          </cell>
          <cell r="V109">
            <v>43000261</v>
          </cell>
          <cell r="W109">
            <v>374774</v>
          </cell>
          <cell r="X109">
            <v>19</v>
          </cell>
          <cell r="Y109" t="str">
            <v>Active</v>
          </cell>
          <cell r="AA109">
            <v>1758</v>
          </cell>
        </row>
        <row r="110">
          <cell r="A110">
            <v>1759</v>
          </cell>
          <cell r="B110" t="str">
            <v>St. Anthony's Healthcare Center / Morrilton / AR</v>
          </cell>
          <cell r="D110">
            <v>1</v>
          </cell>
          <cell r="E110" t="str">
            <v>St. Anthony's Healthcare Center (1759)</v>
          </cell>
          <cell r="F110" t="str">
            <v>St. Anthony's Healthcare Center</v>
          </cell>
          <cell r="G110" t="str">
            <v>Morrilton</v>
          </cell>
          <cell r="H110" t="str">
            <v>AR</v>
          </cell>
          <cell r="I110" t="str">
            <v>72110</v>
          </cell>
          <cell r="J110" t="str">
            <v>Morrilton, AR 72110</v>
          </cell>
          <cell r="K110" t="str">
            <v>4 Hospital Drive</v>
          </cell>
          <cell r="M110" t="str">
            <v>501-354-3512</v>
          </cell>
          <cell r="N110" t="str">
            <v>System Member Of</v>
          </cell>
          <cell r="O110" t="str">
            <v>Acute Care</v>
          </cell>
          <cell r="P110" t="str">
            <v>Hospital</v>
          </cell>
          <cell r="Q110" t="str">
            <v>AC3217014</v>
          </cell>
          <cell r="R110" t="str">
            <v>710800G00</v>
          </cell>
          <cell r="S110" t="str">
            <v>1100003826740</v>
          </cell>
          <cell r="T110">
            <v>35977</v>
          </cell>
          <cell r="U110">
            <v>35977</v>
          </cell>
          <cell r="V110">
            <v>43000261</v>
          </cell>
          <cell r="W110">
            <v>401517</v>
          </cell>
          <cell r="X110">
            <v>1</v>
          </cell>
          <cell r="Y110" t="str">
            <v>Active</v>
          </cell>
          <cell r="AA110">
            <v>1759</v>
          </cell>
        </row>
        <row r="111">
          <cell r="A111">
            <v>1760</v>
          </cell>
          <cell r="B111" t="str">
            <v>Oakes Community Hospital / Oakes / ND</v>
          </cell>
          <cell r="C111" t="str">
            <v>MBO39</v>
          </cell>
          <cell r="D111">
            <v>4</v>
          </cell>
          <cell r="E111" t="str">
            <v>Oakes Community Hospital (1760)</v>
          </cell>
          <cell r="F111" t="str">
            <v>Oakes Community Hospital</v>
          </cell>
          <cell r="G111" t="str">
            <v>Oakes</v>
          </cell>
          <cell r="H111" t="str">
            <v>ND</v>
          </cell>
          <cell r="I111" t="str">
            <v>58474</v>
          </cell>
          <cell r="J111" t="str">
            <v>Oakes, ND 58474</v>
          </cell>
          <cell r="K111" t="str">
            <v>314 S 8th St</v>
          </cell>
          <cell r="M111" t="str">
            <v>701-742-3291</v>
          </cell>
          <cell r="N111" t="str">
            <v>System Member Of</v>
          </cell>
          <cell r="O111" t="str">
            <v>Acute Care</v>
          </cell>
          <cell r="P111" t="str">
            <v>Hospital</v>
          </cell>
          <cell r="Q111" t="str">
            <v>AO3789445</v>
          </cell>
          <cell r="R111" t="str">
            <v>640510G00</v>
          </cell>
          <cell r="S111" t="str">
            <v>1100003577901</v>
          </cell>
          <cell r="T111">
            <v>35977</v>
          </cell>
          <cell r="U111">
            <v>35977</v>
          </cell>
          <cell r="V111">
            <v>43000261</v>
          </cell>
          <cell r="W111">
            <v>58878</v>
          </cell>
          <cell r="X111">
            <v>42</v>
          </cell>
          <cell r="Y111" t="str">
            <v>Active</v>
          </cell>
          <cell r="AA111">
            <v>1760</v>
          </cell>
        </row>
        <row r="112">
          <cell r="A112">
            <v>1762</v>
          </cell>
          <cell r="B112" t="str">
            <v>North River Surgery Center LLC / Sherwood / AR</v>
          </cell>
          <cell r="D112">
            <v>1</v>
          </cell>
          <cell r="E112" t="str">
            <v>North River Surgery Center LLC (1762)</v>
          </cell>
          <cell r="F112" t="str">
            <v>North River Surgery Center LLC</v>
          </cell>
          <cell r="G112" t="str">
            <v>Sherwood</v>
          </cell>
          <cell r="H112" t="str">
            <v>AR</v>
          </cell>
          <cell r="I112" t="str">
            <v>72120</v>
          </cell>
          <cell r="J112" t="str">
            <v>Sherwood, AR 72120</v>
          </cell>
          <cell r="K112" t="str">
            <v>2209 Wildwood Ave</v>
          </cell>
          <cell r="M112" t="str">
            <v>501-834-5777</v>
          </cell>
          <cell r="N112" t="str">
            <v>Affiliate Member Of</v>
          </cell>
          <cell r="O112" t="str">
            <v>Acute Care</v>
          </cell>
          <cell r="P112" t="str">
            <v>Surgery Center</v>
          </cell>
          <cell r="Q112" t="str">
            <v>BN5795387</v>
          </cell>
          <cell r="R112" t="str">
            <v>AKFFK1900</v>
          </cell>
          <cell r="S112" t="str">
            <v>1100003036927</v>
          </cell>
          <cell r="T112">
            <v>35977</v>
          </cell>
          <cell r="U112">
            <v>35977</v>
          </cell>
          <cell r="V112">
            <v>43000261</v>
          </cell>
          <cell r="W112">
            <v>379196</v>
          </cell>
          <cell r="X112">
            <v>2</v>
          </cell>
          <cell r="Y112" t="str">
            <v>Active</v>
          </cell>
          <cell r="AA112">
            <v>1762</v>
          </cell>
        </row>
        <row r="113">
          <cell r="A113">
            <v>1763</v>
          </cell>
          <cell r="B113" t="str">
            <v>Bayley Place / Cincinnati / OH</v>
          </cell>
          <cell r="D113">
            <v>1</v>
          </cell>
          <cell r="E113" t="str">
            <v>Bayley Place (1763)</v>
          </cell>
          <cell r="F113" t="str">
            <v>Bayley Place</v>
          </cell>
          <cell r="G113" t="str">
            <v>Cincinnati</v>
          </cell>
          <cell r="H113" t="str">
            <v>OH</v>
          </cell>
          <cell r="I113" t="str">
            <v>45233</v>
          </cell>
          <cell r="J113" t="str">
            <v>Cincinnati, OH 45233</v>
          </cell>
          <cell r="K113" t="str">
            <v>990 Bayley Place Drive</v>
          </cell>
          <cell r="M113" t="str">
            <v>513-347-5435</v>
          </cell>
          <cell r="N113" t="str">
            <v>Affiliate Member Of</v>
          </cell>
          <cell r="O113" t="str">
            <v>Long Term Care</v>
          </cell>
          <cell r="P113" t="str">
            <v>Skilled Nursing Facility</v>
          </cell>
          <cell r="R113" t="str">
            <v>LC4P68400</v>
          </cell>
          <cell r="S113" t="str">
            <v>1100005367098</v>
          </cell>
          <cell r="T113">
            <v>35977</v>
          </cell>
          <cell r="V113">
            <v>0</v>
          </cell>
          <cell r="W113">
            <v>0</v>
          </cell>
          <cell r="X113">
            <v>91</v>
          </cell>
          <cell r="Y113" t="str">
            <v>Active</v>
          </cell>
          <cell r="AA113">
            <v>1763</v>
          </cell>
        </row>
        <row r="114">
          <cell r="A114">
            <v>1764</v>
          </cell>
          <cell r="B114" t="str">
            <v>Centura Centers for Occupational Medicine / Pueblo / CO</v>
          </cell>
          <cell r="D114">
            <v>5</v>
          </cell>
          <cell r="E114" t="str">
            <v>Centura Centers for Occupational Medicine (1764)</v>
          </cell>
          <cell r="F114" t="str">
            <v>Centura Centers for Occupational Medicine</v>
          </cell>
          <cell r="G114" t="str">
            <v>Pueblo</v>
          </cell>
          <cell r="H114" t="str">
            <v>CO</v>
          </cell>
          <cell r="I114" t="str">
            <v>81008</v>
          </cell>
          <cell r="J114" t="str">
            <v>Pueblo, CO 81008</v>
          </cell>
          <cell r="K114" t="str">
            <v xml:space="preserve">4112 Outlook  Blvd. </v>
          </cell>
          <cell r="L114" t="str">
            <v>Suite 37</v>
          </cell>
          <cell r="M114" t="str">
            <v>719-562-6300</v>
          </cell>
          <cell r="N114" t="str">
            <v>Affiliate Member Of</v>
          </cell>
          <cell r="O114" t="str">
            <v>Ambulatory Care</v>
          </cell>
          <cell r="P114" t="str">
            <v>Clinic</v>
          </cell>
          <cell r="R114" t="str">
            <v>KMB80WL00</v>
          </cell>
          <cell r="S114" t="str">
            <v>1100003353901</v>
          </cell>
          <cell r="T114">
            <v>35977</v>
          </cell>
          <cell r="V114">
            <v>43000261</v>
          </cell>
          <cell r="W114">
            <v>102381</v>
          </cell>
          <cell r="X114">
            <v>4</v>
          </cell>
          <cell r="Y114" t="str">
            <v>Active</v>
          </cell>
          <cell r="AA114">
            <v>1764</v>
          </cell>
        </row>
        <row r="115">
          <cell r="A115">
            <v>1765</v>
          </cell>
          <cell r="B115" t="str">
            <v>Centura Centers for Occupational Medicine / Canon City / CO</v>
          </cell>
          <cell r="D115">
            <v>5</v>
          </cell>
          <cell r="E115" t="str">
            <v>Centura Centers for Occupational Medicine (1765)</v>
          </cell>
          <cell r="F115" t="str">
            <v>Centura Centers for Occupational Medicine</v>
          </cell>
          <cell r="G115" t="str">
            <v>Canon City</v>
          </cell>
          <cell r="H115" t="str">
            <v>CO</v>
          </cell>
          <cell r="I115" t="str">
            <v>81212</v>
          </cell>
          <cell r="J115" t="str">
            <v>Canon City, CO 81212</v>
          </cell>
          <cell r="K115" t="str">
            <v>700 South 8th</v>
          </cell>
          <cell r="M115" t="str">
            <v>719-275-3301</v>
          </cell>
          <cell r="N115" t="str">
            <v>Affiliate Member Of</v>
          </cell>
          <cell r="O115" t="str">
            <v>Ambulatory Care</v>
          </cell>
          <cell r="P115" t="str">
            <v>Clinic</v>
          </cell>
          <cell r="R115" t="str">
            <v>3G07NAN00</v>
          </cell>
          <cell r="S115" t="str">
            <v>1100002163143</v>
          </cell>
          <cell r="T115">
            <v>35977</v>
          </cell>
          <cell r="V115">
            <v>43000261</v>
          </cell>
          <cell r="W115">
            <v>102381</v>
          </cell>
          <cell r="X115">
            <v>4</v>
          </cell>
          <cell r="Y115" t="str">
            <v>Active</v>
          </cell>
          <cell r="AA115">
            <v>1765</v>
          </cell>
        </row>
        <row r="116">
          <cell r="A116">
            <v>1768</v>
          </cell>
          <cell r="B116" t="str">
            <v>St. Vincent Doctors Hospital / Little Rock / AR</v>
          </cell>
          <cell r="D116">
            <v>1</v>
          </cell>
          <cell r="E116" t="str">
            <v>St. Vincent Doctors Hospital (1768)</v>
          </cell>
          <cell r="F116" t="str">
            <v>St. Vincent Doctors Hospital</v>
          </cell>
          <cell r="G116" t="str">
            <v>Little Rock</v>
          </cell>
          <cell r="H116" t="str">
            <v>AR</v>
          </cell>
          <cell r="I116" t="str">
            <v>72205-5331</v>
          </cell>
          <cell r="J116" t="str">
            <v>Little Rock, AR 72205-5331</v>
          </cell>
          <cell r="K116" t="str">
            <v>6101 St. Vincent Circle</v>
          </cell>
          <cell r="M116" t="str">
            <v>501-661-4493</v>
          </cell>
          <cell r="N116" t="str">
            <v>System Member Of</v>
          </cell>
          <cell r="O116" t="str">
            <v>Acute Care</v>
          </cell>
          <cell r="P116" t="str">
            <v>Hospital</v>
          </cell>
          <cell r="Q116" t="str">
            <v>BS5755701</v>
          </cell>
          <cell r="R116" t="str">
            <v>710650J00</v>
          </cell>
          <cell r="S116" t="str">
            <v>1100003399022</v>
          </cell>
          <cell r="T116">
            <v>35977</v>
          </cell>
          <cell r="U116">
            <v>35977</v>
          </cell>
          <cell r="V116">
            <v>43000261</v>
          </cell>
          <cell r="W116">
            <v>379196</v>
          </cell>
          <cell r="X116">
            <v>2</v>
          </cell>
          <cell r="Y116" t="str">
            <v>Active</v>
          </cell>
          <cell r="AA116">
            <v>1768</v>
          </cell>
        </row>
        <row r="117">
          <cell r="A117">
            <v>1921</v>
          </cell>
          <cell r="B117" t="str">
            <v>Medalion Retirement Community / Colorado Springs / CO</v>
          </cell>
          <cell r="D117">
            <v>5</v>
          </cell>
          <cell r="E117" t="str">
            <v>Medalion Retirement Community (1921)</v>
          </cell>
          <cell r="F117" t="str">
            <v>Medalion Retirement Community</v>
          </cell>
          <cell r="G117" t="str">
            <v>Colorado Springs</v>
          </cell>
          <cell r="H117" t="str">
            <v>CO</v>
          </cell>
          <cell r="I117" t="str">
            <v>80909</v>
          </cell>
          <cell r="J117" t="str">
            <v>Colorado Springs, CO 80909</v>
          </cell>
          <cell r="K117" t="str">
            <v>1719 E Bijou Street</v>
          </cell>
          <cell r="M117" t="str">
            <v>719-381-4963</v>
          </cell>
          <cell r="N117" t="str">
            <v>Affiliate Member Of</v>
          </cell>
          <cell r="O117" t="str">
            <v>Long Term Care</v>
          </cell>
          <cell r="P117" t="str">
            <v>Assisted Living Facility</v>
          </cell>
          <cell r="R117" t="str">
            <v>0877C6400</v>
          </cell>
          <cell r="S117" t="str">
            <v>1100002002022</v>
          </cell>
          <cell r="T117">
            <v>35977</v>
          </cell>
          <cell r="V117">
            <v>43000261</v>
          </cell>
          <cell r="W117">
            <v>102381</v>
          </cell>
          <cell r="X117">
            <v>4</v>
          </cell>
          <cell r="Y117" t="str">
            <v>Active</v>
          </cell>
          <cell r="AA117">
            <v>1921</v>
          </cell>
        </row>
        <row r="118">
          <cell r="A118">
            <v>1922</v>
          </cell>
          <cell r="B118" t="str">
            <v>Namaste Alzheimer Center / Colorado Springs / CO</v>
          </cell>
          <cell r="D118">
            <v>5</v>
          </cell>
          <cell r="E118" t="str">
            <v>Namaste Alzheimer Center (1922)</v>
          </cell>
          <cell r="F118" t="str">
            <v>Namaste Alzheimer Center</v>
          </cell>
          <cell r="G118" t="str">
            <v>Colorado Springs</v>
          </cell>
          <cell r="H118" t="str">
            <v>CO</v>
          </cell>
          <cell r="I118" t="str">
            <v>80906</v>
          </cell>
          <cell r="J118" t="str">
            <v>Colorado Springs, CO 80906</v>
          </cell>
          <cell r="K118" t="str">
            <v>2 Penrose Boulevard</v>
          </cell>
          <cell r="M118" t="str">
            <v>719-776-8500</v>
          </cell>
          <cell r="N118" t="str">
            <v>Affiliate Member Of</v>
          </cell>
          <cell r="O118" t="str">
            <v>Long Term Care</v>
          </cell>
          <cell r="P118" t="str">
            <v>Nursing Home w/o Pharmacy</v>
          </cell>
          <cell r="R118" t="str">
            <v>7EL09JY00</v>
          </cell>
          <cell r="S118" t="str">
            <v>1100005277496</v>
          </cell>
          <cell r="T118">
            <v>35977</v>
          </cell>
          <cell r="V118">
            <v>43000261</v>
          </cell>
          <cell r="W118">
            <v>102381</v>
          </cell>
          <cell r="X118">
            <v>4</v>
          </cell>
          <cell r="Y118" t="str">
            <v>Active</v>
          </cell>
          <cell r="AA118">
            <v>1922</v>
          </cell>
        </row>
        <row r="119">
          <cell r="A119">
            <v>1923</v>
          </cell>
          <cell r="B119" t="str">
            <v>Gardens at St. Elizabeth / Denver / CO</v>
          </cell>
          <cell r="D119">
            <v>5</v>
          </cell>
          <cell r="E119" t="str">
            <v>Gardens at St. Elizabeth (1923)</v>
          </cell>
          <cell r="F119" t="str">
            <v>Gardens at St. Elizabeth</v>
          </cell>
          <cell r="G119" t="str">
            <v>Denver</v>
          </cell>
          <cell r="H119" t="str">
            <v>CO</v>
          </cell>
          <cell r="I119" t="str">
            <v>80211</v>
          </cell>
          <cell r="J119" t="str">
            <v>Denver, CO 80211</v>
          </cell>
          <cell r="K119" t="str">
            <v>2835 W 32nd Ave</v>
          </cell>
          <cell r="M119" t="str">
            <v>303-964-2000</v>
          </cell>
          <cell r="N119" t="str">
            <v>Affiliate Member Of</v>
          </cell>
          <cell r="O119" t="str">
            <v>Long Term Care</v>
          </cell>
          <cell r="P119" t="str">
            <v>Assisted Living Facility</v>
          </cell>
          <cell r="R119" t="str">
            <v>TE22FD300</v>
          </cell>
          <cell r="S119" t="str">
            <v>1100005460492</v>
          </cell>
          <cell r="T119">
            <v>35977</v>
          </cell>
          <cell r="V119">
            <v>43000261</v>
          </cell>
          <cell r="W119">
            <v>102381</v>
          </cell>
          <cell r="X119">
            <v>4</v>
          </cell>
          <cell r="Y119" t="str">
            <v>Active</v>
          </cell>
          <cell r="AA119">
            <v>1923</v>
          </cell>
        </row>
        <row r="120">
          <cell r="A120">
            <v>1924</v>
          </cell>
          <cell r="B120" t="str">
            <v>Villas at Sunny Acres / Denver / CO</v>
          </cell>
          <cell r="D120">
            <v>5</v>
          </cell>
          <cell r="E120" t="str">
            <v>Villas at Sunny Acres (1924)</v>
          </cell>
          <cell r="F120" t="str">
            <v>Villas at Sunny Acres</v>
          </cell>
          <cell r="G120" t="str">
            <v>Denver</v>
          </cell>
          <cell r="H120" t="str">
            <v>CO</v>
          </cell>
          <cell r="I120" t="str">
            <v>80233-4401</v>
          </cell>
          <cell r="J120" t="str">
            <v>Denver, CO 80233-4401</v>
          </cell>
          <cell r="K120" t="str">
            <v>2501 E 104th Ave</v>
          </cell>
          <cell r="M120" t="str">
            <v>303-452-4181</v>
          </cell>
          <cell r="N120" t="str">
            <v>Affiliate Member Of</v>
          </cell>
          <cell r="O120" t="str">
            <v>Long Term Care</v>
          </cell>
          <cell r="P120" t="str">
            <v>Skilled Nursing Facility</v>
          </cell>
          <cell r="R120" t="str">
            <v>08503ZF</v>
          </cell>
          <cell r="S120" t="str">
            <v>1100003342295</v>
          </cell>
          <cell r="T120">
            <v>35977</v>
          </cell>
          <cell r="V120">
            <v>43000261</v>
          </cell>
          <cell r="W120">
            <v>102381</v>
          </cell>
          <cell r="X120">
            <v>4</v>
          </cell>
          <cell r="Y120" t="str">
            <v>Active</v>
          </cell>
          <cell r="AA120">
            <v>1924</v>
          </cell>
        </row>
        <row r="121">
          <cell r="A121">
            <v>1925</v>
          </cell>
          <cell r="B121" t="str">
            <v>Villa Pueblo Senior Living Community / Pueblo / CO</v>
          </cell>
          <cell r="D121">
            <v>5</v>
          </cell>
          <cell r="E121" t="str">
            <v>Villa Pueblo Senior Living Community (1925)</v>
          </cell>
          <cell r="F121" t="str">
            <v>Villa Pueblo Towers</v>
          </cell>
          <cell r="G121" t="str">
            <v>Pueblo</v>
          </cell>
          <cell r="H121" t="str">
            <v>CO</v>
          </cell>
          <cell r="I121" t="str">
            <v>81001</v>
          </cell>
          <cell r="J121" t="str">
            <v>Pueblo, CO 81001</v>
          </cell>
          <cell r="K121" t="str">
            <v>1111 Bonforte Boulevard</v>
          </cell>
          <cell r="M121" t="str">
            <v>719-545-5911</v>
          </cell>
          <cell r="N121" t="str">
            <v>Affiliate Member Of</v>
          </cell>
          <cell r="O121" t="str">
            <v>Long Term Care</v>
          </cell>
          <cell r="P121" t="str">
            <v>Skilled Nursing Facility</v>
          </cell>
          <cell r="R121" t="str">
            <v>08AIQH700</v>
          </cell>
          <cell r="S121" t="str">
            <v>1100004638229</v>
          </cell>
          <cell r="T121">
            <v>35977</v>
          </cell>
          <cell r="V121">
            <v>43000261</v>
          </cell>
          <cell r="W121">
            <v>102381</v>
          </cell>
          <cell r="X121">
            <v>4</v>
          </cell>
          <cell r="Y121" t="str">
            <v>Active</v>
          </cell>
          <cell r="AA121">
            <v>1925</v>
          </cell>
        </row>
        <row r="122">
          <cell r="A122">
            <v>1926</v>
          </cell>
          <cell r="B122" t="str">
            <v>Mt. St. Francis Provincial House / Colorado Springs / CO</v>
          </cell>
          <cell r="D122">
            <v>5</v>
          </cell>
          <cell r="E122" t="str">
            <v>Mt. St. Francis Provincial House (1926)</v>
          </cell>
          <cell r="F122" t="str">
            <v xml:space="preserve">Mt. St. Francis Provincial House </v>
          </cell>
          <cell r="G122" t="str">
            <v>Colorado Springs</v>
          </cell>
          <cell r="H122" t="str">
            <v>CO</v>
          </cell>
          <cell r="I122" t="str">
            <v>80919</v>
          </cell>
          <cell r="J122" t="str">
            <v>Colorado Springs, CO 80919</v>
          </cell>
          <cell r="K122" t="str">
            <v>7665 Assisi Heights</v>
          </cell>
          <cell r="M122" t="str">
            <v>719-598-5486</v>
          </cell>
          <cell r="N122" t="str">
            <v>Affiliate Member Of</v>
          </cell>
          <cell r="O122" t="str">
            <v>Other</v>
          </cell>
          <cell r="P122" t="str">
            <v>Other Facility</v>
          </cell>
          <cell r="R122" t="str">
            <v>7XJGM7W00</v>
          </cell>
          <cell r="S122" t="str">
            <v>1100005872257</v>
          </cell>
          <cell r="T122">
            <v>35977</v>
          </cell>
          <cell r="V122">
            <v>0</v>
          </cell>
          <cell r="W122">
            <v>0</v>
          </cell>
          <cell r="X122">
            <v>4</v>
          </cell>
          <cell r="Y122" t="str">
            <v>Inactive</v>
          </cell>
          <cell r="Z122">
            <v>38564</v>
          </cell>
        </row>
        <row r="123">
          <cell r="A123">
            <v>1927</v>
          </cell>
          <cell r="B123" t="str">
            <v>St. Joseph Manor / Florence / CO</v>
          </cell>
          <cell r="D123">
            <v>5</v>
          </cell>
          <cell r="E123" t="str">
            <v>St. Joseph Manor (1927)</v>
          </cell>
          <cell r="F123" t="str">
            <v>St. Joseph Manor</v>
          </cell>
          <cell r="G123" t="str">
            <v>Florence</v>
          </cell>
          <cell r="H123" t="str">
            <v>CO</v>
          </cell>
          <cell r="J123" t="str">
            <v>Florence, CO 81226</v>
          </cell>
          <cell r="K123" t="str">
            <v>600 W. Third Street</v>
          </cell>
          <cell r="M123" t="str">
            <v>719-784-4893</v>
          </cell>
          <cell r="N123" t="str">
            <v>Affiliate Member Of</v>
          </cell>
          <cell r="O123" t="str">
            <v>Long Term Care</v>
          </cell>
          <cell r="P123" t="str">
            <v>Skilled Nursing Facility</v>
          </cell>
          <cell r="R123" t="str">
            <v>840550M00</v>
          </cell>
          <cell r="S123" t="str">
            <v>1100005626942</v>
          </cell>
          <cell r="T123">
            <v>35977</v>
          </cell>
          <cell r="V123">
            <v>0</v>
          </cell>
          <cell r="W123">
            <v>0</v>
          </cell>
          <cell r="X123">
            <v>4</v>
          </cell>
          <cell r="Y123" t="str">
            <v>Inactive</v>
          </cell>
          <cell r="Z123">
            <v>38748</v>
          </cell>
        </row>
        <row r="124">
          <cell r="A124">
            <v>1930</v>
          </cell>
          <cell r="B124" t="str">
            <v>St. Joseph Living Center / Reading / PA</v>
          </cell>
          <cell r="D124">
            <v>1</v>
          </cell>
          <cell r="E124" t="str">
            <v>St. Joseph Living Center (1930)</v>
          </cell>
          <cell r="F124" t="str">
            <v>St. Joseph Living Center</v>
          </cell>
          <cell r="G124" t="str">
            <v>Reading</v>
          </cell>
          <cell r="H124" t="str">
            <v>PA</v>
          </cell>
          <cell r="I124" t="str">
            <v>19605</v>
          </cell>
          <cell r="J124" t="str">
            <v>Reading, PA 19605</v>
          </cell>
          <cell r="K124" t="str">
            <v>2900 Lawn Terrace</v>
          </cell>
          <cell r="M124" t="str">
            <v>610-208-8890</v>
          </cell>
          <cell r="N124" t="str">
            <v>System Member Of</v>
          </cell>
          <cell r="O124" t="str">
            <v>Long Term Care</v>
          </cell>
          <cell r="P124" t="str">
            <v>Skilled Nursing Facility</v>
          </cell>
          <cell r="R124" t="str">
            <v>7HJB83T00</v>
          </cell>
          <cell r="S124" t="str">
            <v>1100002826970</v>
          </cell>
          <cell r="T124">
            <v>35977</v>
          </cell>
          <cell r="V124">
            <v>43000261</v>
          </cell>
          <cell r="W124">
            <v>960482</v>
          </cell>
          <cell r="X124">
            <v>57</v>
          </cell>
          <cell r="Y124" t="str">
            <v>Active</v>
          </cell>
          <cell r="AA124">
            <v>1930</v>
          </cell>
        </row>
        <row r="125">
          <cell r="A125">
            <v>1934</v>
          </cell>
          <cell r="B125" t="str">
            <v>Medalion West / Colorado Springs / CO</v>
          </cell>
          <cell r="D125">
            <v>5</v>
          </cell>
          <cell r="E125" t="str">
            <v>Medalion West (1934)</v>
          </cell>
          <cell r="F125" t="str">
            <v>Medalion West</v>
          </cell>
          <cell r="G125" t="str">
            <v>Colorado Springs</v>
          </cell>
          <cell r="H125" t="str">
            <v>CO</v>
          </cell>
          <cell r="I125" t="str">
            <v>80903</v>
          </cell>
          <cell r="J125" t="str">
            <v>Colorado Springs, CO 80903</v>
          </cell>
          <cell r="K125" t="str">
            <v>417 E Kiowa Street</v>
          </cell>
          <cell r="M125" t="str">
            <v>719-381-4997</v>
          </cell>
          <cell r="N125" t="str">
            <v>Affiliate Member Of</v>
          </cell>
          <cell r="O125" t="str">
            <v>Long Term Care</v>
          </cell>
          <cell r="P125" t="str">
            <v>Assisted Living Facility</v>
          </cell>
          <cell r="R125" t="str">
            <v>R1A3JJ700</v>
          </cell>
          <cell r="S125" t="str">
            <v>1100003471414</v>
          </cell>
          <cell r="T125">
            <v>35977</v>
          </cell>
          <cell r="V125">
            <v>0</v>
          </cell>
          <cell r="W125">
            <v>0</v>
          </cell>
          <cell r="X125">
            <v>4</v>
          </cell>
          <cell r="Y125" t="str">
            <v>Inactive</v>
          </cell>
          <cell r="Z125">
            <v>39359</v>
          </cell>
          <cell r="AA125">
            <v>1934</v>
          </cell>
        </row>
        <row r="126">
          <cell r="A126">
            <v>1935</v>
          </cell>
          <cell r="B126" t="str">
            <v>St. Joseph Home / Cincinnati / OH</v>
          </cell>
          <cell r="D126">
            <v>1</v>
          </cell>
          <cell r="E126" t="str">
            <v>St. Joseph Home (1935)</v>
          </cell>
          <cell r="F126" t="str">
            <v>St. Joseph Home</v>
          </cell>
          <cell r="G126" t="str">
            <v>Cincinnati</v>
          </cell>
          <cell r="H126" t="str">
            <v>OH</v>
          </cell>
          <cell r="I126" t="str">
            <v>45241</v>
          </cell>
          <cell r="J126" t="str">
            <v>Cincinnati, OH 45241</v>
          </cell>
          <cell r="K126" t="str">
            <v>10722 Wyscarver Road</v>
          </cell>
          <cell r="M126" t="str">
            <v>45241</v>
          </cell>
          <cell r="N126" t="str">
            <v>System Member Of</v>
          </cell>
          <cell r="O126" t="str">
            <v>Other</v>
          </cell>
          <cell r="P126" t="str">
            <v>Other Facility</v>
          </cell>
          <cell r="R126" t="str">
            <v>39EMKEA00</v>
          </cell>
          <cell r="S126" t="str">
            <v>1100005304437</v>
          </cell>
          <cell r="T126">
            <v>35977</v>
          </cell>
          <cell r="V126">
            <v>0</v>
          </cell>
          <cell r="W126">
            <v>0</v>
          </cell>
          <cell r="X126">
            <v>91</v>
          </cell>
          <cell r="Y126" t="str">
            <v>Inactive</v>
          </cell>
          <cell r="Z126">
            <v>38625</v>
          </cell>
        </row>
        <row r="127">
          <cell r="A127">
            <v>1942</v>
          </cell>
          <cell r="B127" t="str">
            <v>Central Nebraska Home Care / Kearney / NE</v>
          </cell>
          <cell r="D127">
            <v>2</v>
          </cell>
          <cell r="E127" t="str">
            <v>Central Nebraska Home Care (1942)</v>
          </cell>
          <cell r="F127" t="str">
            <v>Central Nebraska Home Care</v>
          </cell>
          <cell r="G127" t="str">
            <v>Kearney</v>
          </cell>
          <cell r="H127" t="str">
            <v>NE</v>
          </cell>
          <cell r="I127" t="str">
            <v>68845</v>
          </cell>
          <cell r="J127" t="str">
            <v>Kearney, NE 68845</v>
          </cell>
          <cell r="K127" t="str">
            <v>221 West 44th Street</v>
          </cell>
          <cell r="M127" t="str">
            <v>308-865-2711</v>
          </cell>
          <cell r="N127" t="str">
            <v>System Member Of</v>
          </cell>
          <cell r="O127" t="str">
            <v>Home Care</v>
          </cell>
          <cell r="P127" t="str">
            <v>Home Infusion Provider</v>
          </cell>
          <cell r="R127" t="str">
            <v>B6PFJ0400</v>
          </cell>
          <cell r="S127" t="str">
            <v>1100002846725</v>
          </cell>
          <cell r="T127">
            <v>35977</v>
          </cell>
          <cell r="V127">
            <v>43000261</v>
          </cell>
          <cell r="W127">
            <v>374820</v>
          </cell>
          <cell r="X127">
            <v>45</v>
          </cell>
          <cell r="Y127" t="str">
            <v>Active</v>
          </cell>
          <cell r="AA127">
            <v>1942</v>
          </cell>
        </row>
        <row r="128">
          <cell r="A128">
            <v>1943</v>
          </cell>
          <cell r="B128" t="str">
            <v>Franciscan Villa / South Milwaukee / WI</v>
          </cell>
          <cell r="D128">
            <v>4</v>
          </cell>
          <cell r="E128" t="str">
            <v>Franciscan Villa (1943)</v>
          </cell>
          <cell r="F128" t="str">
            <v>Franciscan Villa</v>
          </cell>
          <cell r="G128" t="str">
            <v>South Milwaukee</v>
          </cell>
          <cell r="H128" t="str">
            <v>WI</v>
          </cell>
          <cell r="I128" t="str">
            <v>53172</v>
          </cell>
          <cell r="J128" t="str">
            <v>South Milwaukee, WI 53172</v>
          </cell>
          <cell r="K128" t="str">
            <v>3601 S Chicago Avenue</v>
          </cell>
          <cell r="M128" t="str">
            <v>414-764-4100</v>
          </cell>
          <cell r="N128" t="str">
            <v>System Member Of</v>
          </cell>
          <cell r="O128" t="str">
            <v>Long Term Care</v>
          </cell>
          <cell r="P128" t="str">
            <v>Skilled Nursing Facility</v>
          </cell>
          <cell r="R128" t="str">
            <v>55ED52800</v>
          </cell>
          <cell r="S128" t="str">
            <v>1100005137301</v>
          </cell>
          <cell r="T128">
            <v>35977</v>
          </cell>
          <cell r="V128">
            <v>43000261</v>
          </cell>
          <cell r="W128">
            <v>370482</v>
          </cell>
          <cell r="X128">
            <v>91</v>
          </cell>
          <cell r="Y128" t="str">
            <v>Active</v>
          </cell>
          <cell r="AA128">
            <v>1943</v>
          </cell>
        </row>
        <row r="129">
          <cell r="A129">
            <v>1944</v>
          </cell>
          <cell r="B129" t="str">
            <v>Mercy Care Center / Roseburg / OR</v>
          </cell>
          <cell r="D129">
            <v>3</v>
          </cell>
          <cell r="E129" t="str">
            <v>Mercy Care Center (1944)</v>
          </cell>
          <cell r="F129" t="str">
            <v>Mercy Care Center</v>
          </cell>
          <cell r="G129" t="str">
            <v>Roseburg</v>
          </cell>
          <cell r="H129" t="str">
            <v>OR</v>
          </cell>
          <cell r="I129" t="str">
            <v>97470</v>
          </cell>
          <cell r="J129" t="str">
            <v>Roseburg, OR 97470</v>
          </cell>
          <cell r="K129" t="str">
            <v>525 W Umpqua Street</v>
          </cell>
          <cell r="M129" t="str">
            <v>541-440-2199</v>
          </cell>
          <cell r="N129" t="str">
            <v>System Member Of</v>
          </cell>
          <cell r="O129" t="str">
            <v>Long Term Care</v>
          </cell>
          <cell r="P129" t="str">
            <v>Skilled Nursing Facility</v>
          </cell>
          <cell r="R129" t="str">
            <v>41S7HYJ</v>
          </cell>
          <cell r="S129" t="str">
            <v>1100002056162</v>
          </cell>
          <cell r="T129">
            <v>35977</v>
          </cell>
          <cell r="V129">
            <v>0</v>
          </cell>
          <cell r="W129">
            <v>0</v>
          </cell>
          <cell r="X129">
            <v>54</v>
          </cell>
          <cell r="Y129" t="str">
            <v>Inactive</v>
          </cell>
          <cell r="Z129">
            <v>38450</v>
          </cell>
        </row>
        <row r="130">
          <cell r="A130">
            <v>1945</v>
          </cell>
          <cell r="B130" t="str">
            <v>Our Lady of Fatima Villa / Saratoga / CA</v>
          </cell>
          <cell r="D130">
            <v>3</v>
          </cell>
          <cell r="E130" t="str">
            <v>Our Lady of Fatima Villa (1945)</v>
          </cell>
          <cell r="F130" t="str">
            <v>Our Lady of Fatima Villa</v>
          </cell>
          <cell r="G130" t="str">
            <v>Saratoga</v>
          </cell>
          <cell r="H130" t="str">
            <v>CA</v>
          </cell>
          <cell r="I130" t="str">
            <v>95070</v>
          </cell>
          <cell r="J130" t="str">
            <v>Saratoga, CA 95070</v>
          </cell>
          <cell r="K130" t="str">
            <v>20400 Saratoga-Los Gatos Road</v>
          </cell>
          <cell r="M130" t="str">
            <v>408-741-2950</v>
          </cell>
          <cell r="N130" t="str">
            <v>Affiliate Member Of</v>
          </cell>
          <cell r="O130" t="str">
            <v>Long Term Care</v>
          </cell>
          <cell r="P130" t="str">
            <v>Skilled Nursing Facility</v>
          </cell>
          <cell r="R130" t="str">
            <v>06Y3Z2800</v>
          </cell>
          <cell r="S130" t="str">
            <v>1100004477828</v>
          </cell>
          <cell r="T130">
            <v>35977</v>
          </cell>
          <cell r="V130">
            <v>0</v>
          </cell>
          <cell r="W130">
            <v>0</v>
          </cell>
          <cell r="X130">
            <v>91</v>
          </cell>
          <cell r="Y130" t="str">
            <v>Inactive</v>
          </cell>
          <cell r="Z130">
            <v>38564</v>
          </cell>
        </row>
        <row r="131">
          <cell r="A131">
            <v>1946</v>
          </cell>
          <cell r="B131" t="str">
            <v>St. Camillus Place / Little Falls / MN</v>
          </cell>
          <cell r="D131">
            <v>4</v>
          </cell>
          <cell r="E131" t="str">
            <v>St. Camillus Place (1946)</v>
          </cell>
          <cell r="F131" t="str">
            <v>St. Camillus Place</v>
          </cell>
          <cell r="G131" t="str">
            <v>Little Falls</v>
          </cell>
          <cell r="H131" t="str">
            <v>MN</v>
          </cell>
          <cell r="I131" t="str">
            <v>56345</v>
          </cell>
          <cell r="J131" t="str">
            <v>Little Falls, MN 56345</v>
          </cell>
          <cell r="K131" t="str">
            <v>1100 SE 4th Street</v>
          </cell>
          <cell r="M131" t="str">
            <v>320-632-1212</v>
          </cell>
          <cell r="N131" t="str">
            <v>System Member Of</v>
          </cell>
          <cell r="O131" t="str">
            <v>Long Term Care</v>
          </cell>
          <cell r="P131" t="str">
            <v>Skilled Nursing Facility</v>
          </cell>
          <cell r="R131" t="str">
            <v>JF2QYC000</v>
          </cell>
          <cell r="S131" t="str">
            <v>1100004718204</v>
          </cell>
          <cell r="T131">
            <v>35977</v>
          </cell>
          <cell r="V131">
            <v>43000261</v>
          </cell>
          <cell r="W131">
            <v>370360</v>
          </cell>
          <cell r="X131">
            <v>33</v>
          </cell>
          <cell r="Y131" t="str">
            <v>Active</v>
          </cell>
          <cell r="AA131">
            <v>1946</v>
          </cell>
        </row>
        <row r="132">
          <cell r="A132">
            <v>1947</v>
          </cell>
          <cell r="B132" t="str">
            <v>St. Joan Antida Home / West Allis / WI</v>
          </cell>
          <cell r="D132">
            <v>4</v>
          </cell>
          <cell r="E132" t="str">
            <v>St. Joan Antida Home (1947)</v>
          </cell>
          <cell r="F132" t="str">
            <v>St. Joan Antida Home</v>
          </cell>
          <cell r="G132" t="str">
            <v>West Allis</v>
          </cell>
          <cell r="H132" t="str">
            <v>WI</v>
          </cell>
          <cell r="I132" t="str">
            <v>53219</v>
          </cell>
          <cell r="J132" t="str">
            <v>West Allis, WI 53219</v>
          </cell>
          <cell r="K132" t="str">
            <v>6700 W Beloit Road</v>
          </cell>
          <cell r="M132" t="str">
            <v>414-276-5153</v>
          </cell>
          <cell r="N132" t="str">
            <v>System Member Of</v>
          </cell>
          <cell r="O132" t="str">
            <v>Long Term Care</v>
          </cell>
          <cell r="P132" t="str">
            <v>Assisted Living Facility</v>
          </cell>
          <cell r="R132" t="str">
            <v>55E0SP500</v>
          </cell>
          <cell r="S132" t="str">
            <v>1100004132208</v>
          </cell>
          <cell r="T132">
            <v>35977</v>
          </cell>
          <cell r="V132">
            <v>0</v>
          </cell>
          <cell r="W132">
            <v>0</v>
          </cell>
          <cell r="X132">
            <v>91</v>
          </cell>
          <cell r="Y132" t="str">
            <v>Inactive</v>
          </cell>
          <cell r="Z132">
            <v>39507</v>
          </cell>
          <cell r="AA132">
            <v>1947</v>
          </cell>
        </row>
        <row r="133">
          <cell r="A133">
            <v>1948</v>
          </cell>
          <cell r="B133" t="str">
            <v>St. Otto's Care Center / Little Falls / MN</v>
          </cell>
          <cell r="D133">
            <v>4</v>
          </cell>
          <cell r="E133" t="str">
            <v>St. Otto's Care Center (1948)</v>
          </cell>
          <cell r="F133" t="str">
            <v>St. Otto's Care Center</v>
          </cell>
          <cell r="G133" t="str">
            <v>Little Falls</v>
          </cell>
          <cell r="H133" t="str">
            <v>MN</v>
          </cell>
          <cell r="I133" t="str">
            <v>56345</v>
          </cell>
          <cell r="J133" t="str">
            <v>Little Falls, MN 56345</v>
          </cell>
          <cell r="K133" t="str">
            <v>920 SE 4th Street</v>
          </cell>
          <cell r="M133" t="str">
            <v>320-632-9281</v>
          </cell>
          <cell r="N133" t="str">
            <v>System Member Of</v>
          </cell>
          <cell r="O133" t="str">
            <v>Long Term Care</v>
          </cell>
          <cell r="P133" t="str">
            <v>Skilled Nursing Facility</v>
          </cell>
          <cell r="R133" t="str">
            <v>27K8G2J00</v>
          </cell>
          <cell r="S133" t="str">
            <v>1100004785138</v>
          </cell>
          <cell r="T133">
            <v>35977</v>
          </cell>
          <cell r="V133">
            <v>43000261</v>
          </cell>
          <cell r="W133">
            <v>371637</v>
          </cell>
          <cell r="X133">
            <v>35</v>
          </cell>
          <cell r="Y133" t="str">
            <v>Active</v>
          </cell>
          <cell r="AA133">
            <v>1948</v>
          </cell>
        </row>
        <row r="134">
          <cell r="A134">
            <v>1949</v>
          </cell>
          <cell r="B134" t="str">
            <v>Geriatric Center / Denver / CO</v>
          </cell>
          <cell r="D134">
            <v>5</v>
          </cell>
          <cell r="E134" t="str">
            <v>Geriatric Center (1949)</v>
          </cell>
          <cell r="F134" t="str">
            <v>Geriatric Center</v>
          </cell>
          <cell r="G134" t="str">
            <v>Denver</v>
          </cell>
          <cell r="H134" t="str">
            <v>CO</v>
          </cell>
          <cell r="I134" t="str">
            <v>80204</v>
          </cell>
          <cell r="J134" t="str">
            <v>Denver, CO 80204</v>
          </cell>
          <cell r="K134" t="str">
            <v>1601 Lowell Boulevard</v>
          </cell>
          <cell r="M134" t="str">
            <v>303-825-2190</v>
          </cell>
          <cell r="N134" t="str">
            <v>Affiliate Member Of</v>
          </cell>
          <cell r="O134" t="str">
            <v>Long Term Care</v>
          </cell>
          <cell r="P134" t="str">
            <v>Assisted Living Facility</v>
          </cell>
          <cell r="R134" t="str">
            <v>YXKET9VF0</v>
          </cell>
          <cell r="S134" t="str">
            <v>1100002780333</v>
          </cell>
          <cell r="T134">
            <v>35977</v>
          </cell>
          <cell r="V134">
            <v>0</v>
          </cell>
          <cell r="W134">
            <v>0</v>
          </cell>
          <cell r="X134">
            <v>4</v>
          </cell>
          <cell r="Y134" t="str">
            <v>Inactive</v>
          </cell>
          <cell r="Z134">
            <v>39387</v>
          </cell>
          <cell r="AA134">
            <v>1949</v>
          </cell>
        </row>
        <row r="135">
          <cell r="A135">
            <v>1950</v>
          </cell>
          <cell r="B135" t="str">
            <v>St. Joseph Home Health Services / Redmond / WA</v>
          </cell>
          <cell r="D135">
            <v>3</v>
          </cell>
          <cell r="E135" t="str">
            <v>St. Joseph Home Health Services (1950)</v>
          </cell>
          <cell r="F135" t="str">
            <v>St. Joseph Home Health Services</v>
          </cell>
          <cell r="G135" t="str">
            <v>Redmond</v>
          </cell>
          <cell r="H135" t="str">
            <v>WA</v>
          </cell>
          <cell r="I135" t="str">
            <v>98052</v>
          </cell>
          <cell r="J135" t="str">
            <v>Redmond, WA 98052</v>
          </cell>
          <cell r="K135" t="str">
            <v>2893 152nd Avenue, NE Bldg #12</v>
          </cell>
          <cell r="M135" t="str">
            <v>253-591-6808</v>
          </cell>
          <cell r="N135" t="str">
            <v>System Member Of</v>
          </cell>
          <cell r="O135" t="str">
            <v>Home Care</v>
          </cell>
          <cell r="P135" t="str">
            <v>Home Infusion Provider</v>
          </cell>
          <cell r="S135" t="str">
            <v>1100005353695</v>
          </cell>
          <cell r="T135">
            <v>35977</v>
          </cell>
          <cell r="V135">
            <v>43000261</v>
          </cell>
          <cell r="W135">
            <v>960546</v>
          </cell>
          <cell r="X135">
            <v>64</v>
          </cell>
          <cell r="Y135" t="str">
            <v>Active</v>
          </cell>
          <cell r="AA135">
            <v>1950</v>
          </cell>
        </row>
        <row r="136">
          <cell r="A136">
            <v>1951</v>
          </cell>
          <cell r="B136" t="str">
            <v>Central Kansas Health Equipment and Supply / Great Bend / KS</v>
          </cell>
          <cell r="D136">
            <v>2</v>
          </cell>
          <cell r="E136" t="str">
            <v>Central Kansas Health Equipment and Supply (1951)</v>
          </cell>
          <cell r="F136" t="str">
            <v>Central Kansas Health Equipment and Supply</v>
          </cell>
          <cell r="G136" t="str">
            <v>Great Bend</v>
          </cell>
          <cell r="H136" t="str">
            <v>KS</v>
          </cell>
          <cell r="I136" t="str">
            <v>67530</v>
          </cell>
          <cell r="J136" t="str">
            <v>Great Bend, KS 67530</v>
          </cell>
          <cell r="K136" t="str">
            <v>1913 Lakin</v>
          </cell>
          <cell r="M136" t="str">
            <v>316-793-5109</v>
          </cell>
          <cell r="N136" t="str">
            <v>System Member Of</v>
          </cell>
          <cell r="O136" t="str">
            <v>Retail</v>
          </cell>
          <cell r="P136" t="str">
            <v>Durable Medical Equipment Dealer (DME)</v>
          </cell>
          <cell r="R136" t="str">
            <v>21466L400</v>
          </cell>
          <cell r="S136" t="str">
            <v>1100004144263</v>
          </cell>
          <cell r="T136">
            <v>35977</v>
          </cell>
          <cell r="V136">
            <v>0</v>
          </cell>
          <cell r="W136">
            <v>0</v>
          </cell>
          <cell r="X136">
            <v>18</v>
          </cell>
          <cell r="Y136" t="str">
            <v>Inactive</v>
          </cell>
          <cell r="Z136">
            <v>39507</v>
          </cell>
          <cell r="AA136">
            <v>1951</v>
          </cell>
        </row>
        <row r="137">
          <cell r="A137">
            <v>1953</v>
          </cell>
          <cell r="B137" t="str">
            <v>Mercy Medical Center - Home Infusion / Durango / CO</v>
          </cell>
          <cell r="D137">
            <v>2</v>
          </cell>
          <cell r="E137" t="str">
            <v>Mercy Medical Center - Home Infusion (1953)</v>
          </cell>
          <cell r="F137" t="str">
            <v>Mercy Medical Center - Home Infusion</v>
          </cell>
          <cell r="G137" t="str">
            <v>Durango</v>
          </cell>
          <cell r="H137" t="str">
            <v>CO</v>
          </cell>
          <cell r="I137" t="str">
            <v>81301</v>
          </cell>
          <cell r="J137" t="str">
            <v>Durango, CO 81301</v>
          </cell>
          <cell r="K137" t="str">
            <v>375 E Park Ave</v>
          </cell>
          <cell r="M137" t="str">
            <v>970-282-1359</v>
          </cell>
          <cell r="N137" t="str">
            <v>System Member Of</v>
          </cell>
          <cell r="O137" t="str">
            <v>Home Care</v>
          </cell>
          <cell r="P137" t="str">
            <v>Home Infusion Provider</v>
          </cell>
          <cell r="R137" t="str">
            <v>7JL341J00</v>
          </cell>
          <cell r="S137" t="str">
            <v>1100002707569</v>
          </cell>
          <cell r="T137">
            <v>35977</v>
          </cell>
          <cell r="V137">
            <v>43000261</v>
          </cell>
          <cell r="W137">
            <v>404398</v>
          </cell>
          <cell r="X137">
            <v>4</v>
          </cell>
          <cell r="Y137" t="str">
            <v>Active</v>
          </cell>
          <cell r="AA137">
            <v>1953</v>
          </cell>
        </row>
        <row r="138">
          <cell r="A138">
            <v>1954</v>
          </cell>
          <cell r="B138" t="str">
            <v>St. Joseph Medical Equipment &amp; Supply / Reading / PA</v>
          </cell>
          <cell r="D138">
            <v>1</v>
          </cell>
          <cell r="E138" t="str">
            <v>St. Joseph Medical Equipment &amp; Supply (1954)</v>
          </cell>
          <cell r="F138" t="str">
            <v>St. Joseph Medical Equipment &amp; Supply</v>
          </cell>
          <cell r="G138" t="str">
            <v>Reading</v>
          </cell>
          <cell r="H138" t="str">
            <v>PA</v>
          </cell>
          <cell r="I138" t="str">
            <v>19606</v>
          </cell>
          <cell r="J138" t="str">
            <v>Reading, PA 19606</v>
          </cell>
          <cell r="K138" t="str">
            <v>2548 Perkiomen Ave</v>
          </cell>
          <cell r="M138" t="str">
            <v>610-370-0405</v>
          </cell>
          <cell r="N138" t="str">
            <v>System Member Of</v>
          </cell>
          <cell r="O138" t="str">
            <v>Retail</v>
          </cell>
          <cell r="P138" t="str">
            <v>Durable Medical Equipment Dealer (DME)</v>
          </cell>
          <cell r="R138" t="str">
            <v>EL52QVR00</v>
          </cell>
          <cell r="S138" t="str">
            <v>1100004691385</v>
          </cell>
          <cell r="T138">
            <v>35977</v>
          </cell>
          <cell r="V138">
            <v>0</v>
          </cell>
          <cell r="W138">
            <v>0</v>
          </cell>
          <cell r="X138">
            <v>57</v>
          </cell>
          <cell r="Y138" t="str">
            <v>Inactive</v>
          </cell>
          <cell r="Z138">
            <v>39507</v>
          </cell>
          <cell r="AA138">
            <v>1954</v>
          </cell>
        </row>
        <row r="139">
          <cell r="A139">
            <v>1956</v>
          </cell>
          <cell r="B139" t="str">
            <v>Platte Valley Medical Group PC / Kearney / NE</v>
          </cell>
          <cell r="D139">
            <v>2</v>
          </cell>
          <cell r="E139" t="str">
            <v>Platte Valley Medical Group PC (1956)</v>
          </cell>
          <cell r="F139" t="str">
            <v>Platte Valley Medical Group PC</v>
          </cell>
          <cell r="G139" t="str">
            <v>Kearney</v>
          </cell>
          <cell r="H139" t="str">
            <v>NE</v>
          </cell>
          <cell r="I139" t="str">
            <v>68847</v>
          </cell>
          <cell r="J139" t="str">
            <v>Kearney, NE 68847</v>
          </cell>
          <cell r="K139" t="str">
            <v>3219 Avenue A   POB 550</v>
          </cell>
          <cell r="M139" t="str">
            <v>308-865-2263</v>
          </cell>
          <cell r="N139" t="str">
            <v>System Member Of</v>
          </cell>
          <cell r="O139" t="str">
            <v>Ambulatory Care</v>
          </cell>
          <cell r="P139" t="str">
            <v>Clinic</v>
          </cell>
          <cell r="R139" t="str">
            <v>QAHDK6K00</v>
          </cell>
          <cell r="S139" t="str">
            <v>1100005542211</v>
          </cell>
          <cell r="T139">
            <v>35977</v>
          </cell>
          <cell r="V139">
            <v>43000261</v>
          </cell>
          <cell r="W139">
            <v>374820</v>
          </cell>
          <cell r="X139">
            <v>45</v>
          </cell>
          <cell r="Y139" t="str">
            <v>Active</v>
          </cell>
          <cell r="AA139">
            <v>1956</v>
          </cell>
        </row>
        <row r="140">
          <cell r="A140">
            <v>1958</v>
          </cell>
          <cell r="B140" t="str">
            <v>Memorial Hospital Pharmacy / Chattanooga / TN</v>
          </cell>
          <cell r="D140">
            <v>1</v>
          </cell>
          <cell r="E140" t="str">
            <v>Memorial Hospital Pharmacy (1958)</v>
          </cell>
          <cell r="F140" t="str">
            <v>Memorial Hospital Pharmacy</v>
          </cell>
          <cell r="G140" t="str">
            <v>Chattanooga</v>
          </cell>
          <cell r="H140" t="str">
            <v>TN</v>
          </cell>
          <cell r="I140" t="str">
            <v>37404</v>
          </cell>
          <cell r="J140" t="str">
            <v>Chattanooga, TN 37404</v>
          </cell>
          <cell r="K140" t="str">
            <v>2525 de Sales Ave</v>
          </cell>
          <cell r="M140" t="str">
            <v>423-495-8381</v>
          </cell>
          <cell r="N140" t="str">
            <v>System Member Of</v>
          </cell>
          <cell r="O140" t="str">
            <v>Retail</v>
          </cell>
          <cell r="P140" t="str">
            <v>Free-standing Outpatient Retail Pharmacy</v>
          </cell>
          <cell r="R140" t="str">
            <v>520160EF0</v>
          </cell>
          <cell r="S140" t="str">
            <v>1100003487583</v>
          </cell>
          <cell r="T140">
            <v>35977</v>
          </cell>
          <cell r="V140">
            <v>43000261</v>
          </cell>
          <cell r="W140">
            <v>379170</v>
          </cell>
          <cell r="X140">
            <v>60</v>
          </cell>
          <cell r="Y140" t="str">
            <v>Active</v>
          </cell>
          <cell r="AA140">
            <v>1958</v>
          </cell>
        </row>
        <row r="141">
          <cell r="A141">
            <v>1960</v>
          </cell>
          <cell r="B141" t="str">
            <v>Centura Special Care Hospital / Denver / CO</v>
          </cell>
          <cell r="D141">
            <v>5</v>
          </cell>
          <cell r="E141" t="str">
            <v>Centura Special Care Hospital (1960)</v>
          </cell>
          <cell r="F141" t="str">
            <v>Centura Special Care Hospital</v>
          </cell>
          <cell r="G141" t="str">
            <v>Denver</v>
          </cell>
          <cell r="H141" t="str">
            <v>CO</v>
          </cell>
          <cell r="I141" t="str">
            <v>80204</v>
          </cell>
          <cell r="J141" t="str">
            <v>Denver, CO 80204</v>
          </cell>
          <cell r="K141" t="str">
            <v>1601 Lowell Boulevard</v>
          </cell>
          <cell r="M141" t="str">
            <v>303-825-2190</v>
          </cell>
          <cell r="N141" t="str">
            <v>Affiliate Member Of</v>
          </cell>
          <cell r="O141" t="str">
            <v>Long Term Care</v>
          </cell>
          <cell r="P141" t="str">
            <v>Skilled Nursing Facility</v>
          </cell>
          <cell r="Q141" t="str">
            <v>BS1126324</v>
          </cell>
          <cell r="R141" t="str">
            <v>87CJ2V700</v>
          </cell>
          <cell r="S141" t="str">
            <v>1100002276409</v>
          </cell>
          <cell r="T141">
            <v>35977</v>
          </cell>
          <cell r="U141">
            <v>35977</v>
          </cell>
          <cell r="V141">
            <v>0</v>
          </cell>
          <cell r="W141">
            <v>0</v>
          </cell>
          <cell r="X141">
            <v>4</v>
          </cell>
          <cell r="Y141" t="str">
            <v>Inactive</v>
          </cell>
          <cell r="Z141">
            <v>39172</v>
          </cell>
          <cell r="AA141">
            <v>1960</v>
          </cell>
        </row>
        <row r="142">
          <cell r="A142">
            <v>2126</v>
          </cell>
          <cell r="B142" t="str">
            <v>Centura Health Supply Chain Management / Denver / CO</v>
          </cell>
          <cell r="D142">
            <v>5</v>
          </cell>
          <cell r="E142" t="str">
            <v>Centura Health Supply Chain Management (2126)</v>
          </cell>
          <cell r="F142" t="str">
            <v>Centura Health Supply Chain Management</v>
          </cell>
          <cell r="G142" t="str">
            <v>Denver</v>
          </cell>
          <cell r="H142" t="str">
            <v>CO</v>
          </cell>
          <cell r="J142" t="str">
            <v>Denver, CO 80222</v>
          </cell>
          <cell r="K142" t="str">
            <v>2425 S. Colorado Blvd.</v>
          </cell>
          <cell r="L142" t="str">
            <v>Suite 200</v>
          </cell>
          <cell r="M142" t="str">
            <v>303-825-2190</v>
          </cell>
          <cell r="N142" t="str">
            <v>Affiliate Member Of</v>
          </cell>
          <cell r="O142" t="str">
            <v>Other</v>
          </cell>
          <cell r="P142" t="str">
            <v>Health Care System/IDN - Office</v>
          </cell>
          <cell r="R142" t="str">
            <v>0C1FVD000</v>
          </cell>
          <cell r="T142">
            <v>35977</v>
          </cell>
          <cell r="V142">
            <v>43000261</v>
          </cell>
          <cell r="W142">
            <v>102381</v>
          </cell>
          <cell r="X142">
            <v>4</v>
          </cell>
          <cell r="Y142" t="str">
            <v>Active</v>
          </cell>
          <cell r="AA142">
            <v>2126</v>
          </cell>
        </row>
        <row r="143">
          <cell r="A143">
            <v>2128</v>
          </cell>
          <cell r="B143" t="str">
            <v>St. Mary's Hospital / Passaic / NJ</v>
          </cell>
          <cell r="D143">
            <v>1</v>
          </cell>
          <cell r="E143" t="str">
            <v>St. Mary's Hospital (2128)</v>
          </cell>
          <cell r="F143" t="str">
            <v>St. Mary's Hospital</v>
          </cell>
          <cell r="G143" t="str">
            <v>Passaic</v>
          </cell>
          <cell r="H143" t="str">
            <v>NJ</v>
          </cell>
          <cell r="I143" t="str">
            <v>07055</v>
          </cell>
          <cell r="J143" t="str">
            <v>Passaic,  NJ  07055</v>
          </cell>
          <cell r="K143" t="str">
            <v>350 Boulevard</v>
          </cell>
          <cell r="N143" t="str">
            <v>Affiliate Member Of</v>
          </cell>
          <cell r="O143" t="str">
            <v>Acute Care</v>
          </cell>
          <cell r="P143" t="str">
            <v>Hospital</v>
          </cell>
          <cell r="Q143" t="str">
            <v>1100002152802</v>
          </cell>
          <cell r="R143" t="str">
            <v>BP8692647</v>
          </cell>
          <cell r="S143" t="str">
            <v>220910E00</v>
          </cell>
          <cell r="T143">
            <v>35977</v>
          </cell>
          <cell r="U143">
            <v>39437</v>
          </cell>
          <cell r="V143">
            <v>43000261</v>
          </cell>
          <cell r="W143">
            <v>1039134</v>
          </cell>
          <cell r="Y143" t="str">
            <v>Active</v>
          </cell>
          <cell r="Z143">
            <v>2958465</v>
          </cell>
          <cell r="AA143">
            <v>2128</v>
          </cell>
        </row>
        <row r="144">
          <cell r="A144">
            <v>2134</v>
          </cell>
          <cell r="B144" t="str">
            <v>St. John's Maude Norton Memorial Hospital / Columbus / KS</v>
          </cell>
          <cell r="D144">
            <v>2</v>
          </cell>
          <cell r="E144" t="str">
            <v>St. John's Maude Norton Memorial Hospital (2134)</v>
          </cell>
          <cell r="F144" t="str">
            <v>St. John's Maude Norton Memorial Hospital</v>
          </cell>
          <cell r="G144" t="str">
            <v>Columbus</v>
          </cell>
          <cell r="H144" t="str">
            <v>KS</v>
          </cell>
          <cell r="I144" t="str">
            <v>66725</v>
          </cell>
          <cell r="J144" t="str">
            <v>Columbus, KS 66725</v>
          </cell>
          <cell r="K144" t="str">
            <v>220 N. Pennsylvania</v>
          </cell>
          <cell r="M144" t="str">
            <v>316-429-2545</v>
          </cell>
          <cell r="N144" t="str">
            <v>Affiliate Member Of</v>
          </cell>
          <cell r="O144" t="str">
            <v>Acute Care</v>
          </cell>
          <cell r="P144" t="str">
            <v>Hospital</v>
          </cell>
          <cell r="Q144" t="str">
            <v>BS6458245</v>
          </cell>
          <cell r="R144" t="str">
            <v>670220H00</v>
          </cell>
          <cell r="S144" t="str">
            <v>1100003589423</v>
          </cell>
          <cell r="T144">
            <v>36100</v>
          </cell>
          <cell r="U144">
            <v>36100</v>
          </cell>
          <cell r="V144">
            <v>43000261</v>
          </cell>
          <cell r="W144">
            <v>374803</v>
          </cell>
          <cell r="X144">
            <v>36</v>
          </cell>
          <cell r="Y144" t="str">
            <v>Active</v>
          </cell>
          <cell r="AA144">
            <v>2134</v>
          </cell>
        </row>
        <row r="145">
          <cell r="A145">
            <v>2135</v>
          </cell>
          <cell r="B145" t="str">
            <v>Stevens County Hospital / Hugoton / KS</v>
          </cell>
          <cell r="D145">
            <v>2</v>
          </cell>
          <cell r="E145" t="str">
            <v>Stevens County Hospital (2135)</v>
          </cell>
          <cell r="F145" t="str">
            <v>Stevens County Hospital</v>
          </cell>
          <cell r="G145" t="str">
            <v>Hugoton</v>
          </cell>
          <cell r="H145" t="str">
            <v>KS</v>
          </cell>
          <cell r="I145" t="str">
            <v>67951</v>
          </cell>
          <cell r="J145" t="str">
            <v>Hugoton, KS 67951</v>
          </cell>
          <cell r="K145" t="str">
            <v>1006 South Jackson</v>
          </cell>
          <cell r="L145" t="str">
            <v>PO Box 10</v>
          </cell>
          <cell r="M145" t="str">
            <v>620-544-8511</v>
          </cell>
          <cell r="N145" t="str">
            <v>Affiliate Member Of</v>
          </cell>
          <cell r="O145" t="str">
            <v>Acute Care</v>
          </cell>
          <cell r="P145" t="str">
            <v>Hospital</v>
          </cell>
          <cell r="Q145" t="str">
            <v>AS1288287</v>
          </cell>
          <cell r="R145" t="str">
            <v>670590R00</v>
          </cell>
          <cell r="S145" t="str">
            <v>1100002197711</v>
          </cell>
          <cell r="T145">
            <v>36192</v>
          </cell>
          <cell r="U145">
            <v>36192</v>
          </cell>
          <cell r="V145">
            <v>0</v>
          </cell>
          <cell r="W145">
            <v>0</v>
          </cell>
          <cell r="X145">
            <v>91</v>
          </cell>
          <cell r="Y145" t="str">
            <v>Active</v>
          </cell>
          <cell r="AA145">
            <v>2135</v>
          </cell>
        </row>
        <row r="146">
          <cell r="A146">
            <v>2228</v>
          </cell>
          <cell r="B146" t="str">
            <v>St. Vincent Same Day Surgery Center / Santa Fe / NM</v>
          </cell>
          <cell r="D146">
            <v>2</v>
          </cell>
          <cell r="E146" t="str">
            <v>St. Vincent Same Day Surgery Center (2228)</v>
          </cell>
          <cell r="F146" t="str">
            <v>St. Vincent Same Day Surgery Center</v>
          </cell>
          <cell r="G146" t="str">
            <v>Santa Fe</v>
          </cell>
          <cell r="H146" t="str">
            <v>NM</v>
          </cell>
          <cell r="I146" t="str">
            <v>87505</v>
          </cell>
          <cell r="J146" t="str">
            <v>Santa Fe, NM 87505</v>
          </cell>
          <cell r="K146" t="str">
            <v>1651 Hospital Drive</v>
          </cell>
          <cell r="M146" t="str">
            <v>505-820-5669</v>
          </cell>
          <cell r="N146" t="str">
            <v>System Member Of</v>
          </cell>
          <cell r="O146" t="str">
            <v>Acute Care</v>
          </cell>
          <cell r="P146" t="str">
            <v>Surgery Center</v>
          </cell>
          <cell r="Q146" t="str">
            <v>BS4825317</v>
          </cell>
          <cell r="R146" t="str">
            <v>79Q754M00</v>
          </cell>
          <cell r="T146">
            <v>35977</v>
          </cell>
          <cell r="V146">
            <v>0</v>
          </cell>
          <cell r="W146">
            <v>0</v>
          </cell>
          <cell r="X146">
            <v>91</v>
          </cell>
          <cell r="Y146" t="str">
            <v>Inactive</v>
          </cell>
          <cell r="Z146">
            <v>38306</v>
          </cell>
        </row>
        <row r="147">
          <cell r="A147">
            <v>2274</v>
          </cell>
          <cell r="B147" t="str">
            <v>SARMED Outpatient Pharmacy - Mednow Pharmacy / Boise / ID</v>
          </cell>
          <cell r="D147">
            <v>3</v>
          </cell>
          <cell r="E147" t="str">
            <v>SARMED Outpatient Pharmacy - Mednow Pharmacy (2274)</v>
          </cell>
          <cell r="F147" t="str">
            <v>SARMED Outpatient Pharmacy - Mednow Pharmacy</v>
          </cell>
          <cell r="G147" t="str">
            <v>Boise</v>
          </cell>
          <cell r="H147" t="str">
            <v>ID</v>
          </cell>
          <cell r="I147" t="str">
            <v>83706</v>
          </cell>
          <cell r="J147" t="str">
            <v>Boise, ID 83706</v>
          </cell>
          <cell r="K147" t="str">
            <v>999 N. Curtis Road</v>
          </cell>
          <cell r="M147" t="str">
            <v>208-367-4847</v>
          </cell>
          <cell r="N147" t="str">
            <v>Affiliate Member Of</v>
          </cell>
          <cell r="O147" t="str">
            <v>Retail</v>
          </cell>
          <cell r="P147" t="str">
            <v>Hospital Outpatient Retail Pharmacy</v>
          </cell>
          <cell r="Q147" t="str">
            <v>BS8540230</v>
          </cell>
          <cell r="R147" t="str">
            <v>820080IF1</v>
          </cell>
          <cell r="S147" t="str">
            <v>1100002534486</v>
          </cell>
          <cell r="T147">
            <v>35977</v>
          </cell>
          <cell r="U147">
            <v>35977</v>
          </cell>
          <cell r="V147">
            <v>43000261</v>
          </cell>
          <cell r="W147">
            <v>103780</v>
          </cell>
          <cell r="X147">
            <v>68</v>
          </cell>
          <cell r="Y147" t="str">
            <v>Active</v>
          </cell>
          <cell r="AA147">
            <v>2274</v>
          </cell>
        </row>
        <row r="148">
          <cell r="A148">
            <v>2285</v>
          </cell>
          <cell r="B148" t="str">
            <v>Saint Joseph East / Lexington / KY</v>
          </cell>
          <cell r="D148">
            <v>1</v>
          </cell>
          <cell r="E148" t="str">
            <v>Saint Joseph East (2285)</v>
          </cell>
          <cell r="F148" t="str">
            <v>Saint Joseph East</v>
          </cell>
          <cell r="G148" t="str">
            <v>Lexington</v>
          </cell>
          <cell r="H148" t="str">
            <v>KY</v>
          </cell>
          <cell r="I148" t="str">
            <v>40509</v>
          </cell>
          <cell r="J148" t="str">
            <v>Lexington, KY 40509</v>
          </cell>
          <cell r="K148" t="str">
            <v>150 N. Eagle Creek Drive</v>
          </cell>
          <cell r="M148" t="str">
            <v>606-268-3780</v>
          </cell>
          <cell r="N148" t="str">
            <v>System Member Of</v>
          </cell>
          <cell r="O148" t="str">
            <v>Acute Care</v>
          </cell>
          <cell r="P148" t="str">
            <v>Hospital</v>
          </cell>
          <cell r="Q148" t="str">
            <v>BS6129440</v>
          </cell>
          <cell r="R148" t="str">
            <v>510680K00</v>
          </cell>
          <cell r="S148" t="str">
            <v>1100004194022</v>
          </cell>
          <cell r="T148">
            <v>36222</v>
          </cell>
          <cell r="U148">
            <v>36222</v>
          </cell>
          <cell r="V148">
            <v>43000261</v>
          </cell>
          <cell r="W148">
            <v>379209</v>
          </cell>
          <cell r="X148">
            <v>27</v>
          </cell>
          <cell r="Y148" t="str">
            <v>Active</v>
          </cell>
          <cell r="AA148">
            <v>2285</v>
          </cell>
        </row>
        <row r="149">
          <cell r="A149">
            <v>2293</v>
          </cell>
          <cell r="B149" t="str">
            <v>Catholic Health Initiatives / Erlanger / KY</v>
          </cell>
          <cell r="D149">
            <v>1</v>
          </cell>
          <cell r="E149" t="str">
            <v>Catholic Health Initiatives (2293)</v>
          </cell>
          <cell r="F149" t="str">
            <v>Catholic Health Initiatives</v>
          </cell>
          <cell r="G149" t="str">
            <v>Erlanger</v>
          </cell>
          <cell r="H149" t="str">
            <v>KY</v>
          </cell>
          <cell r="I149" t="str">
            <v>41018-1099</v>
          </cell>
          <cell r="J149" t="str">
            <v>Erlanger, KY 41018-1099</v>
          </cell>
          <cell r="K149" t="str">
            <v>3900 Olympic Boulevard Suite 400</v>
          </cell>
          <cell r="M149" t="str">
            <v>859-594-3000</v>
          </cell>
          <cell r="N149" t="str">
            <v>System Member Of</v>
          </cell>
          <cell r="O149" t="str">
            <v>Other</v>
          </cell>
          <cell r="P149" t="str">
            <v>Health Care System/IDN (HQ)</v>
          </cell>
          <cell r="R149" t="str">
            <v>BCW4YAV00</v>
          </cell>
          <cell r="S149" t="str">
            <v>1100005426269</v>
          </cell>
          <cell r="T149">
            <v>35977</v>
          </cell>
          <cell r="V149">
            <v>0</v>
          </cell>
          <cell r="W149">
            <v>0</v>
          </cell>
          <cell r="X149">
            <v>91</v>
          </cell>
          <cell r="Y149" t="str">
            <v>Active</v>
          </cell>
          <cell r="AA149">
            <v>2293</v>
          </cell>
        </row>
        <row r="150">
          <cell r="A150">
            <v>2391</v>
          </cell>
          <cell r="B150" t="str">
            <v>Mednow Medical Supply / Nampa / ID</v>
          </cell>
          <cell r="D150">
            <v>3</v>
          </cell>
          <cell r="E150" t="str">
            <v>Mednow Medical Supply (2391)</v>
          </cell>
          <cell r="F150" t="str">
            <v>Mednow Medical Supply</v>
          </cell>
          <cell r="G150" t="str">
            <v>Nampa</v>
          </cell>
          <cell r="H150" t="str">
            <v>ID</v>
          </cell>
          <cell r="I150" t="str">
            <v>83686</v>
          </cell>
          <cell r="J150" t="str">
            <v>Nampa, ID 83686</v>
          </cell>
          <cell r="K150" t="str">
            <v>1311 12th Avenue</v>
          </cell>
          <cell r="M150" t="str">
            <v>208-465-6511</v>
          </cell>
          <cell r="N150" t="str">
            <v>System Member Of</v>
          </cell>
          <cell r="O150" t="str">
            <v>Retail</v>
          </cell>
          <cell r="P150" t="str">
            <v>Durable Medical Equipment Dealer (DME)</v>
          </cell>
          <cell r="R150" t="str">
            <v>CM006CG00</v>
          </cell>
          <cell r="S150" t="str">
            <v>1100005828711</v>
          </cell>
          <cell r="T150">
            <v>35977</v>
          </cell>
          <cell r="V150">
            <v>43000261</v>
          </cell>
          <cell r="W150">
            <v>103780</v>
          </cell>
          <cell r="X150">
            <v>68</v>
          </cell>
          <cell r="Y150" t="str">
            <v>Active</v>
          </cell>
          <cell r="AA150">
            <v>2391</v>
          </cell>
        </row>
        <row r="151">
          <cell r="A151">
            <v>2396</v>
          </cell>
          <cell r="B151" t="str">
            <v>Arkansas Specialty Orthopaedic Center / Little Rock / AR</v>
          </cell>
          <cell r="D151">
            <v>1</v>
          </cell>
          <cell r="E151" t="str">
            <v>Arkansas Specialty Orthopaedic Center (2396)</v>
          </cell>
          <cell r="F151" t="str">
            <v>Arkansas Specialty Orthopaedic Center</v>
          </cell>
          <cell r="G151" t="str">
            <v>Little Rock</v>
          </cell>
          <cell r="H151" t="str">
            <v>AR</v>
          </cell>
          <cell r="I151" t="str">
            <v>72025</v>
          </cell>
          <cell r="J151" t="str">
            <v>Little Rock, AR 72025</v>
          </cell>
          <cell r="K151" t="str">
            <v>6101 St. Vincent Circle</v>
          </cell>
          <cell r="L151" t="str">
            <v>2nd Floor</v>
          </cell>
          <cell r="M151" t="str">
            <v>501-603-6954</v>
          </cell>
          <cell r="N151" t="str">
            <v>Affiliate Member Of</v>
          </cell>
          <cell r="O151" t="str">
            <v>Ambulatory Care</v>
          </cell>
          <cell r="P151" t="str">
            <v>Clinic</v>
          </cell>
          <cell r="R151" t="str">
            <v>GWD2Y8X00</v>
          </cell>
          <cell r="S151" t="str">
            <v>1100003657573</v>
          </cell>
          <cell r="T151">
            <v>36281</v>
          </cell>
          <cell r="V151">
            <v>43000261</v>
          </cell>
          <cell r="W151">
            <v>379196</v>
          </cell>
          <cell r="X151">
            <v>2</v>
          </cell>
          <cell r="Y151" t="str">
            <v>Active</v>
          </cell>
          <cell r="AA151">
            <v>2396</v>
          </cell>
        </row>
        <row r="152">
          <cell r="A152">
            <v>2403</v>
          </cell>
          <cell r="B152" t="str">
            <v>Saint Clare's Health Services / Dover / NJ</v>
          </cell>
          <cell r="D152">
            <v>1</v>
          </cell>
          <cell r="E152" t="str">
            <v>Saint Clare's Health Services (2403)</v>
          </cell>
          <cell r="F152" t="str">
            <v>Saint Clare's Health Services</v>
          </cell>
          <cell r="G152" t="str">
            <v>Dover</v>
          </cell>
          <cell r="H152" t="str">
            <v>NJ</v>
          </cell>
          <cell r="I152" t="str">
            <v>07801-2525</v>
          </cell>
          <cell r="J152" t="str">
            <v>Dover,  NJ  07801-2525</v>
          </cell>
          <cell r="K152" t="str">
            <v>400 W. Blackwell Street</v>
          </cell>
          <cell r="N152" t="str">
            <v>System Member Of</v>
          </cell>
          <cell r="O152" t="str">
            <v>Other</v>
          </cell>
          <cell r="P152" t="str">
            <v>Health Care System/IDN</v>
          </cell>
          <cell r="Q152" t="str">
            <v>1100005485129</v>
          </cell>
          <cell r="T152">
            <v>39539</v>
          </cell>
          <cell r="V152">
            <v>43000261</v>
          </cell>
          <cell r="W152">
            <v>1039134</v>
          </cell>
          <cell r="Y152" t="str">
            <v>Active</v>
          </cell>
          <cell r="Z152">
            <v>2958465</v>
          </cell>
          <cell r="AA152">
            <v>2403</v>
          </cell>
        </row>
        <row r="153">
          <cell r="A153">
            <v>6157</v>
          </cell>
          <cell r="B153" t="str">
            <v>Nebraska Surgery Center / Lincoln / NE</v>
          </cell>
          <cell r="D153">
            <v>2</v>
          </cell>
          <cell r="E153" t="str">
            <v>Nebraska Surgery Center (6157)</v>
          </cell>
          <cell r="F153" t="str">
            <v>Nebraska Surgery Center</v>
          </cell>
          <cell r="G153" t="str">
            <v>Lincoln</v>
          </cell>
          <cell r="H153" t="str">
            <v>NE</v>
          </cell>
          <cell r="I153" t="str">
            <v>68510-2404</v>
          </cell>
          <cell r="J153" t="str">
            <v>Lincoln, NE 68510-2404</v>
          </cell>
          <cell r="K153" t="str">
            <v>625 S 70th Street</v>
          </cell>
          <cell r="M153" t="str">
            <v>402-484-6600</v>
          </cell>
          <cell r="N153" t="str">
            <v>Affiliate Member Of</v>
          </cell>
          <cell r="O153" t="str">
            <v>Acute Care</v>
          </cell>
          <cell r="P153" t="str">
            <v>Surgery Center</v>
          </cell>
          <cell r="Q153" t="str">
            <v>BH8738760</v>
          </cell>
          <cell r="R153" t="str">
            <v>LCBR6V000</v>
          </cell>
          <cell r="S153" t="str">
            <v>1100003046681</v>
          </cell>
          <cell r="T153">
            <v>36434</v>
          </cell>
          <cell r="U153">
            <v>37817</v>
          </cell>
          <cell r="V153">
            <v>43000261</v>
          </cell>
          <cell r="W153">
            <v>374838</v>
          </cell>
          <cell r="X153">
            <v>46</v>
          </cell>
          <cell r="Y153" t="str">
            <v>Active</v>
          </cell>
          <cell r="AA153">
            <v>6157</v>
          </cell>
        </row>
        <row r="154">
          <cell r="A154">
            <v>6522</v>
          </cell>
          <cell r="B154" t="str">
            <v>St. Vincent Medical Center-North / Sherwood / AR</v>
          </cell>
          <cell r="D154">
            <v>1</v>
          </cell>
          <cell r="E154" t="str">
            <v>St. Vincent Medical Center-North (6522)</v>
          </cell>
          <cell r="F154" t="str">
            <v>St. Vincent Medical Center-North</v>
          </cell>
          <cell r="G154" t="str">
            <v>Sherwood</v>
          </cell>
          <cell r="H154" t="str">
            <v>AR</v>
          </cell>
          <cell r="I154" t="str">
            <v>72120</v>
          </cell>
          <cell r="J154" t="str">
            <v>Sherwood, AR 72120</v>
          </cell>
          <cell r="K154" t="str">
            <v>2215 Wildwood Avenue</v>
          </cell>
          <cell r="M154" t="str">
            <v>501-833-7326</v>
          </cell>
          <cell r="N154" t="str">
            <v>System Member Of</v>
          </cell>
          <cell r="O154" t="str">
            <v>Acute Care</v>
          </cell>
          <cell r="P154" t="str">
            <v>Hospital</v>
          </cell>
          <cell r="Q154" t="str">
            <v>BS6529804</v>
          </cell>
          <cell r="R154" t="str">
            <v>HGFNPQE00</v>
          </cell>
          <cell r="S154" t="str">
            <v>1100005618817</v>
          </cell>
          <cell r="T154">
            <v>36495</v>
          </cell>
          <cell r="U154">
            <v>36495</v>
          </cell>
          <cell r="V154">
            <v>43000261</v>
          </cell>
          <cell r="W154">
            <v>379196</v>
          </cell>
          <cell r="X154">
            <v>2</v>
          </cell>
          <cell r="Y154" t="str">
            <v>Active</v>
          </cell>
          <cell r="AA154">
            <v>6522</v>
          </cell>
        </row>
        <row r="155">
          <cell r="A155">
            <v>6525</v>
          </cell>
          <cell r="B155" t="str">
            <v>Medical Arts Pharmacy-Retail / Pueblo / CO</v>
          </cell>
          <cell r="D155">
            <v>5</v>
          </cell>
          <cell r="E155" t="str">
            <v>Medical Arts Pharmacy-Retail (6525)</v>
          </cell>
          <cell r="F155" t="str">
            <v>Medical Arts Pharmacy-Retail</v>
          </cell>
          <cell r="G155" t="str">
            <v>Pueblo</v>
          </cell>
          <cell r="H155" t="str">
            <v>CO</v>
          </cell>
          <cell r="I155" t="str">
            <v>81004</v>
          </cell>
          <cell r="J155" t="str">
            <v>Pueblo, CO 81004</v>
          </cell>
          <cell r="K155" t="str">
            <v>1925 E Orman Suite 102</v>
          </cell>
          <cell r="M155" t="str">
            <v>719-560-5676</v>
          </cell>
          <cell r="N155" t="str">
            <v>Affiliate Member Of</v>
          </cell>
          <cell r="O155" t="str">
            <v>Retail</v>
          </cell>
          <cell r="P155" t="str">
            <v>Hospital Outpatient Retail Pharmacy</v>
          </cell>
          <cell r="Q155" t="str">
            <v>BM5174038</v>
          </cell>
          <cell r="R155" t="str">
            <v>S3EAEA700</v>
          </cell>
          <cell r="S155" t="str">
            <v>1100004347411</v>
          </cell>
          <cell r="T155">
            <v>36495</v>
          </cell>
          <cell r="V155">
            <v>43000261</v>
          </cell>
          <cell r="W155">
            <v>102381</v>
          </cell>
          <cell r="X155">
            <v>4</v>
          </cell>
          <cell r="Y155" t="str">
            <v>Active</v>
          </cell>
          <cell r="AA155">
            <v>6525</v>
          </cell>
        </row>
        <row r="156">
          <cell r="A156">
            <v>6528</v>
          </cell>
          <cell r="B156" t="str">
            <v>Penrose Professional Pharmacy / Colorado Springs / CO</v>
          </cell>
          <cell r="D156">
            <v>5</v>
          </cell>
          <cell r="E156" t="str">
            <v>Penrose Professional Pharmacy (6528)</v>
          </cell>
          <cell r="F156" t="str">
            <v>Penrose Professional Pharmacy</v>
          </cell>
          <cell r="G156" t="str">
            <v>Colorado Springs</v>
          </cell>
          <cell r="H156" t="str">
            <v>CO</v>
          </cell>
          <cell r="I156" t="str">
            <v>80907</v>
          </cell>
          <cell r="J156" t="str">
            <v>Colorado Springs, CO 80907</v>
          </cell>
          <cell r="K156" t="str">
            <v>2222 North Nevada Avenue</v>
          </cell>
          <cell r="M156" t="str">
            <v>719-776-5486</v>
          </cell>
          <cell r="N156" t="str">
            <v>Affiliate Member Of</v>
          </cell>
          <cell r="O156" t="str">
            <v>Retail</v>
          </cell>
          <cell r="P156" t="str">
            <v>Hospital Outpatient Retail Pharmacy</v>
          </cell>
          <cell r="Q156" t="str">
            <v>BP0237265</v>
          </cell>
          <cell r="R156" t="str">
            <v>840220GF1</v>
          </cell>
          <cell r="S156" t="str">
            <v>1100005820296</v>
          </cell>
          <cell r="T156">
            <v>36404</v>
          </cell>
          <cell r="U156">
            <v>37316</v>
          </cell>
          <cell r="V156">
            <v>43000261</v>
          </cell>
          <cell r="W156">
            <v>102381</v>
          </cell>
          <cell r="X156">
            <v>4</v>
          </cell>
          <cell r="Y156" t="str">
            <v>Active</v>
          </cell>
          <cell r="AA156">
            <v>6528</v>
          </cell>
        </row>
        <row r="157">
          <cell r="A157">
            <v>6535</v>
          </cell>
          <cell r="B157" t="str">
            <v>Center Pharmacy / Colorado Springs / CO</v>
          </cell>
          <cell r="D157">
            <v>5</v>
          </cell>
          <cell r="E157" t="str">
            <v>Center Pharmacy (6535)</v>
          </cell>
          <cell r="F157" t="str">
            <v>Center Pharmacy</v>
          </cell>
          <cell r="G157" t="str">
            <v>Colorado Springs</v>
          </cell>
          <cell r="H157" t="str">
            <v>CO</v>
          </cell>
          <cell r="I157" t="str">
            <v>80903</v>
          </cell>
          <cell r="J157" t="str">
            <v>Colorado Springs, CO 80903</v>
          </cell>
          <cell r="K157" t="str">
            <v>PO Box 7021</v>
          </cell>
          <cell r="M157" t="str">
            <v>719-776-3784</v>
          </cell>
          <cell r="N157" t="str">
            <v>Affiliate Member Of</v>
          </cell>
          <cell r="O157" t="str">
            <v>Retail</v>
          </cell>
          <cell r="P157" t="str">
            <v>Hospital Outpatient Retail Pharmacy</v>
          </cell>
          <cell r="Q157" t="str">
            <v>BC4239186</v>
          </cell>
          <cell r="R157" t="str">
            <v>24FAKHW00</v>
          </cell>
          <cell r="S157" t="str">
            <v>1100005263369</v>
          </cell>
          <cell r="T157">
            <v>36495</v>
          </cell>
          <cell r="U157">
            <v>37316</v>
          </cell>
          <cell r="V157">
            <v>0</v>
          </cell>
          <cell r="W157">
            <v>0</v>
          </cell>
          <cell r="X157">
            <v>4</v>
          </cell>
          <cell r="Y157" t="str">
            <v>Inactive</v>
          </cell>
          <cell r="Z157">
            <v>39318</v>
          </cell>
          <cell r="AA157">
            <v>6535</v>
          </cell>
        </row>
        <row r="158">
          <cell r="A158">
            <v>6778</v>
          </cell>
          <cell r="B158" t="str">
            <v>Saint Clare's Home Care / Sparta / NJ</v>
          </cell>
          <cell r="D158">
            <v>1</v>
          </cell>
          <cell r="E158" t="str">
            <v>Saint Clare's Home Care (6778)</v>
          </cell>
          <cell r="F158" t="str">
            <v>Saint Clare's Home Care</v>
          </cell>
          <cell r="G158" t="str">
            <v>Sparta</v>
          </cell>
          <cell r="H158" t="str">
            <v>NJ</v>
          </cell>
          <cell r="I158" t="str">
            <v>07871</v>
          </cell>
          <cell r="J158" t="str">
            <v>Sparta,  NJ  07871</v>
          </cell>
          <cell r="K158" t="str">
            <v>191 Woodport Road</v>
          </cell>
          <cell r="N158" t="str">
            <v>System Member Of</v>
          </cell>
          <cell r="O158" t="str">
            <v>Home Care</v>
          </cell>
          <cell r="P158" t="str">
            <v>Home Health Agency</v>
          </cell>
          <cell r="Q158" t="str">
            <v>1100002586669</v>
          </cell>
          <cell r="S158" t="str">
            <v>22J7BRW00</v>
          </cell>
          <cell r="T158">
            <v>39539</v>
          </cell>
          <cell r="V158">
            <v>43000261</v>
          </cell>
          <cell r="W158">
            <v>1039134</v>
          </cell>
          <cell r="Y158" t="str">
            <v>Active</v>
          </cell>
          <cell r="Z158">
            <v>2958465</v>
          </cell>
          <cell r="AA158">
            <v>6778</v>
          </cell>
        </row>
        <row r="159">
          <cell r="A159">
            <v>6779</v>
          </cell>
          <cell r="B159" t="str">
            <v>St. Francis Life Care Corporation / Denville / NJ</v>
          </cell>
          <cell r="D159">
            <v>1</v>
          </cell>
          <cell r="E159" t="str">
            <v>St. Francis Life Care Corporation (6779)</v>
          </cell>
          <cell r="F159" t="str">
            <v>St. Francis Life Care Corporation</v>
          </cell>
          <cell r="G159" t="str">
            <v>Denville</v>
          </cell>
          <cell r="H159" t="str">
            <v>NJ</v>
          </cell>
          <cell r="I159" t="str">
            <v>07834</v>
          </cell>
          <cell r="J159" t="str">
            <v>Denville,  NJ  07834</v>
          </cell>
          <cell r="K159" t="str">
            <v>19 Pocono Road</v>
          </cell>
          <cell r="N159" t="str">
            <v>System Member Of</v>
          </cell>
          <cell r="O159" t="str">
            <v>Long Term Care</v>
          </cell>
          <cell r="P159" t="str">
            <v>Nursing Home w/o Pharmacy</v>
          </cell>
          <cell r="Q159" t="str">
            <v>1100004665706</v>
          </cell>
          <cell r="S159" t="str">
            <v>4GHAE8X00</v>
          </cell>
          <cell r="T159">
            <v>39539</v>
          </cell>
          <cell r="V159">
            <v>0</v>
          </cell>
          <cell r="W159">
            <v>0</v>
          </cell>
          <cell r="Y159" t="str">
            <v>Active</v>
          </cell>
          <cell r="Z159">
            <v>2958465</v>
          </cell>
          <cell r="AA159">
            <v>6779</v>
          </cell>
        </row>
        <row r="160">
          <cell r="A160">
            <v>7161</v>
          </cell>
          <cell r="B160" t="str">
            <v>Midwest Surgery Center / Joplin / MO</v>
          </cell>
          <cell r="D160">
            <v>2</v>
          </cell>
          <cell r="E160" t="str">
            <v>Midwest Surgery Center (7161)</v>
          </cell>
          <cell r="F160" t="str">
            <v>Midwest Surgery Center</v>
          </cell>
          <cell r="G160" t="str">
            <v>Joplin</v>
          </cell>
          <cell r="H160" t="str">
            <v>MO</v>
          </cell>
          <cell r="I160" t="str">
            <v>64804</v>
          </cell>
          <cell r="J160" t="str">
            <v>Joplin, MO 64804</v>
          </cell>
          <cell r="K160" t="str">
            <v>3105 McClelland</v>
          </cell>
          <cell r="L160" t="str">
            <v>P.O. Box 2507</v>
          </cell>
          <cell r="M160" t="str">
            <v>417-781-2807</v>
          </cell>
          <cell r="N160" t="str">
            <v>System Member Of</v>
          </cell>
          <cell r="O160" t="str">
            <v>Acute Care</v>
          </cell>
          <cell r="P160" t="str">
            <v>Surgery Center</v>
          </cell>
          <cell r="Q160" t="str">
            <v>BM6767264</v>
          </cell>
          <cell r="R160" t="str">
            <v>FHWXNKW00</v>
          </cell>
          <cell r="S160" t="str">
            <v>1100005497207</v>
          </cell>
          <cell r="T160">
            <v>36526</v>
          </cell>
          <cell r="U160">
            <v>36526</v>
          </cell>
          <cell r="V160">
            <v>43000261</v>
          </cell>
          <cell r="W160">
            <v>374803</v>
          </cell>
          <cell r="X160">
            <v>36</v>
          </cell>
          <cell r="Y160" t="str">
            <v>Active</v>
          </cell>
          <cell r="AA160">
            <v>7161</v>
          </cell>
        </row>
        <row r="161">
          <cell r="A161">
            <v>7478</v>
          </cell>
          <cell r="B161" t="str">
            <v>Lisbon Area Health Services / Lisbon / ND</v>
          </cell>
          <cell r="C161" t="str">
            <v>MBO58</v>
          </cell>
          <cell r="D161">
            <v>4</v>
          </cell>
          <cell r="E161" t="str">
            <v>Lisbon Area Health Services (7478)</v>
          </cell>
          <cell r="F161" t="str">
            <v>Lisbon Area Health Services</v>
          </cell>
          <cell r="G161" t="str">
            <v>Lisbon</v>
          </cell>
          <cell r="H161" t="str">
            <v>ND</v>
          </cell>
          <cell r="I161" t="str">
            <v>58054-0353</v>
          </cell>
          <cell r="J161" t="str">
            <v>Lisbon, ND 58054-0353</v>
          </cell>
          <cell r="K161" t="str">
            <v>905 Main Street</v>
          </cell>
          <cell r="L161" t="str">
            <v>P.O. Box 353</v>
          </cell>
          <cell r="M161" t="str">
            <v>701-683-5241</v>
          </cell>
          <cell r="N161" t="str">
            <v>System Member Of</v>
          </cell>
          <cell r="O161" t="str">
            <v>Acute Care</v>
          </cell>
          <cell r="P161" t="str">
            <v>Hospital</v>
          </cell>
          <cell r="Q161" t="str">
            <v>BL8019033</v>
          </cell>
          <cell r="R161" t="str">
            <v>640400E00</v>
          </cell>
          <cell r="S161" t="str">
            <v>1100002333966</v>
          </cell>
          <cell r="T161">
            <v>37530</v>
          </cell>
          <cell r="U161">
            <v>37622</v>
          </cell>
          <cell r="V161">
            <v>43000261</v>
          </cell>
          <cell r="W161">
            <v>1189693</v>
          </cell>
          <cell r="X161">
            <v>38</v>
          </cell>
          <cell r="Y161" t="str">
            <v>Active</v>
          </cell>
          <cell r="AA161">
            <v>7478</v>
          </cell>
        </row>
        <row r="162">
          <cell r="A162">
            <v>7566</v>
          </cell>
          <cell r="B162" t="str">
            <v>Associates in Internal Medicine/Mountain Management Services / Chattanooga / TN</v>
          </cell>
          <cell r="D162">
            <v>1</v>
          </cell>
          <cell r="E162" t="str">
            <v>Associates in Internal Medicine/Mountain Management Services (7566)</v>
          </cell>
          <cell r="F162" t="str">
            <v>Associates in Internal Medicine/Mountain Management Services</v>
          </cell>
          <cell r="G162" t="str">
            <v>Chattanooga</v>
          </cell>
          <cell r="H162" t="str">
            <v>TN</v>
          </cell>
          <cell r="I162" t="str">
            <v>37403</v>
          </cell>
          <cell r="J162" t="str">
            <v>Chattanooga, TN 37403</v>
          </cell>
          <cell r="K162" t="str">
            <v>979 E. Third Street</v>
          </cell>
          <cell r="L162" t="str">
            <v>Suite 620</v>
          </cell>
          <cell r="M162" t="str">
            <v>423-756-8871</v>
          </cell>
          <cell r="N162" t="str">
            <v>System Member Of</v>
          </cell>
          <cell r="O162" t="str">
            <v>Ambulatory Care</v>
          </cell>
          <cell r="P162" t="str">
            <v>Primary Care Physician Practice</v>
          </cell>
          <cell r="Q162" t="str">
            <v>AC4314605</v>
          </cell>
          <cell r="R162" t="str">
            <v>A40H85800</v>
          </cell>
          <cell r="S162" t="str">
            <v>1100002375645</v>
          </cell>
          <cell r="T162">
            <v>36647</v>
          </cell>
          <cell r="U162">
            <v>36678</v>
          </cell>
          <cell r="V162">
            <v>43000261</v>
          </cell>
          <cell r="W162">
            <v>379170</v>
          </cell>
          <cell r="X162">
            <v>60</v>
          </cell>
          <cell r="Y162" t="str">
            <v>Active</v>
          </cell>
          <cell r="AA162">
            <v>7566</v>
          </cell>
        </row>
        <row r="163">
          <cell r="A163">
            <v>7567</v>
          </cell>
          <cell r="B163" t="str">
            <v>Beacon Health OB-GYN Associates/Mountain Management Services / Chattanooga / TN</v>
          </cell>
          <cell r="D163">
            <v>1</v>
          </cell>
          <cell r="E163" t="str">
            <v>Beacon Health OB-GYN Associates/Mountain Management Services (7567)</v>
          </cell>
          <cell r="F163" t="str">
            <v>Beacon Health OB-GYN Associates/Mountain Management Services</v>
          </cell>
          <cell r="G163" t="str">
            <v>Chattanooga</v>
          </cell>
          <cell r="H163" t="str">
            <v>TN</v>
          </cell>
          <cell r="I163" t="str">
            <v>37403</v>
          </cell>
          <cell r="J163" t="str">
            <v>Chattanooga, TN 37403</v>
          </cell>
          <cell r="K163" t="str">
            <v>979 East Third Street, Suite 601</v>
          </cell>
          <cell r="M163" t="str">
            <v>423-778-9500</v>
          </cell>
          <cell r="N163" t="str">
            <v>System Member Of</v>
          </cell>
          <cell r="O163" t="str">
            <v>Ambulatory Care</v>
          </cell>
          <cell r="P163" t="str">
            <v>Primary Care Physician Practice</v>
          </cell>
          <cell r="Q163" t="str">
            <v>AB7571486</v>
          </cell>
          <cell r="R163" t="str">
            <v>GHY1QG200</v>
          </cell>
          <cell r="S163" t="str">
            <v>1100003435577</v>
          </cell>
          <cell r="T163">
            <v>36647</v>
          </cell>
          <cell r="U163">
            <v>36678</v>
          </cell>
          <cell r="V163">
            <v>43000261</v>
          </cell>
          <cell r="W163">
            <v>379170</v>
          </cell>
          <cell r="X163">
            <v>60</v>
          </cell>
          <cell r="Y163" t="str">
            <v>Active</v>
          </cell>
          <cell r="AA163">
            <v>7567</v>
          </cell>
        </row>
        <row r="164">
          <cell r="A164">
            <v>7569</v>
          </cell>
          <cell r="B164" t="str">
            <v>Chattanooga Internal Medicine Group/Mountain Management Services / Chattanooga / TN</v>
          </cell>
          <cell r="D164">
            <v>1</v>
          </cell>
          <cell r="E164" t="str">
            <v>Chattanooga Internal Medicine Group/Mountain Management Services (7569)</v>
          </cell>
          <cell r="F164" t="str">
            <v>Chattanooga Internal Medicine Group/Mountain Management Services</v>
          </cell>
          <cell r="G164" t="str">
            <v>Chattanooga</v>
          </cell>
          <cell r="H164" t="str">
            <v>TN</v>
          </cell>
          <cell r="I164" t="str">
            <v>37404</v>
          </cell>
          <cell r="J164" t="str">
            <v>Chattanooga, TN 37404</v>
          </cell>
          <cell r="K164" t="str">
            <v>Memorial Medical Plaza</v>
          </cell>
          <cell r="L164" t="str">
            <v>605 Glenwood Drive, Suite 300</v>
          </cell>
          <cell r="M164" t="str">
            <v>423-495-2690</v>
          </cell>
          <cell r="N164" t="str">
            <v>System Member Of</v>
          </cell>
          <cell r="O164" t="str">
            <v>Ambulatory Care</v>
          </cell>
          <cell r="P164" t="str">
            <v>Primary Care Physician Practice</v>
          </cell>
          <cell r="Q164" t="str">
            <v>AA5906613</v>
          </cell>
          <cell r="R164" t="str">
            <v>801227K00</v>
          </cell>
          <cell r="S164" t="str">
            <v>1100004564979</v>
          </cell>
          <cell r="T164">
            <v>36647</v>
          </cell>
          <cell r="U164">
            <v>36678</v>
          </cell>
          <cell r="V164">
            <v>43000261</v>
          </cell>
          <cell r="W164">
            <v>379170</v>
          </cell>
          <cell r="X164">
            <v>60</v>
          </cell>
          <cell r="Y164" t="str">
            <v>Active</v>
          </cell>
          <cell r="AA164">
            <v>7569</v>
          </cell>
        </row>
        <row r="165">
          <cell r="A165">
            <v>7570</v>
          </cell>
          <cell r="B165" t="str">
            <v>Children's Diagnostic Center/Mountain Management Services, Inc. / Chattanooga / TN</v>
          </cell>
          <cell r="D165">
            <v>1</v>
          </cell>
          <cell r="E165" t="str">
            <v>Children's Diagnostic Center/Mountain Management Services, Inc. (7570)</v>
          </cell>
          <cell r="F165" t="str">
            <v>Children's Diagnostic Center/Mountain Management Services, Inc.</v>
          </cell>
          <cell r="G165" t="str">
            <v>Chattanooga</v>
          </cell>
          <cell r="H165" t="str">
            <v>TN</v>
          </cell>
          <cell r="I165" t="str">
            <v>37421</v>
          </cell>
          <cell r="J165" t="str">
            <v>Chattanooga, TN 37421</v>
          </cell>
          <cell r="K165" t="str">
            <v>7550 Goodwin Road</v>
          </cell>
          <cell r="M165" t="str">
            <v>423-778-8671</v>
          </cell>
          <cell r="N165" t="str">
            <v>System Member Of</v>
          </cell>
          <cell r="O165" t="str">
            <v>Ambulatory Care</v>
          </cell>
          <cell r="P165" t="str">
            <v>Primary Care Physician Practice</v>
          </cell>
          <cell r="Q165" t="str">
            <v>BS5015400</v>
          </cell>
          <cell r="R165" t="str">
            <v>KFGYBAY00</v>
          </cell>
          <cell r="S165" t="str">
            <v>1100005633032</v>
          </cell>
          <cell r="T165">
            <v>36647</v>
          </cell>
          <cell r="U165">
            <v>36678</v>
          </cell>
          <cell r="V165">
            <v>43000261</v>
          </cell>
          <cell r="W165">
            <v>379170</v>
          </cell>
          <cell r="X165">
            <v>60</v>
          </cell>
          <cell r="Y165" t="str">
            <v>Active</v>
          </cell>
          <cell r="AA165">
            <v>7570</v>
          </cell>
        </row>
        <row r="166">
          <cell r="A166">
            <v>7571</v>
          </cell>
          <cell r="B166" t="str">
            <v>Collegedale Medical Center/Mountain Management Services / Collegedale / TN</v>
          </cell>
          <cell r="D166">
            <v>1</v>
          </cell>
          <cell r="E166" t="str">
            <v>Collegedale Medical Center/Mountain Management Services (7571)</v>
          </cell>
          <cell r="F166" t="str">
            <v>Collegedale Medical Center/Mountain Management Services</v>
          </cell>
          <cell r="G166" t="str">
            <v>Collegedale</v>
          </cell>
          <cell r="H166" t="str">
            <v>TN</v>
          </cell>
          <cell r="I166" t="str">
            <v>37315</v>
          </cell>
          <cell r="J166" t="str">
            <v>Collegedale, TN 37315</v>
          </cell>
          <cell r="K166" t="str">
            <v>9310 Apison Pike, P.O. Box 598</v>
          </cell>
          <cell r="M166" t="str">
            <v>423-396-2136</v>
          </cell>
          <cell r="N166" t="str">
            <v>System Member Of</v>
          </cell>
          <cell r="O166" t="str">
            <v>Ambulatory Care</v>
          </cell>
          <cell r="P166" t="str">
            <v>Primary Care Physician Practice</v>
          </cell>
          <cell r="Q166" t="str">
            <v>AW8419081</v>
          </cell>
          <cell r="R166" t="str">
            <v>64HEGVG00</v>
          </cell>
          <cell r="S166" t="str">
            <v>1100004473622</v>
          </cell>
          <cell r="T166">
            <v>36615</v>
          </cell>
          <cell r="U166">
            <v>36678</v>
          </cell>
          <cell r="V166">
            <v>43000261</v>
          </cell>
          <cell r="W166">
            <v>379170</v>
          </cell>
          <cell r="X166">
            <v>60</v>
          </cell>
          <cell r="Y166" t="str">
            <v>Active</v>
          </cell>
          <cell r="AA166">
            <v>7571</v>
          </cell>
        </row>
        <row r="167">
          <cell r="A167">
            <v>7572</v>
          </cell>
          <cell r="B167" t="str">
            <v>Cornerstone Family Practice/Mountain Management Services / Chattanooga / TN</v>
          </cell>
          <cell r="D167">
            <v>1</v>
          </cell>
          <cell r="E167" t="str">
            <v>Cornerstone Family Practice/Mountain Management Services (7572)</v>
          </cell>
          <cell r="F167" t="str">
            <v>Cornerstone Family Practice/Mountain Management Services</v>
          </cell>
          <cell r="G167" t="str">
            <v>Chattanooga</v>
          </cell>
          <cell r="H167" t="str">
            <v>TN</v>
          </cell>
          <cell r="I167" t="str">
            <v>37421</v>
          </cell>
          <cell r="J167" t="str">
            <v>Chattanooga, TN 37421</v>
          </cell>
          <cell r="K167" t="str">
            <v>1949 Gunbarrel Road</v>
          </cell>
          <cell r="L167" t="str">
            <v>Suite 250</v>
          </cell>
          <cell r="M167" t="str">
            <v>423-892-2251</v>
          </cell>
          <cell r="N167" t="str">
            <v>System Member Of</v>
          </cell>
          <cell r="O167" t="str">
            <v>Ambulatory Care</v>
          </cell>
          <cell r="P167" t="str">
            <v>Primary Care Physician Practice</v>
          </cell>
          <cell r="Q167" t="str">
            <v>BO4450134</v>
          </cell>
          <cell r="R167" t="str">
            <v>A84XFTR00</v>
          </cell>
          <cell r="S167" t="str">
            <v>1100002356293</v>
          </cell>
          <cell r="T167">
            <v>36628</v>
          </cell>
          <cell r="V167">
            <v>0</v>
          </cell>
          <cell r="W167">
            <v>0</v>
          </cell>
          <cell r="X167">
            <v>60</v>
          </cell>
          <cell r="Y167" t="str">
            <v>Inactive</v>
          </cell>
          <cell r="Z167">
            <v>38442</v>
          </cell>
        </row>
        <row r="168">
          <cell r="A168">
            <v>7573</v>
          </cell>
          <cell r="B168" t="str">
            <v>Don A. Cannon, MD/Mountain Management Services, Inc. / Chattanooga / TN</v>
          </cell>
          <cell r="D168">
            <v>1</v>
          </cell>
          <cell r="E168" t="str">
            <v>Don A. Cannon, MD/Mountain Management Services, Inc. (7573)</v>
          </cell>
          <cell r="F168" t="str">
            <v>Cannon, Don, A., M.D./Mountain Management Services, Inc.</v>
          </cell>
          <cell r="G168" t="str">
            <v>Chattanooga</v>
          </cell>
          <cell r="H168" t="str">
            <v>TN</v>
          </cell>
          <cell r="I168" t="str">
            <v>37404</v>
          </cell>
          <cell r="J168" t="str">
            <v>Chattanooga, TN 37404</v>
          </cell>
          <cell r="K168" t="str">
            <v>Memorial Medical Building West</v>
          </cell>
          <cell r="L168" t="str">
            <v>721 Glenwood Drive, Suite W-462-A</v>
          </cell>
          <cell r="M168" t="str">
            <v>423-624-2611</v>
          </cell>
          <cell r="N168" t="str">
            <v>System Member Of</v>
          </cell>
          <cell r="O168" t="str">
            <v>Ambulatory Care</v>
          </cell>
          <cell r="P168" t="str">
            <v>Primary Care Physician Practice</v>
          </cell>
          <cell r="Q168" t="str">
            <v>AC0404676</v>
          </cell>
          <cell r="R168" t="str">
            <v>K4LV4EM00</v>
          </cell>
          <cell r="S168" t="str">
            <v>1100005541924</v>
          </cell>
          <cell r="T168">
            <v>36647</v>
          </cell>
          <cell r="U168">
            <v>36678</v>
          </cell>
          <cell r="V168">
            <v>43000261</v>
          </cell>
          <cell r="W168">
            <v>379170</v>
          </cell>
          <cell r="X168">
            <v>60</v>
          </cell>
          <cell r="Y168" t="str">
            <v>Active</v>
          </cell>
          <cell r="AA168">
            <v>7573</v>
          </cell>
        </row>
        <row r="169">
          <cell r="A169">
            <v>7575</v>
          </cell>
          <cell r="B169" t="str">
            <v>North Park Family Practice / Hixson / TN</v>
          </cell>
          <cell r="D169">
            <v>1</v>
          </cell>
          <cell r="E169" t="str">
            <v>North Park Family Practice (7575)</v>
          </cell>
          <cell r="F169" t="str">
            <v>Forsten &amp; O'Connell Family Practice</v>
          </cell>
          <cell r="G169" t="str">
            <v>Hixson</v>
          </cell>
          <cell r="H169" t="str">
            <v>TN</v>
          </cell>
          <cell r="I169" t="str">
            <v>37343</v>
          </cell>
          <cell r="J169" t="str">
            <v>Hixson, TN 37343</v>
          </cell>
          <cell r="K169" t="str">
            <v>2051 Hammill Road, Suite 301C</v>
          </cell>
          <cell r="M169" t="str">
            <v>423-877-1213</v>
          </cell>
          <cell r="N169" t="str">
            <v>System Member Of</v>
          </cell>
          <cell r="O169" t="str">
            <v>Ambulatory Care</v>
          </cell>
          <cell r="P169" t="str">
            <v>Primary Care Physician Practice</v>
          </cell>
          <cell r="Q169" t="str">
            <v>AF0371308</v>
          </cell>
          <cell r="R169" t="str">
            <v>8CFN12P00</v>
          </cell>
          <cell r="S169" t="str">
            <v>1100003542640</v>
          </cell>
          <cell r="T169">
            <v>36647</v>
          </cell>
          <cell r="U169">
            <v>36678</v>
          </cell>
          <cell r="V169">
            <v>43000261</v>
          </cell>
          <cell r="W169">
            <v>379170</v>
          </cell>
          <cell r="X169">
            <v>60</v>
          </cell>
          <cell r="Y169" t="str">
            <v>Active</v>
          </cell>
          <cell r="AA169">
            <v>7575</v>
          </cell>
        </row>
        <row r="170">
          <cell r="A170">
            <v>7576</v>
          </cell>
          <cell r="B170" t="str">
            <v>Drs. Kemp &amp; Avitabile/Mountain Management Services / Chattanooga / TN</v>
          </cell>
          <cell r="D170">
            <v>1</v>
          </cell>
          <cell r="E170" t="str">
            <v>Drs. Kemp &amp; Avitabile/Mountain Management Services (7576)</v>
          </cell>
          <cell r="F170" t="str">
            <v>Drs. Kemp &amp; Avitabile/Mountain Management Services</v>
          </cell>
          <cell r="G170" t="str">
            <v>Chattanooga</v>
          </cell>
          <cell r="H170" t="str">
            <v>TN</v>
          </cell>
          <cell r="I170" t="str">
            <v>37415</v>
          </cell>
          <cell r="J170" t="str">
            <v>Chattanooga, TN 37415</v>
          </cell>
          <cell r="K170" t="str">
            <v>Erlanger North</v>
          </cell>
          <cell r="L170" t="str">
            <v>632 Morrison Springs Road, Suite 201</v>
          </cell>
          <cell r="M170" t="str">
            <v>423-877-4556</v>
          </cell>
          <cell r="N170" t="str">
            <v>System Member Of</v>
          </cell>
          <cell r="O170" t="str">
            <v>Ambulatory Care</v>
          </cell>
          <cell r="P170" t="str">
            <v>Primary Care Physician Practice</v>
          </cell>
          <cell r="Q170" t="str">
            <v>AK2900024</v>
          </cell>
          <cell r="R170" t="str">
            <v>8FEELXX00</v>
          </cell>
          <cell r="S170" t="str">
            <v>1100005058255</v>
          </cell>
          <cell r="T170">
            <v>36647</v>
          </cell>
          <cell r="U170">
            <v>36678</v>
          </cell>
          <cell r="V170">
            <v>43000261</v>
          </cell>
          <cell r="W170">
            <v>379170</v>
          </cell>
          <cell r="X170">
            <v>60</v>
          </cell>
          <cell r="Y170" t="str">
            <v>Active</v>
          </cell>
          <cell r="AA170">
            <v>7576</v>
          </cell>
        </row>
        <row r="171">
          <cell r="A171">
            <v>7577</v>
          </cell>
          <cell r="B171" t="str">
            <v>Mountain Management Services, Inc. / Chattanooga / TN</v>
          </cell>
          <cell r="D171">
            <v>1</v>
          </cell>
          <cell r="E171" t="str">
            <v>Mountain Management Services, Inc. (7577)</v>
          </cell>
          <cell r="F171" t="str">
            <v>Mountain Management Services, Inc.</v>
          </cell>
          <cell r="G171" t="str">
            <v>Chattanooga</v>
          </cell>
          <cell r="H171" t="str">
            <v>TN</v>
          </cell>
          <cell r="I171" t="str">
            <v>37421</v>
          </cell>
          <cell r="J171" t="str">
            <v>Chattanooga, TN 37421</v>
          </cell>
          <cell r="K171" t="str">
            <v>6028 Shallowford Road Suite D</v>
          </cell>
          <cell r="M171" t="str">
            <v>423-495-8659</v>
          </cell>
          <cell r="N171" t="str">
            <v>System Member Of</v>
          </cell>
          <cell r="O171" t="str">
            <v>Ambulatory Care</v>
          </cell>
          <cell r="P171" t="str">
            <v>Managed Service Organization</v>
          </cell>
          <cell r="R171" t="str">
            <v>AKQ984500</v>
          </cell>
          <cell r="S171" t="str">
            <v>1100003809880</v>
          </cell>
          <cell r="T171">
            <v>36647</v>
          </cell>
          <cell r="V171">
            <v>43000261</v>
          </cell>
          <cell r="W171">
            <v>379170</v>
          </cell>
          <cell r="X171">
            <v>60</v>
          </cell>
          <cell r="Y171" t="str">
            <v>Active</v>
          </cell>
          <cell r="AA171">
            <v>7577</v>
          </cell>
        </row>
        <row r="172">
          <cell r="A172">
            <v>7578</v>
          </cell>
          <cell r="B172" t="str">
            <v>Drs. Laramore, Heinsohn &amp; Donowitz/Mountain Management Services / Chattanooga / TN</v>
          </cell>
          <cell r="D172">
            <v>1</v>
          </cell>
          <cell r="E172" t="str">
            <v>Drs. Laramore, Heinsohn &amp; Donowitz/Mountain Management Services (7578)</v>
          </cell>
          <cell r="F172" t="str">
            <v>Drs. Laramore, Heinsohn &amp; Donowitz/Mountain Management Services</v>
          </cell>
          <cell r="G172" t="str">
            <v>Chattanooga</v>
          </cell>
          <cell r="H172" t="str">
            <v>TN</v>
          </cell>
          <cell r="I172" t="str">
            <v>37404</v>
          </cell>
          <cell r="J172" t="str">
            <v>Chattanooga, TN 37404</v>
          </cell>
          <cell r="K172" t="str">
            <v>Memorial Plaza</v>
          </cell>
          <cell r="L172" t="str">
            <v>605 Glenwood Drive, Suite 404</v>
          </cell>
          <cell r="M172" t="str">
            <v>423-629-7220</v>
          </cell>
          <cell r="N172" t="str">
            <v>System Member Of</v>
          </cell>
          <cell r="O172" t="str">
            <v>Ambulatory Care</v>
          </cell>
          <cell r="P172" t="str">
            <v>Primary Care Physician Practice</v>
          </cell>
          <cell r="Q172" t="str">
            <v>AL7303059</v>
          </cell>
          <cell r="R172" t="str">
            <v>GLYM3TH00</v>
          </cell>
          <cell r="S172" t="str">
            <v>1100005927209</v>
          </cell>
          <cell r="T172">
            <v>36647</v>
          </cell>
          <cell r="U172">
            <v>36678</v>
          </cell>
          <cell r="V172">
            <v>43000261</v>
          </cell>
          <cell r="W172">
            <v>379170</v>
          </cell>
          <cell r="X172">
            <v>60</v>
          </cell>
          <cell r="Y172" t="str">
            <v>Active</v>
          </cell>
          <cell r="AA172">
            <v>7578</v>
          </cell>
        </row>
        <row r="173">
          <cell r="A173">
            <v>7579</v>
          </cell>
          <cell r="B173" t="str">
            <v>Hixson Pike Medical Center-Mountain Management Services, Inc. / Chattanooga / TN</v>
          </cell>
          <cell r="D173">
            <v>1</v>
          </cell>
          <cell r="E173" t="str">
            <v>Hixson Pike Medical Center-Mountain Management Services, Inc. (7579)</v>
          </cell>
          <cell r="F173" t="str">
            <v>Hixson Pike Medical Center-Mountain Management Services</v>
          </cell>
          <cell r="G173" t="str">
            <v>Chattanooga</v>
          </cell>
          <cell r="H173" t="str">
            <v>TN</v>
          </cell>
          <cell r="I173" t="str">
            <v>37415</v>
          </cell>
          <cell r="J173" t="str">
            <v>Chattanooga, TN 37415</v>
          </cell>
          <cell r="K173" t="str">
            <v>3739 Hixson Pike</v>
          </cell>
          <cell r="M173" t="str">
            <v>423-875-0999</v>
          </cell>
          <cell r="N173" t="str">
            <v>System Member Of</v>
          </cell>
          <cell r="O173" t="str">
            <v>Ambulatory Care</v>
          </cell>
          <cell r="P173" t="str">
            <v>Primary Care Physician Practice</v>
          </cell>
          <cell r="Q173" t="str">
            <v>AO7197747</v>
          </cell>
          <cell r="R173" t="str">
            <v>1CMLB1W00</v>
          </cell>
          <cell r="S173" t="str">
            <v>1100003196300</v>
          </cell>
          <cell r="T173">
            <v>36628</v>
          </cell>
          <cell r="V173">
            <v>0</v>
          </cell>
          <cell r="W173">
            <v>0</v>
          </cell>
          <cell r="X173">
            <v>60</v>
          </cell>
          <cell r="Y173" t="str">
            <v>Inactive</v>
          </cell>
          <cell r="Z173">
            <v>38442</v>
          </cell>
        </row>
        <row r="174">
          <cell r="A174">
            <v>7580</v>
          </cell>
          <cell r="B174" t="str">
            <v>Harrison Medical Center/Mountain Management Services / Harrison / TN</v>
          </cell>
          <cell r="D174">
            <v>1</v>
          </cell>
          <cell r="E174" t="str">
            <v>Harrison Medical Center/Mountain Management Services (7580)</v>
          </cell>
          <cell r="F174" t="str">
            <v>Harrison Medical Center/Mountain Management Services</v>
          </cell>
          <cell r="G174" t="str">
            <v>Harrison</v>
          </cell>
          <cell r="H174" t="str">
            <v>TN</v>
          </cell>
          <cell r="I174" t="str">
            <v>37341</v>
          </cell>
          <cell r="J174" t="str">
            <v>Harrison, TN 37341</v>
          </cell>
          <cell r="K174" t="str">
            <v>6800 Harrison Park Drive, P.O. Box 1150</v>
          </cell>
          <cell r="M174" t="str">
            <v>423-344-7095</v>
          </cell>
          <cell r="N174" t="str">
            <v>System Member Of</v>
          </cell>
          <cell r="O174" t="str">
            <v>Ambulatory Care</v>
          </cell>
          <cell r="P174" t="str">
            <v>Primary Care Physician Practice</v>
          </cell>
          <cell r="Q174" t="str">
            <v>BS4550441</v>
          </cell>
          <cell r="R174" t="str">
            <v>8BPF2MB00</v>
          </cell>
          <cell r="S174" t="str">
            <v>1100003700491</v>
          </cell>
          <cell r="T174">
            <v>36647</v>
          </cell>
          <cell r="U174">
            <v>36678</v>
          </cell>
          <cell r="V174">
            <v>43000261</v>
          </cell>
          <cell r="W174">
            <v>379170</v>
          </cell>
          <cell r="X174">
            <v>60</v>
          </cell>
          <cell r="Y174" t="str">
            <v>Active</v>
          </cell>
          <cell r="AA174">
            <v>7580</v>
          </cell>
        </row>
        <row r="175">
          <cell r="A175">
            <v>7581</v>
          </cell>
          <cell r="B175" t="str">
            <v>Drs. McGee &amp; Jurgens / Chattanooga / TN</v>
          </cell>
          <cell r="D175">
            <v>1</v>
          </cell>
          <cell r="E175" t="str">
            <v>Drs. McGee &amp; Jurgens (7581)</v>
          </cell>
          <cell r="F175" t="str">
            <v>Drs. McGee &amp; Jurgens</v>
          </cell>
          <cell r="G175" t="str">
            <v>Chattanooga</v>
          </cell>
          <cell r="H175" t="str">
            <v>TN</v>
          </cell>
          <cell r="I175" t="str">
            <v>37404</v>
          </cell>
          <cell r="J175" t="str">
            <v>Chattanooga, TN 37404</v>
          </cell>
          <cell r="K175" t="str">
            <v>725 Glenwood Drive, Suite E-788</v>
          </cell>
          <cell r="M175" t="str">
            <v>423-495-3940</v>
          </cell>
          <cell r="N175" t="str">
            <v>System Member Of</v>
          </cell>
          <cell r="O175" t="str">
            <v>Ambulatory Care</v>
          </cell>
          <cell r="P175" t="str">
            <v>Primary Care Physician Practice</v>
          </cell>
          <cell r="Q175" t="str">
            <v>AT8047626</v>
          </cell>
          <cell r="R175" t="str">
            <v>2EACMWK00</v>
          </cell>
          <cell r="S175" t="str">
            <v>1100002072254</v>
          </cell>
          <cell r="T175">
            <v>36647</v>
          </cell>
          <cell r="U175">
            <v>36678</v>
          </cell>
          <cell r="V175">
            <v>43000261</v>
          </cell>
          <cell r="W175">
            <v>379170</v>
          </cell>
          <cell r="X175">
            <v>60</v>
          </cell>
          <cell r="Y175" t="str">
            <v>Active</v>
          </cell>
          <cell r="AA175">
            <v>7581</v>
          </cell>
        </row>
        <row r="176">
          <cell r="A176">
            <v>7582</v>
          </cell>
          <cell r="B176" t="str">
            <v>Highland Pediatrics/Mountain Management Services / Hixson / TN</v>
          </cell>
          <cell r="D176">
            <v>1</v>
          </cell>
          <cell r="E176" t="str">
            <v>Highland Pediatrics/Mountain Management Services (7582)</v>
          </cell>
          <cell r="F176" t="str">
            <v>Highland Pediatrics/Mountain Management Services</v>
          </cell>
          <cell r="G176" t="str">
            <v>Hixson</v>
          </cell>
          <cell r="H176" t="str">
            <v>TN</v>
          </cell>
          <cell r="I176" t="str">
            <v>37343</v>
          </cell>
          <cell r="J176" t="str">
            <v>Hixson, TN 37343</v>
          </cell>
          <cell r="K176" t="str">
            <v>4519 Hixson Pike</v>
          </cell>
          <cell r="M176" t="str">
            <v>423-877-4591</v>
          </cell>
          <cell r="N176" t="str">
            <v>System Member Of</v>
          </cell>
          <cell r="O176" t="str">
            <v>Ambulatory Care</v>
          </cell>
          <cell r="P176" t="str">
            <v>Primary Care Physician Practice</v>
          </cell>
          <cell r="Q176" t="str">
            <v>AE4632813</v>
          </cell>
          <cell r="R176" t="str">
            <v>6PMYAVK00</v>
          </cell>
          <cell r="S176" t="str">
            <v>1100004590657</v>
          </cell>
          <cell r="T176">
            <v>36647</v>
          </cell>
          <cell r="U176">
            <v>36678</v>
          </cell>
          <cell r="V176">
            <v>43000261</v>
          </cell>
          <cell r="W176">
            <v>379170</v>
          </cell>
          <cell r="X176">
            <v>60</v>
          </cell>
          <cell r="Y176" t="str">
            <v>Active</v>
          </cell>
          <cell r="AA176">
            <v>7582</v>
          </cell>
        </row>
        <row r="177">
          <cell r="A177">
            <v>7584</v>
          </cell>
          <cell r="B177" t="str">
            <v>Lakeside Medical Center/Mountain Management Services, Inc. / Chattanooga / TN</v>
          </cell>
          <cell r="D177">
            <v>1</v>
          </cell>
          <cell r="E177" t="str">
            <v>Lakeside Medical Center/Mountain Management Services, Inc. (7584)</v>
          </cell>
          <cell r="F177" t="str">
            <v>Lakeside Medical Center-Mountain Management Services, Inc.</v>
          </cell>
          <cell r="G177" t="str">
            <v>Chattanooga</v>
          </cell>
          <cell r="H177" t="str">
            <v>TN</v>
          </cell>
          <cell r="I177" t="str">
            <v>37416</v>
          </cell>
          <cell r="J177" t="str">
            <v>Chattanooga, TN 37416</v>
          </cell>
          <cell r="K177" t="str">
            <v>4626 Highway 58 North</v>
          </cell>
          <cell r="M177" t="str">
            <v>423-894-9463</v>
          </cell>
          <cell r="N177" t="str">
            <v>System Member Of</v>
          </cell>
          <cell r="O177" t="str">
            <v>Ambulatory Care</v>
          </cell>
          <cell r="P177" t="str">
            <v>Primary Care Physician Practice</v>
          </cell>
          <cell r="Q177" t="str">
            <v>AH4183492</v>
          </cell>
          <cell r="R177" t="str">
            <v>4KNP5Y300</v>
          </cell>
          <cell r="S177" t="str">
            <v>1100004271518</v>
          </cell>
          <cell r="T177">
            <v>36647</v>
          </cell>
          <cell r="U177">
            <v>36678</v>
          </cell>
          <cell r="V177">
            <v>43000261</v>
          </cell>
          <cell r="W177">
            <v>379170</v>
          </cell>
          <cell r="X177">
            <v>60</v>
          </cell>
          <cell r="Y177" t="str">
            <v>Active</v>
          </cell>
          <cell r="AA177">
            <v>7584</v>
          </cell>
        </row>
        <row r="178">
          <cell r="A178">
            <v>7587</v>
          </cell>
          <cell r="B178" t="str">
            <v>Oliver Jenkins MD/Mountain Management Services, Inc. / Red Bank / TN</v>
          </cell>
          <cell r="D178">
            <v>1</v>
          </cell>
          <cell r="E178" t="str">
            <v>Oliver Jenkins MD/Mountain Management Services, Inc. (7587)</v>
          </cell>
          <cell r="F178" t="str">
            <v>Oliver Jenkins MD-Mountain Management Services, Inc.</v>
          </cell>
          <cell r="G178" t="str">
            <v>Red Bank</v>
          </cell>
          <cell r="H178" t="str">
            <v>TN</v>
          </cell>
          <cell r="I178" t="str">
            <v>37415</v>
          </cell>
          <cell r="J178" t="str">
            <v>Red Bank, TN 37415</v>
          </cell>
          <cell r="K178" t="str">
            <v>3408 Dayton Blvd.</v>
          </cell>
          <cell r="M178" t="str">
            <v>423-870-2196</v>
          </cell>
          <cell r="N178" t="str">
            <v>System Member Of</v>
          </cell>
          <cell r="O178" t="str">
            <v>Ambulatory Care</v>
          </cell>
          <cell r="P178" t="str">
            <v>Primary Care Physician Practice</v>
          </cell>
          <cell r="Q178" t="str">
            <v>AJ4120882</v>
          </cell>
          <cell r="R178" t="str">
            <v>FALFX7T00</v>
          </cell>
          <cell r="S178" t="str">
            <v>1100002671426</v>
          </cell>
          <cell r="T178">
            <v>36647</v>
          </cell>
          <cell r="U178">
            <v>36678</v>
          </cell>
          <cell r="V178">
            <v>43000261</v>
          </cell>
          <cell r="W178">
            <v>379170</v>
          </cell>
          <cell r="X178">
            <v>60</v>
          </cell>
          <cell r="Y178" t="str">
            <v>Active</v>
          </cell>
          <cell r="AA178">
            <v>7587</v>
          </cell>
        </row>
        <row r="179">
          <cell r="A179">
            <v>7588</v>
          </cell>
          <cell r="B179" t="str">
            <v>Pediatric Diagnostic Associates-Mountain Management Services Inc / Chattanooga / TN</v>
          </cell>
          <cell r="D179">
            <v>1</v>
          </cell>
          <cell r="E179" t="str">
            <v>Pediatric Diagnostic Associates/Mountain Management Services Inc (7588)</v>
          </cell>
          <cell r="F179" t="str">
            <v>Pediatric Diagnostic Associates/Mountain Management Services Inc</v>
          </cell>
          <cell r="G179" t="str">
            <v>Chattanooga</v>
          </cell>
          <cell r="H179" t="str">
            <v>TN</v>
          </cell>
          <cell r="I179" t="str">
            <v>37404</v>
          </cell>
          <cell r="J179" t="str">
            <v>Chattanooga, TN 37404</v>
          </cell>
          <cell r="K179" t="str">
            <v>Memorial Medical Bldg East</v>
          </cell>
          <cell r="L179" t="str">
            <v>725 Glenwood Dr Suite E-882</v>
          </cell>
          <cell r="M179" t="str">
            <v>423-698-2229</v>
          </cell>
          <cell r="N179" t="str">
            <v>System Member Of</v>
          </cell>
          <cell r="O179" t="str">
            <v>Ambulatory Care</v>
          </cell>
          <cell r="P179" t="str">
            <v>Primary Care Physician Practice</v>
          </cell>
          <cell r="Q179" t="str">
            <v>AM8061359</v>
          </cell>
          <cell r="R179" t="str">
            <v>FBD4B5N00</v>
          </cell>
          <cell r="S179" t="str">
            <v>1100002820374</v>
          </cell>
          <cell r="T179">
            <v>36647</v>
          </cell>
          <cell r="U179">
            <v>36678</v>
          </cell>
          <cell r="V179">
            <v>43000261</v>
          </cell>
          <cell r="W179">
            <v>379170</v>
          </cell>
          <cell r="X179">
            <v>60</v>
          </cell>
          <cell r="Y179" t="str">
            <v>Active</v>
          </cell>
          <cell r="AA179">
            <v>7588</v>
          </cell>
        </row>
        <row r="180">
          <cell r="A180">
            <v>7589</v>
          </cell>
          <cell r="B180" t="str">
            <v>Professional Park Associates/Mountain Management Services, Inc. / Lafayette / GA</v>
          </cell>
          <cell r="D180">
            <v>1</v>
          </cell>
          <cell r="E180" t="str">
            <v>Professional Park Associates/Mountain Management Services, Inc. (7589)</v>
          </cell>
          <cell r="F180" t="str">
            <v>Professional Park Associates-Mountain Management Services, Inc.</v>
          </cell>
          <cell r="G180" t="str">
            <v>Lafayette</v>
          </cell>
          <cell r="H180" t="str">
            <v>GA</v>
          </cell>
          <cell r="I180" t="str">
            <v>30728</v>
          </cell>
          <cell r="J180" t="str">
            <v>LaFayette, GA 30728</v>
          </cell>
          <cell r="K180" t="str">
            <v>611 East Villanow Street</v>
          </cell>
          <cell r="L180" t="str">
            <v>PO Box 967</v>
          </cell>
          <cell r="M180" t="str">
            <v>706-638-9987</v>
          </cell>
          <cell r="N180" t="str">
            <v>System Member Of</v>
          </cell>
          <cell r="O180" t="str">
            <v>Ambulatory Care</v>
          </cell>
          <cell r="P180" t="str">
            <v>Primary Care Physician Practice</v>
          </cell>
          <cell r="Q180" t="str">
            <v>AS8185337</v>
          </cell>
          <cell r="R180" t="str">
            <v>8HFY0JL00</v>
          </cell>
          <cell r="S180" t="str">
            <v>1100004513298</v>
          </cell>
          <cell r="T180">
            <v>36647</v>
          </cell>
          <cell r="U180">
            <v>36678</v>
          </cell>
          <cell r="V180">
            <v>43000261</v>
          </cell>
          <cell r="W180">
            <v>379170</v>
          </cell>
          <cell r="X180">
            <v>60</v>
          </cell>
          <cell r="Y180" t="str">
            <v>Active</v>
          </cell>
          <cell r="AA180">
            <v>7589</v>
          </cell>
        </row>
        <row r="181">
          <cell r="A181">
            <v>7590</v>
          </cell>
          <cell r="B181" t="str">
            <v>Beacon Internal Medicine East/Mountain Management / Chattanooga / TN</v>
          </cell>
          <cell r="D181">
            <v>1</v>
          </cell>
          <cell r="E181" t="str">
            <v>Beacon Internal Medicine East/Mountain Management (7590)</v>
          </cell>
          <cell r="F181" t="str">
            <v>Beacon Internal Medicine East -Mountain Management</v>
          </cell>
          <cell r="G181" t="str">
            <v>Chattanooga</v>
          </cell>
          <cell r="H181" t="str">
            <v>TN</v>
          </cell>
          <cell r="I181" t="str">
            <v>37421</v>
          </cell>
          <cell r="J181" t="str">
            <v>Chattanooga, TN 37421</v>
          </cell>
          <cell r="K181" t="str">
            <v xml:space="preserve">1751 Gunbarrel Road Suite 100 </v>
          </cell>
          <cell r="L181" t="str">
            <v>Women's East Pavilion</v>
          </cell>
          <cell r="M181" t="str">
            <v>423-778-8880</v>
          </cell>
          <cell r="N181" t="str">
            <v>System Member Of</v>
          </cell>
          <cell r="O181" t="str">
            <v>Ambulatory Care</v>
          </cell>
          <cell r="P181" t="str">
            <v>Primary Care Physician Practice</v>
          </cell>
          <cell r="Q181" t="str">
            <v>BP3031135</v>
          </cell>
          <cell r="R181" t="str">
            <v>G3BT1TH00</v>
          </cell>
          <cell r="S181" t="str">
            <v>1100003658761</v>
          </cell>
          <cell r="T181">
            <v>36647</v>
          </cell>
          <cell r="U181">
            <v>36678</v>
          </cell>
          <cell r="V181">
            <v>43000261</v>
          </cell>
          <cell r="W181">
            <v>379170</v>
          </cell>
          <cell r="X181">
            <v>60</v>
          </cell>
          <cell r="Y181" t="str">
            <v>Active</v>
          </cell>
          <cell r="AA181">
            <v>7590</v>
          </cell>
        </row>
        <row r="182">
          <cell r="A182">
            <v>7591</v>
          </cell>
          <cell r="B182" t="str">
            <v>Ridgeside Medical Group/Mountain Management Services, Inc. / Chattanooga / TN</v>
          </cell>
          <cell r="D182">
            <v>1</v>
          </cell>
          <cell r="E182" t="str">
            <v>Ridgeside Medical Group/Mountain Management Services, Inc. (7591)</v>
          </cell>
          <cell r="F182" t="str">
            <v>Ridgeside Medical Group-Mountain Management Services, Inc.</v>
          </cell>
          <cell r="G182" t="str">
            <v>Chattanooga</v>
          </cell>
          <cell r="H182" t="str">
            <v>TN</v>
          </cell>
          <cell r="I182" t="str">
            <v>37404</v>
          </cell>
          <cell r="J182" t="str">
            <v>Chattanooga, TN 37404</v>
          </cell>
          <cell r="K182" t="str">
            <v xml:space="preserve">2501 Citico Avenue Suite 300 </v>
          </cell>
          <cell r="L182" t="str">
            <v>Chattanooga Heart Institute</v>
          </cell>
          <cell r="M182" t="str">
            <v>423-756-5779</v>
          </cell>
          <cell r="N182" t="str">
            <v>System Member Of</v>
          </cell>
          <cell r="O182" t="str">
            <v>Ambulatory Care</v>
          </cell>
          <cell r="P182" t="str">
            <v>Primary Care Physician Practice</v>
          </cell>
          <cell r="Q182" t="str">
            <v>BC4094215</v>
          </cell>
          <cell r="R182" t="str">
            <v>3BML3L900</v>
          </cell>
          <cell r="S182" t="str">
            <v>1100003834851</v>
          </cell>
          <cell r="T182">
            <v>36647</v>
          </cell>
          <cell r="U182">
            <v>36678</v>
          </cell>
          <cell r="V182">
            <v>43000261</v>
          </cell>
          <cell r="W182">
            <v>379170</v>
          </cell>
          <cell r="X182">
            <v>60</v>
          </cell>
          <cell r="Y182" t="str">
            <v>Active</v>
          </cell>
          <cell r="AA182">
            <v>7591</v>
          </cell>
        </row>
        <row r="183">
          <cell r="A183">
            <v>7593</v>
          </cell>
          <cell r="B183" t="str">
            <v>Beacon Health Pediatrics/Beacon Health Alliance / Signal Mountain / TN</v>
          </cell>
          <cell r="D183">
            <v>1</v>
          </cell>
          <cell r="E183" t="str">
            <v>Beacon Health Pediatrics/Beacon Health Alliance (7593)</v>
          </cell>
          <cell r="F183" t="str">
            <v>Beacon Health Pediatrics/Beacon Health Alliance</v>
          </cell>
          <cell r="G183" t="str">
            <v>Signal Mountain</v>
          </cell>
          <cell r="H183" t="str">
            <v>TN</v>
          </cell>
          <cell r="I183" t="str">
            <v>37377</v>
          </cell>
          <cell r="J183" t="str">
            <v>Signal Mountain, TN 37377</v>
          </cell>
          <cell r="K183" t="str">
            <v>1303 Taft Highway</v>
          </cell>
          <cell r="M183" t="str">
            <v>423-886-7529</v>
          </cell>
          <cell r="N183" t="str">
            <v>System Member Of</v>
          </cell>
          <cell r="O183" t="str">
            <v>Ambulatory Care</v>
          </cell>
          <cell r="P183" t="str">
            <v>Primary Care Physician Practice</v>
          </cell>
          <cell r="Q183" t="str">
            <v>BH2684795</v>
          </cell>
          <cell r="R183" t="str">
            <v>LCD2FVM00</v>
          </cell>
          <cell r="S183" t="str">
            <v>1100005860414</v>
          </cell>
          <cell r="T183">
            <v>36647</v>
          </cell>
          <cell r="U183">
            <v>36678</v>
          </cell>
          <cell r="V183">
            <v>43000261</v>
          </cell>
          <cell r="W183">
            <v>379170</v>
          </cell>
          <cell r="X183">
            <v>60</v>
          </cell>
          <cell r="Y183" t="str">
            <v>Active</v>
          </cell>
          <cell r="AA183">
            <v>7593</v>
          </cell>
        </row>
        <row r="184">
          <cell r="A184">
            <v>7594</v>
          </cell>
          <cell r="B184" t="str">
            <v>Soddy Daisy Medical Center/Mountain Management Services, Inc. / Soddy Daisy / TN</v>
          </cell>
          <cell r="D184">
            <v>1</v>
          </cell>
          <cell r="E184" t="str">
            <v>Soddy Daisy Medical Center/Mountain Management Services, Inc. (7594)</v>
          </cell>
          <cell r="F184" t="str">
            <v>Soddy Daisy Medical Center-Mountain Management Services, Inc.</v>
          </cell>
          <cell r="G184" t="str">
            <v>Soddy Daisy</v>
          </cell>
          <cell r="H184" t="str">
            <v>TN</v>
          </cell>
          <cell r="I184" t="str">
            <v>37384</v>
          </cell>
          <cell r="J184" t="str">
            <v>Soddy Daisy, TN 37384</v>
          </cell>
          <cell r="K184" t="str">
            <v>210 Walmart Drive, P.O. Box  1259</v>
          </cell>
          <cell r="M184" t="str">
            <v>423-332-6155</v>
          </cell>
          <cell r="N184" t="str">
            <v>System Member Of</v>
          </cell>
          <cell r="O184" t="str">
            <v>Ambulatory Care</v>
          </cell>
          <cell r="P184" t="str">
            <v>Primary Care Physician Practice</v>
          </cell>
          <cell r="Q184" t="str">
            <v>AK7787229</v>
          </cell>
          <cell r="R184" t="str">
            <v>VFX3Y7F00</v>
          </cell>
          <cell r="S184" t="str">
            <v>1100002322274</v>
          </cell>
          <cell r="T184">
            <v>36647</v>
          </cell>
          <cell r="U184">
            <v>36678</v>
          </cell>
          <cell r="V184">
            <v>43000261</v>
          </cell>
          <cell r="W184">
            <v>379170</v>
          </cell>
          <cell r="X184">
            <v>60</v>
          </cell>
          <cell r="Y184" t="str">
            <v>Active</v>
          </cell>
          <cell r="AA184">
            <v>7594</v>
          </cell>
        </row>
        <row r="185">
          <cell r="A185">
            <v>7595</v>
          </cell>
          <cell r="B185" t="str">
            <v>TCFPA Family Medical Centers/Mountain Management Services, Inc. / Ringgold / GA</v>
          </cell>
          <cell r="D185">
            <v>1</v>
          </cell>
          <cell r="E185" t="str">
            <v>TCFPA Family Medical Centers/Mountain Management Services, Inc. (7595)</v>
          </cell>
          <cell r="F185" t="str">
            <v>TCFPA Family Medical Centers-Mountain Management Services, Inc.</v>
          </cell>
          <cell r="G185" t="str">
            <v>Ringgold</v>
          </cell>
          <cell r="H185" t="str">
            <v>GA</v>
          </cell>
          <cell r="I185" t="str">
            <v>30736</v>
          </cell>
          <cell r="J185" t="str">
            <v>Ringgold, GA 30736</v>
          </cell>
          <cell r="K185" t="str">
            <v>4700 Battlefield Parkway, Suite 200</v>
          </cell>
          <cell r="M185" t="str">
            <v>706-935-9927</v>
          </cell>
          <cell r="N185" t="str">
            <v>System Member Of</v>
          </cell>
          <cell r="O185" t="str">
            <v>Ambulatory Care</v>
          </cell>
          <cell r="P185" t="str">
            <v>Primary Care Physician Practice</v>
          </cell>
          <cell r="Q185" t="str">
            <v>AS1271422</v>
          </cell>
          <cell r="R185" t="str">
            <v>HJRFA7N00</v>
          </cell>
          <cell r="S185" t="str">
            <v>1100005285125</v>
          </cell>
          <cell r="T185">
            <v>36647</v>
          </cell>
          <cell r="U185">
            <v>36678</v>
          </cell>
          <cell r="V185">
            <v>43000261</v>
          </cell>
          <cell r="W185">
            <v>379170</v>
          </cell>
          <cell r="X185">
            <v>60</v>
          </cell>
          <cell r="Y185" t="str">
            <v>Active</v>
          </cell>
          <cell r="AA185">
            <v>7595</v>
          </cell>
        </row>
        <row r="186">
          <cell r="A186">
            <v>7668</v>
          </cell>
          <cell r="B186" t="str">
            <v>Kearney Imaging Center, L.L.C. / Kearney / NE</v>
          </cell>
          <cell r="D186">
            <v>2</v>
          </cell>
          <cell r="E186" t="str">
            <v>Kearney Imaging Center, L.L.C. (7668)</v>
          </cell>
          <cell r="F186" t="str">
            <v>Kearney Imaging Center, L.L.C.</v>
          </cell>
          <cell r="G186" t="str">
            <v>Kearney</v>
          </cell>
          <cell r="H186" t="str">
            <v>NE</v>
          </cell>
          <cell r="I186" t="str">
            <v>68848</v>
          </cell>
          <cell r="J186" t="str">
            <v>Kearney, NE 68848</v>
          </cell>
          <cell r="K186" t="str">
            <v>3219 Central Avenue, Suite 109</v>
          </cell>
          <cell r="L186" t="str">
            <v>PO Box 2528</v>
          </cell>
          <cell r="M186" t="str">
            <v>308-234-5520</v>
          </cell>
          <cell r="N186" t="str">
            <v>Affiliate Member Of</v>
          </cell>
          <cell r="O186" t="str">
            <v>Ambulatory Care</v>
          </cell>
          <cell r="P186" t="str">
            <v>Diagnostic Imaging Center</v>
          </cell>
          <cell r="R186" t="str">
            <v>04HEB4E00</v>
          </cell>
          <cell r="S186" t="str">
            <v>1100003996382</v>
          </cell>
          <cell r="T186">
            <v>36797</v>
          </cell>
          <cell r="V186">
            <v>43000261</v>
          </cell>
          <cell r="W186">
            <v>374820</v>
          </cell>
          <cell r="X186">
            <v>45</v>
          </cell>
          <cell r="Y186" t="str">
            <v>Active</v>
          </cell>
          <cell r="AA186">
            <v>7668</v>
          </cell>
        </row>
        <row r="187">
          <cell r="A187">
            <v>7669</v>
          </cell>
          <cell r="B187" t="str">
            <v>Enumclaw Medical Center / Enumclaw / WA</v>
          </cell>
          <cell r="D187">
            <v>3</v>
          </cell>
          <cell r="E187" t="str">
            <v>Enumclaw Medical Center (7669)</v>
          </cell>
          <cell r="F187" t="str">
            <v>Enumclaw Medical Center</v>
          </cell>
          <cell r="G187" t="str">
            <v>Enumclaw</v>
          </cell>
          <cell r="H187" t="str">
            <v>WA</v>
          </cell>
          <cell r="I187" t="str">
            <v>98022-2369</v>
          </cell>
          <cell r="J187" t="str">
            <v>Enumclaw, WA 98022-2369</v>
          </cell>
          <cell r="K187" t="str">
            <v>3021 Griffin Avenue</v>
          </cell>
          <cell r="M187" t="str">
            <v>360-825-6511</v>
          </cell>
          <cell r="N187" t="str">
            <v>System Member Of</v>
          </cell>
          <cell r="O187" t="str">
            <v>Ambulatory Care</v>
          </cell>
          <cell r="P187" t="str">
            <v>Clinic</v>
          </cell>
          <cell r="R187" t="str">
            <v>ZZ5Q6ZY00</v>
          </cell>
          <cell r="S187" t="str">
            <v>1100004642165</v>
          </cell>
          <cell r="T187">
            <v>36800</v>
          </cell>
          <cell r="V187">
            <v>0</v>
          </cell>
          <cell r="W187">
            <v>0</v>
          </cell>
          <cell r="X187">
            <v>67</v>
          </cell>
          <cell r="Y187" t="str">
            <v>Inactive</v>
          </cell>
          <cell r="Z187">
            <v>39323</v>
          </cell>
          <cell r="AA187">
            <v>7669</v>
          </cell>
        </row>
        <row r="188">
          <cell r="A188">
            <v>7670</v>
          </cell>
          <cell r="B188" t="str">
            <v>Franciscan Medical  Group / Tacoma / WA</v>
          </cell>
          <cell r="D188">
            <v>3</v>
          </cell>
          <cell r="E188" t="str">
            <v>Franciscan Medical  Group (7670)</v>
          </cell>
          <cell r="F188" t="str">
            <v>Franciscan Medical  Group</v>
          </cell>
          <cell r="G188" t="str">
            <v>Tacoma</v>
          </cell>
          <cell r="H188" t="str">
            <v>WA</v>
          </cell>
          <cell r="I188" t="str">
            <v>98402</v>
          </cell>
          <cell r="J188" t="str">
            <v>Tacoma, WA 98402</v>
          </cell>
          <cell r="K188" t="str">
            <v>1149 Market Street</v>
          </cell>
          <cell r="M188" t="str">
            <v>253-428-8317</v>
          </cell>
          <cell r="N188" t="str">
            <v>System Member Of</v>
          </cell>
          <cell r="O188" t="str">
            <v>Ambulatory Care</v>
          </cell>
          <cell r="P188" t="str">
            <v>Clinic</v>
          </cell>
          <cell r="R188" t="str">
            <v>4EPM8XY00</v>
          </cell>
          <cell r="S188" t="str">
            <v>1100003310331</v>
          </cell>
          <cell r="T188">
            <v>36797</v>
          </cell>
          <cell r="V188">
            <v>43000261</v>
          </cell>
          <cell r="W188">
            <v>501796</v>
          </cell>
          <cell r="X188">
            <v>67</v>
          </cell>
          <cell r="Y188" t="str">
            <v>Active</v>
          </cell>
          <cell r="AA188">
            <v>7670</v>
          </cell>
        </row>
        <row r="189">
          <cell r="A189">
            <v>7671</v>
          </cell>
          <cell r="B189" t="str">
            <v>Gig Harbor Medical Clinic / Gig Harbor / WA</v>
          </cell>
          <cell r="D189">
            <v>3</v>
          </cell>
          <cell r="E189" t="str">
            <v>Gig Harbor Medical Clinic (7671)</v>
          </cell>
          <cell r="F189" t="str">
            <v>Gig Harbor Medical Clinic</v>
          </cell>
          <cell r="G189" t="str">
            <v>Gig Harbor</v>
          </cell>
          <cell r="H189" t="str">
            <v>WA</v>
          </cell>
          <cell r="I189" t="str">
            <v>98335-1225</v>
          </cell>
          <cell r="J189" t="str">
            <v>Gig Harbor, WA 98335-1225</v>
          </cell>
          <cell r="K189" t="str">
            <v>6401 Kimball Drive NW</v>
          </cell>
          <cell r="M189" t="str">
            <v>253-858-9192</v>
          </cell>
          <cell r="N189" t="str">
            <v>System Member Of</v>
          </cell>
          <cell r="O189" t="str">
            <v>Ambulatory Care</v>
          </cell>
          <cell r="P189" t="str">
            <v>Clinic</v>
          </cell>
          <cell r="R189" t="str">
            <v>9A19NHX00</v>
          </cell>
          <cell r="S189" t="str">
            <v>1100003515972</v>
          </cell>
          <cell r="T189">
            <v>36797</v>
          </cell>
          <cell r="V189">
            <v>0</v>
          </cell>
          <cell r="W189">
            <v>0</v>
          </cell>
          <cell r="X189">
            <v>67</v>
          </cell>
          <cell r="Y189" t="str">
            <v>Inactive</v>
          </cell>
          <cell r="Z189">
            <v>39323</v>
          </cell>
          <cell r="AA189">
            <v>7671</v>
          </cell>
        </row>
        <row r="190">
          <cell r="A190">
            <v>7672</v>
          </cell>
          <cell r="B190" t="str">
            <v>St. Francis Medical Clinic / Federal Way / WA</v>
          </cell>
          <cell r="D190">
            <v>3</v>
          </cell>
          <cell r="E190" t="str">
            <v>St. Francis Medical Clinic (7672)</v>
          </cell>
          <cell r="F190" t="str">
            <v>St. Francis Medical Clinic</v>
          </cell>
          <cell r="G190" t="str">
            <v>Federal Way</v>
          </cell>
          <cell r="H190" t="str">
            <v>WA</v>
          </cell>
          <cell r="I190" t="str">
            <v>98405-4489</v>
          </cell>
          <cell r="J190" t="str">
            <v>Federal Way, WA 98405-4489</v>
          </cell>
          <cell r="K190" t="str">
            <v>34503 Ninth Avenue South, Ste 100</v>
          </cell>
          <cell r="M190" t="str">
            <v>253-874-2227</v>
          </cell>
          <cell r="N190" t="str">
            <v>System Member Of</v>
          </cell>
          <cell r="O190" t="str">
            <v>Ambulatory Care</v>
          </cell>
          <cell r="P190" t="str">
            <v>Clinic</v>
          </cell>
          <cell r="R190" t="str">
            <v>F8GXRNE00</v>
          </cell>
          <cell r="S190" t="str">
            <v>1100003386848</v>
          </cell>
          <cell r="T190">
            <v>36705</v>
          </cell>
          <cell r="V190">
            <v>0</v>
          </cell>
          <cell r="W190">
            <v>0</v>
          </cell>
          <cell r="X190">
            <v>67</v>
          </cell>
          <cell r="Y190" t="str">
            <v>Inactive</v>
          </cell>
          <cell r="Z190">
            <v>39323</v>
          </cell>
          <cell r="AA190">
            <v>7672</v>
          </cell>
        </row>
        <row r="191">
          <cell r="A191">
            <v>7677</v>
          </cell>
          <cell r="B191" t="str">
            <v>St. Joseph Medical Clinic / Tacoma / WA</v>
          </cell>
          <cell r="D191">
            <v>3</v>
          </cell>
          <cell r="E191" t="str">
            <v>St. Joseph Medical Clinic (7677)</v>
          </cell>
          <cell r="F191" t="str">
            <v>St. Joseph Medical Clinic</v>
          </cell>
          <cell r="G191" t="str">
            <v>Tacoma</v>
          </cell>
          <cell r="H191" t="str">
            <v>WA</v>
          </cell>
          <cell r="I191" t="str">
            <v>98405-4489</v>
          </cell>
          <cell r="J191" t="str">
            <v>Tacoma, WA 98405-4489</v>
          </cell>
          <cell r="K191" t="str">
            <v>1708 South Yakima Avenue</v>
          </cell>
          <cell r="M191" t="str">
            <v>253-627-9151</v>
          </cell>
          <cell r="N191" t="str">
            <v>System Member Of</v>
          </cell>
          <cell r="O191" t="str">
            <v>Ambulatory Care</v>
          </cell>
          <cell r="P191" t="str">
            <v>Clinic</v>
          </cell>
          <cell r="R191" t="str">
            <v>479LI2P00</v>
          </cell>
          <cell r="S191" t="str">
            <v>1100002725587</v>
          </cell>
          <cell r="T191">
            <v>36770</v>
          </cell>
          <cell r="V191">
            <v>0</v>
          </cell>
          <cell r="W191">
            <v>0</v>
          </cell>
          <cell r="X191">
            <v>67</v>
          </cell>
          <cell r="Y191" t="str">
            <v>Inactive</v>
          </cell>
          <cell r="Z191">
            <v>39323</v>
          </cell>
          <cell r="AA191">
            <v>7677</v>
          </cell>
        </row>
        <row r="192">
          <cell r="A192">
            <v>7678</v>
          </cell>
          <cell r="B192" t="str">
            <v>The Clinic at Spanaway / Spanaway / WA</v>
          </cell>
          <cell r="D192">
            <v>3</v>
          </cell>
          <cell r="E192" t="str">
            <v>The Clinic at Spanaway (7678)</v>
          </cell>
          <cell r="F192" t="str">
            <v>The Clinic at Spanaway</v>
          </cell>
          <cell r="G192" t="str">
            <v>Spanaway</v>
          </cell>
          <cell r="H192" t="str">
            <v>WA</v>
          </cell>
          <cell r="I192" t="str">
            <v>98387-8263</v>
          </cell>
          <cell r="J192" t="str">
            <v>Spanaway, WA 98387-8263</v>
          </cell>
          <cell r="K192" t="str">
            <v>17416 Pacific Avenue South Ste B</v>
          </cell>
          <cell r="M192" t="str">
            <v>253-536-2824</v>
          </cell>
          <cell r="N192" t="str">
            <v>System Member Of</v>
          </cell>
          <cell r="O192" t="str">
            <v>Ambulatory Care</v>
          </cell>
          <cell r="P192" t="str">
            <v>Clinic</v>
          </cell>
          <cell r="R192" t="str">
            <v>47Q9CAW00</v>
          </cell>
          <cell r="S192" t="str">
            <v>1100002261917</v>
          </cell>
          <cell r="T192">
            <v>36831</v>
          </cell>
          <cell r="V192">
            <v>0</v>
          </cell>
          <cell r="W192">
            <v>0</v>
          </cell>
          <cell r="X192">
            <v>67</v>
          </cell>
          <cell r="Y192" t="str">
            <v>Inactive</v>
          </cell>
          <cell r="Z192">
            <v>39322</v>
          </cell>
          <cell r="AA192">
            <v>7678</v>
          </cell>
        </row>
        <row r="193">
          <cell r="A193">
            <v>7679</v>
          </cell>
          <cell r="B193" t="str">
            <v>Tacoma South Medical Clinic / Tacoma / WA</v>
          </cell>
          <cell r="D193">
            <v>3</v>
          </cell>
          <cell r="E193" t="str">
            <v>Tacoma South Medical Clinic (7679)</v>
          </cell>
          <cell r="F193" t="str">
            <v>Tacoma South Medical Clinic</v>
          </cell>
          <cell r="G193" t="str">
            <v>Tacoma</v>
          </cell>
          <cell r="H193" t="str">
            <v>WA</v>
          </cell>
          <cell r="I193" t="str">
            <v>98444-1824</v>
          </cell>
          <cell r="J193" t="str">
            <v>Tacoma, WA 98444-1824</v>
          </cell>
          <cell r="K193" t="str">
            <v>2111 South 90th Street</v>
          </cell>
          <cell r="M193" t="str">
            <v>253-539-9700</v>
          </cell>
          <cell r="N193" t="str">
            <v>System Member Of</v>
          </cell>
          <cell r="O193" t="str">
            <v>Ambulatory Care</v>
          </cell>
          <cell r="P193" t="str">
            <v>Clinic</v>
          </cell>
          <cell r="R193" t="str">
            <v>L25CDTA00</v>
          </cell>
          <cell r="S193" t="str">
            <v>1100002366506</v>
          </cell>
          <cell r="T193">
            <v>36831</v>
          </cell>
          <cell r="V193">
            <v>0</v>
          </cell>
          <cell r="W193">
            <v>0</v>
          </cell>
          <cell r="X193">
            <v>67</v>
          </cell>
          <cell r="Y193" t="str">
            <v>Inactive</v>
          </cell>
          <cell r="Z193">
            <v>39323</v>
          </cell>
          <cell r="AA193">
            <v>7679</v>
          </cell>
        </row>
        <row r="194">
          <cell r="A194">
            <v>7680</v>
          </cell>
          <cell r="B194" t="str">
            <v>University Place Medical Clinic / Tacoma / WA</v>
          </cell>
          <cell r="D194">
            <v>3</v>
          </cell>
          <cell r="E194" t="str">
            <v>University Place Medical Clinic (7680)</v>
          </cell>
          <cell r="F194" t="str">
            <v>University Place Medical Clinic</v>
          </cell>
          <cell r="G194" t="str">
            <v>Tacoma</v>
          </cell>
          <cell r="H194" t="str">
            <v>WA</v>
          </cell>
          <cell r="I194" t="str">
            <v>98466</v>
          </cell>
          <cell r="J194" t="str">
            <v>Tacoma, WA 98466</v>
          </cell>
          <cell r="K194" t="str">
            <v>7210 40th St West, Suite 100</v>
          </cell>
          <cell r="M194" t="str">
            <v>253-564-0170</v>
          </cell>
          <cell r="N194" t="str">
            <v>Affiliate Member Of</v>
          </cell>
          <cell r="O194" t="str">
            <v>Ambulatory Care</v>
          </cell>
          <cell r="P194" t="str">
            <v>Clinic</v>
          </cell>
          <cell r="R194" t="str">
            <v>8CCPAKF00</v>
          </cell>
          <cell r="S194" t="str">
            <v>1100004708069</v>
          </cell>
          <cell r="T194">
            <v>36831</v>
          </cell>
          <cell r="V194">
            <v>0</v>
          </cell>
          <cell r="W194">
            <v>0</v>
          </cell>
          <cell r="X194">
            <v>67</v>
          </cell>
          <cell r="Y194" t="str">
            <v>Inactive</v>
          </cell>
          <cell r="Z194">
            <v>39323</v>
          </cell>
          <cell r="AA194">
            <v>7680</v>
          </cell>
        </row>
        <row r="195">
          <cell r="A195">
            <v>7703</v>
          </cell>
          <cell r="B195" t="str">
            <v>Saint Clare's Primary Care-Central Billing Office / Randolph / NJ</v>
          </cell>
          <cell r="D195">
            <v>1</v>
          </cell>
          <cell r="E195" t="str">
            <v>Saint Clare's Primary Care-Central Billing Office (7703)</v>
          </cell>
          <cell r="F195" t="str">
            <v>Saint Clare's Primary Care-Central Billing Office</v>
          </cell>
          <cell r="G195" t="str">
            <v>Randolph</v>
          </cell>
          <cell r="H195" t="str">
            <v>NJ</v>
          </cell>
          <cell r="I195" t="str">
            <v>07869</v>
          </cell>
          <cell r="J195" t="str">
            <v>Randolph,  NJ  07869</v>
          </cell>
          <cell r="K195" t="str">
            <v>715 State Route 10</v>
          </cell>
          <cell r="N195" t="str">
            <v>System Member Of</v>
          </cell>
          <cell r="O195" t="str">
            <v>Ambulatory Care</v>
          </cell>
          <cell r="P195" t="str">
            <v>Managed Service Organization</v>
          </cell>
          <cell r="Q195" t="str">
            <v>1100002137861</v>
          </cell>
          <cell r="S195" t="str">
            <v>6B0PXX000</v>
          </cell>
          <cell r="T195">
            <v>39539</v>
          </cell>
          <cell r="V195">
            <v>43000261</v>
          </cell>
          <cell r="W195">
            <v>1039134</v>
          </cell>
          <cell r="Y195" t="str">
            <v>Active</v>
          </cell>
          <cell r="Z195">
            <v>2958465</v>
          </cell>
          <cell r="AA195">
            <v>7703</v>
          </cell>
        </row>
        <row r="196">
          <cell r="A196">
            <v>7704</v>
          </cell>
          <cell r="B196" t="str">
            <v>Roxbury Family Practices / Succasunna / NJ</v>
          </cell>
          <cell r="D196">
            <v>1</v>
          </cell>
          <cell r="E196" t="str">
            <v>Roxbury Family Practices (7704)</v>
          </cell>
          <cell r="F196" t="str">
            <v>Roxbury Family Practices</v>
          </cell>
          <cell r="G196" t="str">
            <v>Succasunna</v>
          </cell>
          <cell r="H196" t="str">
            <v>NJ</v>
          </cell>
          <cell r="I196" t="str">
            <v>07876</v>
          </cell>
          <cell r="J196" t="str">
            <v>Succasunna,  NJ  07876</v>
          </cell>
          <cell r="K196" t="str">
            <v>66 Sunset Strip, Suite 205</v>
          </cell>
          <cell r="N196" t="str">
            <v>System Member Of</v>
          </cell>
          <cell r="O196" t="str">
            <v>Ambulatory Care</v>
          </cell>
          <cell r="P196" t="str">
            <v>Clinic</v>
          </cell>
          <cell r="Q196" t="str">
            <v>1100003740336</v>
          </cell>
          <cell r="S196" t="str">
            <v>EJLD0YT00</v>
          </cell>
          <cell r="T196">
            <v>39539</v>
          </cell>
          <cell r="V196">
            <v>0</v>
          </cell>
          <cell r="W196">
            <v>0</v>
          </cell>
          <cell r="Y196" t="str">
            <v>Active</v>
          </cell>
          <cell r="Z196">
            <v>2958465</v>
          </cell>
          <cell r="AA196">
            <v>7704</v>
          </cell>
        </row>
        <row r="197">
          <cell r="A197">
            <v>7705</v>
          </cell>
          <cell r="B197" t="str">
            <v>Family Health at Mt. Olive / Budd Lake / NJ</v>
          </cell>
          <cell r="D197">
            <v>1</v>
          </cell>
          <cell r="E197" t="str">
            <v>Family Health at Mt. Olive (7705)</v>
          </cell>
          <cell r="F197" t="str">
            <v>Family Health at Mt. Olive</v>
          </cell>
          <cell r="G197" t="str">
            <v>Budd Lake</v>
          </cell>
          <cell r="H197" t="str">
            <v>NJ</v>
          </cell>
          <cell r="I197" t="str">
            <v>07828</v>
          </cell>
          <cell r="J197" t="str">
            <v>Budd Lake,  NJ  07828</v>
          </cell>
          <cell r="K197" t="str">
            <v>100 US Highway 46</v>
          </cell>
          <cell r="N197" t="str">
            <v>System Member Of</v>
          </cell>
          <cell r="O197" t="str">
            <v>Ambulatory Care</v>
          </cell>
          <cell r="P197" t="str">
            <v>Clinic</v>
          </cell>
          <cell r="Q197" t="str">
            <v>1100005561496</v>
          </cell>
          <cell r="S197" t="str">
            <v>EJKRMC600</v>
          </cell>
          <cell r="T197">
            <v>39539</v>
          </cell>
          <cell r="V197">
            <v>0</v>
          </cell>
          <cell r="W197">
            <v>0</v>
          </cell>
          <cell r="Y197" t="str">
            <v>Active</v>
          </cell>
          <cell r="Z197">
            <v>2958465</v>
          </cell>
          <cell r="AA197">
            <v>7705</v>
          </cell>
        </row>
        <row r="198">
          <cell r="A198">
            <v>7706</v>
          </cell>
          <cell r="B198" t="str">
            <v>Sussex Family Practice / Sussex / NJ</v>
          </cell>
          <cell r="D198">
            <v>1</v>
          </cell>
          <cell r="E198" t="str">
            <v>Sussex Family Practice (7706)</v>
          </cell>
          <cell r="F198" t="str">
            <v>Sussex Family Practice</v>
          </cell>
          <cell r="G198" t="str">
            <v>Sussex</v>
          </cell>
          <cell r="H198" t="str">
            <v>NJ</v>
          </cell>
          <cell r="I198" t="str">
            <v>07461</v>
          </cell>
          <cell r="J198" t="str">
            <v>Sussex,  NJ  07461</v>
          </cell>
          <cell r="K198" t="str">
            <v xml:space="preserve">359 Route 23 </v>
          </cell>
          <cell r="N198" t="str">
            <v>System Member Of</v>
          </cell>
          <cell r="O198" t="str">
            <v>Ambulatory Care</v>
          </cell>
          <cell r="P198" t="str">
            <v>Clinic</v>
          </cell>
          <cell r="Q198" t="str">
            <v>1100003717888</v>
          </cell>
          <cell r="T198">
            <v>39539</v>
          </cell>
          <cell r="V198">
            <v>0</v>
          </cell>
          <cell r="W198">
            <v>0</v>
          </cell>
          <cell r="Y198" t="str">
            <v>Active</v>
          </cell>
          <cell r="Z198">
            <v>2958465</v>
          </cell>
          <cell r="AA198">
            <v>7706</v>
          </cell>
        </row>
        <row r="199">
          <cell r="A199">
            <v>7707</v>
          </cell>
          <cell r="B199" t="str">
            <v>Medical Associates at Powdermill / Morris Plains / NJ</v>
          </cell>
          <cell r="D199">
            <v>1</v>
          </cell>
          <cell r="E199" t="str">
            <v>Medical Associates at Powdermill (7707)</v>
          </cell>
          <cell r="F199" t="str">
            <v>Medical Associates at Powdermill</v>
          </cell>
          <cell r="G199" t="str">
            <v>Morris Plains</v>
          </cell>
          <cell r="H199" t="str">
            <v>NJ</v>
          </cell>
          <cell r="I199" t="str">
            <v>07950</v>
          </cell>
          <cell r="J199" t="str">
            <v>Morris Plains,  NJ  07950</v>
          </cell>
          <cell r="K199" t="str">
            <v>2932 Route 10</v>
          </cell>
          <cell r="N199" t="str">
            <v>System Member Of</v>
          </cell>
          <cell r="O199" t="str">
            <v>Ambulatory Care</v>
          </cell>
          <cell r="P199" t="str">
            <v>Clinic</v>
          </cell>
          <cell r="Q199" t="str">
            <v>1100004646392</v>
          </cell>
          <cell r="S199" t="str">
            <v>CXGPMEE00</v>
          </cell>
          <cell r="T199">
            <v>39539</v>
          </cell>
          <cell r="V199">
            <v>0</v>
          </cell>
          <cell r="W199">
            <v>0</v>
          </cell>
          <cell r="Y199" t="str">
            <v>Active</v>
          </cell>
          <cell r="Z199">
            <v>2958465</v>
          </cell>
          <cell r="AA199">
            <v>7707</v>
          </cell>
        </row>
        <row r="200">
          <cell r="A200">
            <v>7708</v>
          </cell>
          <cell r="B200" t="str">
            <v>Community OB/GYN / Boonton / NJ</v>
          </cell>
          <cell r="D200">
            <v>1</v>
          </cell>
          <cell r="E200" t="str">
            <v>Community OB/GYN (7708)</v>
          </cell>
          <cell r="F200" t="str">
            <v>Community OB/GYN</v>
          </cell>
          <cell r="G200" t="str">
            <v>Boonton</v>
          </cell>
          <cell r="H200" t="str">
            <v>NJ</v>
          </cell>
          <cell r="I200" t="str">
            <v>07005</v>
          </cell>
          <cell r="J200" t="str">
            <v>Boonton,  NJ  07005</v>
          </cell>
          <cell r="K200" t="str">
            <v>550 West Main Street</v>
          </cell>
          <cell r="N200" t="str">
            <v>System Member Of</v>
          </cell>
          <cell r="O200" t="str">
            <v>Ambulatory Care</v>
          </cell>
          <cell r="P200" t="str">
            <v>Clinic</v>
          </cell>
          <cell r="Q200" t="str">
            <v>1100003183492</v>
          </cell>
          <cell r="S200" t="str">
            <v>DJH2Y0D00</v>
          </cell>
          <cell r="T200">
            <v>39539</v>
          </cell>
          <cell r="V200">
            <v>0</v>
          </cell>
          <cell r="W200">
            <v>0</v>
          </cell>
          <cell r="Y200" t="str">
            <v>Active</v>
          </cell>
          <cell r="Z200">
            <v>2958465</v>
          </cell>
          <cell r="AA200">
            <v>7708</v>
          </cell>
        </row>
        <row r="201">
          <cell r="A201">
            <v>7738</v>
          </cell>
          <cell r="B201" t="str">
            <v>St. John's Mercy Clinics of Lamar / Lamar / MO</v>
          </cell>
          <cell r="D201">
            <v>2</v>
          </cell>
          <cell r="E201" t="str">
            <v>St. John's Mercy Clinics of Lamar (7738)</v>
          </cell>
          <cell r="F201" t="str">
            <v>St. John's Mercy Clinics of Lamar</v>
          </cell>
          <cell r="G201" t="str">
            <v>Lamar</v>
          </cell>
          <cell r="H201" t="str">
            <v>MO</v>
          </cell>
          <cell r="I201" t="str">
            <v>64759</v>
          </cell>
          <cell r="J201" t="str">
            <v>Lamar, MO 64759</v>
          </cell>
          <cell r="K201" t="str">
            <v>111 West 12th</v>
          </cell>
          <cell r="M201" t="str">
            <v>417-682-3700</v>
          </cell>
          <cell r="N201" t="str">
            <v>System Member Of</v>
          </cell>
          <cell r="O201" t="str">
            <v>Ambulatory Care</v>
          </cell>
          <cell r="P201" t="str">
            <v>Primary Care Physician Practice</v>
          </cell>
          <cell r="Q201" t="str">
            <v>BS7948548</v>
          </cell>
          <cell r="R201" t="str">
            <v>C5J389K00</v>
          </cell>
          <cell r="S201" t="str">
            <v>1100004435569</v>
          </cell>
          <cell r="T201">
            <v>36892</v>
          </cell>
          <cell r="U201">
            <v>38108</v>
          </cell>
          <cell r="V201">
            <v>43000261</v>
          </cell>
          <cell r="W201">
            <v>374803</v>
          </cell>
          <cell r="X201">
            <v>36</v>
          </cell>
          <cell r="Y201" t="str">
            <v>Inactive</v>
          </cell>
          <cell r="Z201">
            <v>39318</v>
          </cell>
          <cell r="AA201">
            <v>7738</v>
          </cell>
        </row>
        <row r="202">
          <cell r="A202">
            <v>7778</v>
          </cell>
          <cell r="B202" t="str">
            <v>St. John's Medical Group - Joplin Family Care / Joplin / MO</v>
          </cell>
          <cell r="D202">
            <v>2</v>
          </cell>
          <cell r="E202" t="str">
            <v>St. John's Medical Group - Joplin Family Care (7778)</v>
          </cell>
          <cell r="F202" t="str">
            <v>St. John's Medical Group - Joplin Family Care</v>
          </cell>
          <cell r="G202" t="str">
            <v>Joplin</v>
          </cell>
          <cell r="H202" t="str">
            <v>MO</v>
          </cell>
          <cell r="I202" t="str">
            <v>64804-9031</v>
          </cell>
          <cell r="J202" t="str">
            <v>Joplin, MO 64804-9031</v>
          </cell>
          <cell r="K202" t="str">
            <v>3126 Jackson Suite 200</v>
          </cell>
          <cell r="M202" t="str">
            <v>417-627-8700</v>
          </cell>
          <cell r="N202" t="str">
            <v>System Member Of</v>
          </cell>
          <cell r="O202" t="str">
            <v>Ambulatory Care</v>
          </cell>
          <cell r="P202" t="str">
            <v>Primary Care Physician Practice</v>
          </cell>
          <cell r="Q202" t="str">
            <v>BW5931616</v>
          </cell>
          <cell r="R202" t="str">
            <v>29K9PPI00</v>
          </cell>
          <cell r="S202" t="str">
            <v>1100003950537</v>
          </cell>
          <cell r="T202">
            <v>36890</v>
          </cell>
          <cell r="U202">
            <v>38092</v>
          </cell>
          <cell r="V202">
            <v>43000261</v>
          </cell>
          <cell r="W202">
            <v>374803</v>
          </cell>
          <cell r="X202">
            <v>36</v>
          </cell>
          <cell r="Y202" t="str">
            <v>Active</v>
          </cell>
          <cell r="AA202">
            <v>7778</v>
          </cell>
        </row>
        <row r="203">
          <cell r="A203">
            <v>7925</v>
          </cell>
          <cell r="B203" t="str">
            <v>St. John's Medical Group - Carthage Family Medical Center / Carthage / MO</v>
          </cell>
          <cell r="D203">
            <v>2</v>
          </cell>
          <cell r="E203" t="str">
            <v>St. John's Medical Group - Carthage Family Medical Center (7925)</v>
          </cell>
          <cell r="F203" t="str">
            <v>Carthage Family Medical Center</v>
          </cell>
          <cell r="G203" t="str">
            <v>Carthage</v>
          </cell>
          <cell r="H203" t="str">
            <v>MO</v>
          </cell>
          <cell r="I203" t="str">
            <v>64836</v>
          </cell>
          <cell r="J203" t="str">
            <v>Carthage, MO 64836</v>
          </cell>
          <cell r="K203" t="str">
            <v>1615 Hazel Avenue</v>
          </cell>
          <cell r="M203" t="str">
            <v>417-359-8803</v>
          </cell>
          <cell r="N203" t="str">
            <v>Affiliate Member Of</v>
          </cell>
          <cell r="O203" t="str">
            <v>Ambulatory Care</v>
          </cell>
          <cell r="P203" t="str">
            <v>Primary Care Physician Practice</v>
          </cell>
          <cell r="Q203" t="str">
            <v>BD6798699</v>
          </cell>
          <cell r="R203" t="str">
            <v>93Y272L00</v>
          </cell>
          <cell r="S203" t="str">
            <v>1100002476823</v>
          </cell>
          <cell r="T203">
            <v>36892</v>
          </cell>
          <cell r="U203">
            <v>38092</v>
          </cell>
          <cell r="V203">
            <v>43000261</v>
          </cell>
          <cell r="W203">
            <v>374803</v>
          </cell>
          <cell r="X203">
            <v>36</v>
          </cell>
          <cell r="Y203" t="str">
            <v>Active</v>
          </cell>
          <cell r="AA203">
            <v>7925</v>
          </cell>
        </row>
        <row r="204">
          <cell r="A204">
            <v>7934</v>
          </cell>
          <cell r="B204" t="str">
            <v>GMC - Oahe Manor / Gettysburg / SD</v>
          </cell>
          <cell r="D204">
            <v>4</v>
          </cell>
          <cell r="E204" t="str">
            <v>GMC - Oahe Manor (7934)</v>
          </cell>
          <cell r="F204" t="str">
            <v>GMC-Oahe Manor, Oahe Villa</v>
          </cell>
          <cell r="G204" t="str">
            <v>Gettysburg</v>
          </cell>
          <cell r="H204" t="str">
            <v>SD</v>
          </cell>
          <cell r="I204" t="str">
            <v>57442</v>
          </cell>
          <cell r="J204" t="str">
            <v>Gettysburg, SD 57442</v>
          </cell>
          <cell r="K204" t="str">
            <v>606 East  Garfield</v>
          </cell>
          <cell r="M204" t="str">
            <v>605-765-2480</v>
          </cell>
          <cell r="N204" t="str">
            <v>System Member Of</v>
          </cell>
          <cell r="O204" t="str">
            <v>Long Term Care</v>
          </cell>
          <cell r="P204" t="str">
            <v>Nursing Home w/o Pharmacy</v>
          </cell>
          <cell r="R204" t="str">
            <v>46W3HUK00</v>
          </cell>
          <cell r="S204" t="str">
            <v>1100002939465</v>
          </cell>
          <cell r="T204">
            <v>36982</v>
          </cell>
          <cell r="V204">
            <v>43000261</v>
          </cell>
          <cell r="W204">
            <v>586355</v>
          </cell>
          <cell r="X204">
            <v>58</v>
          </cell>
          <cell r="Y204" t="str">
            <v>Active</v>
          </cell>
          <cell r="AA204">
            <v>7934</v>
          </cell>
        </row>
        <row r="205">
          <cell r="A205">
            <v>7963</v>
          </cell>
          <cell r="B205" t="str">
            <v>Mednow Medical Supply / Boise / ID</v>
          </cell>
          <cell r="D205">
            <v>3</v>
          </cell>
          <cell r="E205" t="str">
            <v>Mednow Medical Supply (7963)</v>
          </cell>
          <cell r="F205" t="str">
            <v>Mednow Medical Supply</v>
          </cell>
          <cell r="G205" t="str">
            <v>Boise</v>
          </cell>
          <cell r="H205" t="str">
            <v>ID</v>
          </cell>
          <cell r="I205" t="str">
            <v>83709</v>
          </cell>
          <cell r="J205" t="str">
            <v>Boise, ID 83709</v>
          </cell>
          <cell r="K205" t="str">
            <v>6010 Franklin Road</v>
          </cell>
          <cell r="M205" t="str">
            <v>208-424-0966</v>
          </cell>
          <cell r="N205" t="str">
            <v>System Member Of</v>
          </cell>
          <cell r="O205" t="str">
            <v>Retail</v>
          </cell>
          <cell r="P205" t="str">
            <v>Durable Medical Equipment Dealer (DME)</v>
          </cell>
          <cell r="R205" t="str">
            <v>ELENKCW00</v>
          </cell>
          <cell r="S205" t="str">
            <v>1100002194529</v>
          </cell>
          <cell r="T205">
            <v>37012</v>
          </cell>
          <cell r="V205">
            <v>43000261</v>
          </cell>
          <cell r="W205">
            <v>103780</v>
          </cell>
          <cell r="X205">
            <v>68</v>
          </cell>
          <cell r="Y205" t="str">
            <v>Active</v>
          </cell>
          <cell r="AA205">
            <v>7963</v>
          </cell>
        </row>
        <row r="206">
          <cell r="A206">
            <v>7964</v>
          </cell>
          <cell r="B206" t="str">
            <v>Mednow Medical Supply / Ontario / OR</v>
          </cell>
          <cell r="D206">
            <v>3</v>
          </cell>
          <cell r="E206" t="str">
            <v>Mednow Medical Supply (7964)</v>
          </cell>
          <cell r="F206" t="str">
            <v>Mednow Medical Supply</v>
          </cell>
          <cell r="G206" t="str">
            <v>Ontario</v>
          </cell>
          <cell r="H206" t="str">
            <v>OR</v>
          </cell>
          <cell r="I206" t="str">
            <v>97914-2627</v>
          </cell>
          <cell r="J206" t="str">
            <v>Ontario, OR 97914-2627</v>
          </cell>
          <cell r="K206" t="str">
            <v>884 S.W. 4th Avenue</v>
          </cell>
          <cell r="M206" t="str">
            <v>541-881-7420</v>
          </cell>
          <cell r="N206" t="str">
            <v>System Member Of</v>
          </cell>
          <cell r="O206" t="str">
            <v>Retail</v>
          </cell>
          <cell r="P206" t="str">
            <v>Durable Medical Equipment Dealer (DME)</v>
          </cell>
          <cell r="S206" t="str">
            <v>1100003163647</v>
          </cell>
          <cell r="T206">
            <v>37012</v>
          </cell>
          <cell r="V206">
            <v>43000261</v>
          </cell>
          <cell r="W206">
            <v>103780</v>
          </cell>
          <cell r="X206">
            <v>68</v>
          </cell>
          <cell r="Y206" t="str">
            <v>Active</v>
          </cell>
          <cell r="AA206">
            <v>7964</v>
          </cell>
        </row>
        <row r="207">
          <cell r="A207">
            <v>7973</v>
          </cell>
          <cell r="B207" t="str">
            <v>Kearney Ambulatory Surgery Center DBA Heartland Surgery Center / Kearney / NE</v>
          </cell>
          <cell r="D207">
            <v>2</v>
          </cell>
          <cell r="E207" t="str">
            <v>Kearney Ambulatory Surgery Center DBA Heartland Surgery Center (7973)</v>
          </cell>
          <cell r="F207" t="str">
            <v>Kearney Ambulatory Surgery Center DBA Heartland Surgery Center</v>
          </cell>
          <cell r="G207" t="str">
            <v>Kearney</v>
          </cell>
          <cell r="H207" t="str">
            <v>NE</v>
          </cell>
          <cell r="I207" t="str">
            <v>68845</v>
          </cell>
          <cell r="J207" t="str">
            <v>Kearney, NE 68845</v>
          </cell>
          <cell r="K207" t="str">
            <v>3515 30th Avenue</v>
          </cell>
          <cell r="M207" t="str">
            <v>308-865-2670</v>
          </cell>
          <cell r="N207" t="str">
            <v>Affiliate Member Of</v>
          </cell>
          <cell r="O207" t="str">
            <v>Acute Care</v>
          </cell>
          <cell r="P207" t="str">
            <v>Surgery Center</v>
          </cell>
          <cell r="Q207" t="str">
            <v>BS7522990</v>
          </cell>
          <cell r="R207" t="str">
            <v>G1GM82T00</v>
          </cell>
          <cell r="S207" t="str">
            <v>1100005902022</v>
          </cell>
          <cell r="T207">
            <v>37043</v>
          </cell>
          <cell r="U207">
            <v>37043</v>
          </cell>
          <cell r="V207">
            <v>43000261</v>
          </cell>
          <cell r="W207">
            <v>374820</v>
          </cell>
          <cell r="X207">
            <v>45</v>
          </cell>
          <cell r="Y207" t="str">
            <v>Active</v>
          </cell>
          <cell r="AA207">
            <v>7973</v>
          </cell>
        </row>
        <row r="208">
          <cell r="A208">
            <v>8119</v>
          </cell>
          <cell r="B208" t="str">
            <v>St. John's Medical Group - St. John's Medical Center at Oswego / Oswego / KS</v>
          </cell>
          <cell r="D208">
            <v>2</v>
          </cell>
          <cell r="E208" t="str">
            <v>St. John's Medical Group - St. John's Medical Center at Oswego (8119)</v>
          </cell>
          <cell r="F208" t="str">
            <v>St. John's Medical Group - St. John's Medical Center at Oswego</v>
          </cell>
          <cell r="G208" t="str">
            <v>Oswego</v>
          </cell>
          <cell r="H208" t="str">
            <v>KS</v>
          </cell>
          <cell r="I208" t="str">
            <v>67356</v>
          </cell>
          <cell r="J208" t="str">
            <v>Oswego, KS 67356</v>
          </cell>
          <cell r="K208" t="str">
            <v>805 Barker Drive</v>
          </cell>
          <cell r="M208" t="str">
            <v>316-795-2525</v>
          </cell>
          <cell r="N208" t="str">
            <v>System Member Of</v>
          </cell>
          <cell r="O208" t="str">
            <v>Ambulatory Care</v>
          </cell>
          <cell r="P208" t="str">
            <v>Primary Care Physician Practice</v>
          </cell>
          <cell r="Q208" t="str">
            <v>AB1084108</v>
          </cell>
          <cell r="R208" t="str">
            <v>0BKXCRV00</v>
          </cell>
          <cell r="S208" t="str">
            <v>1100004340160</v>
          </cell>
          <cell r="T208">
            <v>37012</v>
          </cell>
          <cell r="U208">
            <v>38092</v>
          </cell>
          <cell r="V208">
            <v>43000261</v>
          </cell>
          <cell r="W208">
            <v>374803</v>
          </cell>
          <cell r="X208">
            <v>36</v>
          </cell>
          <cell r="Y208" t="str">
            <v>Active</v>
          </cell>
          <cell r="AA208">
            <v>8119</v>
          </cell>
        </row>
        <row r="209">
          <cell r="A209">
            <v>8121</v>
          </cell>
          <cell r="B209" t="str">
            <v>Mercy Clinics - Joplin Pediatric Clinic / Joplin / MO</v>
          </cell>
          <cell r="D209">
            <v>2</v>
          </cell>
          <cell r="E209" t="str">
            <v>Mercy Clinics - Joplin Pediatric Clinic (8121)</v>
          </cell>
          <cell r="F209" t="str">
            <v>Mercy Clinics - Joplin Pediatric Clinic</v>
          </cell>
          <cell r="G209" t="str">
            <v>Joplin</v>
          </cell>
          <cell r="H209" t="str">
            <v>MO</v>
          </cell>
          <cell r="I209" t="str">
            <v>64804</v>
          </cell>
          <cell r="J209" t="str">
            <v>Joplin, MO 64804</v>
          </cell>
          <cell r="K209" t="str">
            <v>2817 McClelland Blvd.</v>
          </cell>
          <cell r="L209" t="str">
            <v>Suite 55</v>
          </cell>
          <cell r="M209" t="str">
            <v>417-624-1218</v>
          </cell>
          <cell r="N209" t="str">
            <v>System Member Of</v>
          </cell>
          <cell r="O209" t="str">
            <v>Ambulatory Care</v>
          </cell>
          <cell r="P209" t="str">
            <v>Clinic</v>
          </cell>
          <cell r="Q209" t="str">
            <v>BC1622910</v>
          </cell>
          <cell r="R209" t="str">
            <v>9HG43Q300</v>
          </cell>
          <cell r="S209" t="str">
            <v>1100005861817</v>
          </cell>
          <cell r="T209">
            <v>37012</v>
          </cell>
          <cell r="V209">
            <v>0</v>
          </cell>
          <cell r="W209">
            <v>0</v>
          </cell>
          <cell r="X209">
            <v>36</v>
          </cell>
          <cell r="Y209" t="str">
            <v>Inactive</v>
          </cell>
          <cell r="Z209">
            <v>38686</v>
          </cell>
        </row>
        <row r="210">
          <cell r="A210">
            <v>8122</v>
          </cell>
          <cell r="B210" t="str">
            <v>St. John's Outpatient Ortho Center / Joplin / MO</v>
          </cell>
          <cell r="D210">
            <v>2</v>
          </cell>
          <cell r="E210" t="str">
            <v>St. John's Outpatient Ortho Center (8122)</v>
          </cell>
          <cell r="F210" t="str">
            <v>St. John's Outpatient Ortho Center</v>
          </cell>
          <cell r="G210" t="str">
            <v>Joplin</v>
          </cell>
          <cell r="H210" t="str">
            <v>MO</v>
          </cell>
          <cell r="I210" t="str">
            <v>64804</v>
          </cell>
          <cell r="J210" t="str">
            <v>Joplin, MO 64804</v>
          </cell>
          <cell r="K210" t="str">
            <v>3126 Jackson Suite 101</v>
          </cell>
          <cell r="M210" t="str">
            <v>417-781-6219</v>
          </cell>
          <cell r="N210" t="str">
            <v>System Member Of</v>
          </cell>
          <cell r="O210" t="str">
            <v>Ambulatory Care</v>
          </cell>
          <cell r="P210" t="str">
            <v>Specialty Physician Practice</v>
          </cell>
          <cell r="R210" t="str">
            <v>BMT705200</v>
          </cell>
          <cell r="S210" t="str">
            <v>1100003895715</v>
          </cell>
          <cell r="T210">
            <v>37012</v>
          </cell>
          <cell r="V210">
            <v>0</v>
          </cell>
          <cell r="W210">
            <v>0</v>
          </cell>
          <cell r="X210">
            <v>36</v>
          </cell>
          <cell r="Y210" t="str">
            <v>Inactive</v>
          </cell>
          <cell r="Z210">
            <v>39355</v>
          </cell>
          <cell r="AA210">
            <v>8122</v>
          </cell>
        </row>
        <row r="211">
          <cell r="A211">
            <v>8123</v>
          </cell>
          <cell r="B211" t="str">
            <v>St. John's Medical Group - Infectious Disease / Joplin / MO</v>
          </cell>
          <cell r="D211">
            <v>2</v>
          </cell>
          <cell r="E211" t="str">
            <v>St. John's Medical Group - Infectious Disease (8123)</v>
          </cell>
          <cell r="F211" t="str">
            <v>Mercy Clinics - Endocrinology &amp; Infectious Disease</v>
          </cell>
          <cell r="G211" t="str">
            <v>Joplin</v>
          </cell>
          <cell r="H211" t="str">
            <v>MO</v>
          </cell>
          <cell r="I211" t="str">
            <v>64804</v>
          </cell>
          <cell r="J211" t="str">
            <v>Joplin, MO 64804</v>
          </cell>
          <cell r="K211" t="str">
            <v>2817 McClelland Blvd. Suite 152</v>
          </cell>
          <cell r="M211" t="str">
            <v>417-781-8688</v>
          </cell>
          <cell r="N211" t="str">
            <v>System Member Of</v>
          </cell>
          <cell r="O211" t="str">
            <v>Ambulatory Care</v>
          </cell>
          <cell r="P211" t="str">
            <v>Clinic</v>
          </cell>
          <cell r="Q211" t="str">
            <v>BE4077675</v>
          </cell>
          <cell r="R211" t="str">
            <v>REWECYP00</v>
          </cell>
          <cell r="S211" t="str">
            <v>1100002462338</v>
          </cell>
          <cell r="T211">
            <v>37012</v>
          </cell>
          <cell r="U211">
            <v>38092</v>
          </cell>
          <cell r="V211">
            <v>43000261</v>
          </cell>
          <cell r="W211">
            <v>374803</v>
          </cell>
          <cell r="X211">
            <v>36</v>
          </cell>
          <cell r="Y211" t="str">
            <v>Active</v>
          </cell>
          <cell r="AA211">
            <v>8123</v>
          </cell>
        </row>
        <row r="212">
          <cell r="A212">
            <v>8222</v>
          </cell>
          <cell r="B212" t="str">
            <v>Parkway Mobility &amp; Medical Supply / Roseburg / OR</v>
          </cell>
          <cell r="D212">
            <v>3</v>
          </cell>
          <cell r="E212" t="str">
            <v>Parkway Mobility &amp; Medical Supply (8222)</v>
          </cell>
          <cell r="F212" t="str">
            <v>Parkway Medical Supply</v>
          </cell>
          <cell r="G212" t="str">
            <v>Roseburg</v>
          </cell>
          <cell r="H212" t="str">
            <v>OR</v>
          </cell>
          <cell r="I212" t="str">
            <v>97470</v>
          </cell>
          <cell r="J212" t="str">
            <v>Roseburg, OR 97470</v>
          </cell>
          <cell r="K212" t="str">
            <v>2475 Stewart Parkway</v>
          </cell>
          <cell r="M212" t="str">
            <v>541-677-2438</v>
          </cell>
          <cell r="N212" t="str">
            <v>System Member Of</v>
          </cell>
          <cell r="O212" t="str">
            <v>Retail</v>
          </cell>
          <cell r="P212" t="str">
            <v>Durable Medical Equipment Dealer (DME)</v>
          </cell>
          <cell r="R212" t="str">
            <v xml:space="preserve">407HWL900  </v>
          </cell>
          <cell r="S212" t="str">
            <v>1100003336652</v>
          </cell>
          <cell r="T212">
            <v>35977</v>
          </cell>
          <cell r="V212">
            <v>43000261</v>
          </cell>
          <cell r="W212">
            <v>355725</v>
          </cell>
          <cell r="X212">
            <v>54</v>
          </cell>
          <cell r="Y212" t="str">
            <v>Active</v>
          </cell>
          <cell r="AA212">
            <v>8222</v>
          </cell>
        </row>
        <row r="213">
          <cell r="A213">
            <v>8223</v>
          </cell>
          <cell r="B213" t="str">
            <v>Parkway Pharmacy / Roseburg / OR</v>
          </cell>
          <cell r="D213">
            <v>3</v>
          </cell>
          <cell r="E213" t="str">
            <v>Parkway Pharmacy (8223)</v>
          </cell>
          <cell r="F213" t="str">
            <v>Parkway Pharmacy</v>
          </cell>
          <cell r="G213" t="str">
            <v>Roseburg</v>
          </cell>
          <cell r="H213" t="str">
            <v>OR</v>
          </cell>
          <cell r="I213" t="str">
            <v>97470</v>
          </cell>
          <cell r="J213" t="str">
            <v>Roseburg, OR 97470</v>
          </cell>
          <cell r="K213" t="str">
            <v>2475 Stewart Parkway</v>
          </cell>
          <cell r="M213" t="str">
            <v>541-677-2300</v>
          </cell>
          <cell r="N213" t="str">
            <v>System Member Of</v>
          </cell>
          <cell r="O213" t="str">
            <v>Retail</v>
          </cell>
          <cell r="P213" t="str">
            <v>Free-standing Outpatient Retail Pharmacy</v>
          </cell>
          <cell r="Q213" t="str">
            <v>BM6063870</v>
          </cell>
          <cell r="R213" t="str">
            <v>00GRCJ200</v>
          </cell>
          <cell r="S213" t="str">
            <v>1100003096518</v>
          </cell>
          <cell r="T213">
            <v>35977</v>
          </cell>
          <cell r="U213">
            <v>38078</v>
          </cell>
          <cell r="V213">
            <v>0</v>
          </cell>
          <cell r="W213">
            <v>0</v>
          </cell>
          <cell r="X213">
            <v>54</v>
          </cell>
          <cell r="Y213" t="str">
            <v>Inactive</v>
          </cell>
          <cell r="Z213">
            <v>39324</v>
          </cell>
          <cell r="AA213">
            <v>8223</v>
          </cell>
        </row>
        <row r="214">
          <cell r="A214">
            <v>8224</v>
          </cell>
          <cell r="B214" t="str">
            <v>Mercy Services Corporation / Roseburg / OR</v>
          </cell>
          <cell r="D214">
            <v>3</v>
          </cell>
          <cell r="E214" t="str">
            <v>Mercy Services Corporation (8224)</v>
          </cell>
          <cell r="F214" t="str">
            <v>Mercy Services Corporation</v>
          </cell>
          <cell r="G214" t="str">
            <v>Roseburg</v>
          </cell>
          <cell r="H214" t="str">
            <v>OR</v>
          </cell>
          <cell r="I214" t="str">
            <v>97470</v>
          </cell>
          <cell r="J214" t="str">
            <v>Roseburg, OR 97470</v>
          </cell>
          <cell r="K214" t="str">
            <v>2700 NW Stewart Parkway</v>
          </cell>
          <cell r="M214" t="str">
            <v>541-677-2162</v>
          </cell>
          <cell r="N214" t="str">
            <v>System Member Of</v>
          </cell>
          <cell r="O214" t="str">
            <v>Other</v>
          </cell>
          <cell r="P214" t="str">
            <v>Other Facility</v>
          </cell>
          <cell r="R214" t="str">
            <v>B36G9R000</v>
          </cell>
          <cell r="S214" t="str">
            <v>1100005706323</v>
          </cell>
          <cell r="T214">
            <v>35977</v>
          </cell>
          <cell r="V214">
            <v>43000261</v>
          </cell>
          <cell r="W214">
            <v>355725</v>
          </cell>
          <cell r="X214">
            <v>54</v>
          </cell>
          <cell r="Y214" t="str">
            <v>Active</v>
          </cell>
          <cell r="AA214">
            <v>8224</v>
          </cell>
        </row>
        <row r="215">
          <cell r="A215">
            <v>8225</v>
          </cell>
          <cell r="B215" t="str">
            <v>Linus Oakes / Roseburg / OR</v>
          </cell>
          <cell r="D215">
            <v>3</v>
          </cell>
          <cell r="E215" t="str">
            <v>Linus Oakes (8225)</v>
          </cell>
          <cell r="F215" t="str">
            <v>Linus Oaks</v>
          </cell>
          <cell r="G215" t="str">
            <v>Roseburg</v>
          </cell>
          <cell r="H215" t="str">
            <v>OR</v>
          </cell>
          <cell r="I215" t="str">
            <v>97470</v>
          </cell>
          <cell r="J215" t="str">
            <v>Roseburg, OR 97470</v>
          </cell>
          <cell r="K215" t="str">
            <v>2665 Van Pelt Blvd.</v>
          </cell>
          <cell r="M215" t="str">
            <v>541-677-4800</v>
          </cell>
          <cell r="N215" t="str">
            <v>System Member Of</v>
          </cell>
          <cell r="O215" t="str">
            <v>Long Term Care</v>
          </cell>
          <cell r="P215" t="str">
            <v>Retirement Community</v>
          </cell>
          <cell r="R215" t="str">
            <v>29DRWW700</v>
          </cell>
          <cell r="S215" t="str">
            <v>1100004793966</v>
          </cell>
          <cell r="T215">
            <v>35977</v>
          </cell>
          <cell r="V215">
            <v>43000261</v>
          </cell>
          <cell r="W215">
            <v>355725</v>
          </cell>
          <cell r="X215">
            <v>54</v>
          </cell>
          <cell r="Y215" t="str">
            <v>Active</v>
          </cell>
          <cell r="AA215">
            <v>8225</v>
          </cell>
        </row>
        <row r="216">
          <cell r="A216">
            <v>8227</v>
          </cell>
          <cell r="B216" t="str">
            <v>Canyonville Health Clinic / Canyonville / OR</v>
          </cell>
          <cell r="D216">
            <v>3</v>
          </cell>
          <cell r="E216" t="str">
            <v>Canyonville Health Clinic (8227)</v>
          </cell>
          <cell r="F216" t="str">
            <v>Canyonville Health Clinic</v>
          </cell>
          <cell r="G216" t="str">
            <v>Canyonville</v>
          </cell>
          <cell r="H216" t="str">
            <v>OR</v>
          </cell>
          <cell r="I216" t="str">
            <v>97417</v>
          </cell>
          <cell r="J216" t="str">
            <v>Canyonville, OR 97417</v>
          </cell>
          <cell r="K216" t="str">
            <v>495 S.W. First Street</v>
          </cell>
          <cell r="M216" t="str">
            <v>541-839-4213</v>
          </cell>
          <cell r="N216" t="str">
            <v>System Member Of</v>
          </cell>
          <cell r="O216" t="str">
            <v>Ambulatory Care</v>
          </cell>
          <cell r="P216" t="str">
            <v>Clinic</v>
          </cell>
          <cell r="Q216" t="str">
            <v>BH3489704</v>
          </cell>
          <cell r="R216" t="str">
            <v>920080J00</v>
          </cell>
          <cell r="S216" t="str">
            <v>1100004808967</v>
          </cell>
          <cell r="T216">
            <v>35977</v>
          </cell>
          <cell r="V216">
            <v>0</v>
          </cell>
          <cell r="W216">
            <v>0</v>
          </cell>
          <cell r="X216">
            <v>54</v>
          </cell>
          <cell r="Y216" t="str">
            <v>Inactive</v>
          </cell>
          <cell r="Z216">
            <v>38625</v>
          </cell>
        </row>
        <row r="217">
          <cell r="A217">
            <v>8228</v>
          </cell>
          <cell r="B217" t="str">
            <v>Mercy Rehabilitation and Care Center / Roseburg / OR</v>
          </cell>
          <cell r="D217">
            <v>3</v>
          </cell>
          <cell r="E217" t="str">
            <v>Mercy Rehabilitation and Care Center (8228)</v>
          </cell>
          <cell r="F217" t="str">
            <v>Mercy Rehabilitation and Care Center</v>
          </cell>
          <cell r="G217" t="str">
            <v>Roseburg</v>
          </cell>
          <cell r="H217" t="str">
            <v>OR</v>
          </cell>
          <cell r="I217" t="str">
            <v>97470</v>
          </cell>
          <cell r="J217" t="str">
            <v>Roseburg, OR 97470</v>
          </cell>
          <cell r="K217" t="str">
            <v>525 W Umpqua Street</v>
          </cell>
          <cell r="M217" t="str">
            <v>541-677-2199</v>
          </cell>
          <cell r="N217" t="str">
            <v>System Member Of</v>
          </cell>
          <cell r="O217" t="str">
            <v>Acute Care</v>
          </cell>
          <cell r="P217" t="str">
            <v>Rehabilitation Facility</v>
          </cell>
          <cell r="R217" t="str">
            <v>41S7HYJ00</v>
          </cell>
          <cell r="S217" t="str">
            <v>1100002151454</v>
          </cell>
          <cell r="T217">
            <v>35977</v>
          </cell>
          <cell r="V217">
            <v>0</v>
          </cell>
          <cell r="W217">
            <v>0</v>
          </cell>
          <cell r="X217">
            <v>54</v>
          </cell>
          <cell r="Y217" t="str">
            <v>Inactive</v>
          </cell>
          <cell r="Z217">
            <v>38450</v>
          </cell>
        </row>
        <row r="218">
          <cell r="A218">
            <v>8259</v>
          </cell>
          <cell r="B218" t="str">
            <v>Madison County Memorial Hospital / Winterset / IA</v>
          </cell>
          <cell r="D218">
            <v>2</v>
          </cell>
          <cell r="E218" t="str">
            <v>Madison County Memorial Hospital (8259)</v>
          </cell>
          <cell r="F218" t="str">
            <v>Madison County Memorial Hospital</v>
          </cell>
          <cell r="G218" t="str">
            <v>Winterset</v>
          </cell>
          <cell r="H218" t="str">
            <v>IA</v>
          </cell>
          <cell r="I218" t="str">
            <v>50273-2104</v>
          </cell>
          <cell r="J218" t="str">
            <v>Winterset, IA 50273-2104</v>
          </cell>
          <cell r="K218" t="str">
            <v>300 W. Hutchings St.</v>
          </cell>
          <cell r="M218" t="str">
            <v>515-462-2373</v>
          </cell>
          <cell r="N218" t="str">
            <v>Affiliate Member Of</v>
          </cell>
          <cell r="O218" t="str">
            <v>Acute Care</v>
          </cell>
          <cell r="P218" t="str">
            <v>Hospital</v>
          </cell>
          <cell r="Q218" t="str">
            <v>AM4029725</v>
          </cell>
          <cell r="R218" t="str">
            <v>621450I00</v>
          </cell>
          <cell r="S218" t="str">
            <v>1100005131354</v>
          </cell>
          <cell r="T218">
            <v>37135</v>
          </cell>
          <cell r="U218">
            <v>37257</v>
          </cell>
          <cell r="V218">
            <v>43000261</v>
          </cell>
          <cell r="W218">
            <v>374766</v>
          </cell>
          <cell r="X218">
            <v>15</v>
          </cell>
          <cell r="Y218" t="str">
            <v>Active</v>
          </cell>
          <cell r="AA218">
            <v>8259</v>
          </cell>
        </row>
        <row r="219">
          <cell r="A219">
            <v>8275</v>
          </cell>
          <cell r="B219" t="str">
            <v>Mercy Clinic Administration / Des Moines / IA</v>
          </cell>
          <cell r="D219">
            <v>2</v>
          </cell>
          <cell r="E219" t="str">
            <v>Mercy Clinic Administration (8275)</v>
          </cell>
          <cell r="F219" t="str">
            <v>Mercy Clinic Administration</v>
          </cell>
          <cell r="G219" t="str">
            <v>Des Moines</v>
          </cell>
          <cell r="H219" t="str">
            <v>IA</v>
          </cell>
          <cell r="I219" t="str">
            <v>50309</v>
          </cell>
          <cell r="J219" t="str">
            <v>Des Moines, IA 50309</v>
          </cell>
          <cell r="K219" t="str">
            <v>207 Crocker St. Ste. 200</v>
          </cell>
          <cell r="M219" t="str">
            <v>515-634-7150</v>
          </cell>
          <cell r="N219" t="str">
            <v>System Member Of</v>
          </cell>
          <cell r="O219" t="str">
            <v>Ambulatory Care</v>
          </cell>
          <cell r="P219" t="str">
            <v>Clinic</v>
          </cell>
          <cell r="R219" t="str">
            <v>LH1Y3PT00</v>
          </cell>
          <cell r="S219" t="str">
            <v>1100004837479</v>
          </cell>
          <cell r="T219">
            <v>37135</v>
          </cell>
          <cell r="V219">
            <v>43000261</v>
          </cell>
          <cell r="W219">
            <v>374766</v>
          </cell>
          <cell r="X219">
            <v>15</v>
          </cell>
          <cell r="Y219" t="str">
            <v>Active</v>
          </cell>
          <cell r="AA219">
            <v>8275</v>
          </cell>
        </row>
        <row r="220">
          <cell r="A220">
            <v>8276</v>
          </cell>
          <cell r="B220" t="str">
            <v>Mercy Beaverdale Medical Clinic / Des Moines / IA</v>
          </cell>
          <cell r="D220">
            <v>2</v>
          </cell>
          <cell r="E220" t="str">
            <v>Mercy Beaverdale Medical Clinic (8276)</v>
          </cell>
          <cell r="F220" t="str">
            <v>Mercy Beaverdale Medical Clinic</v>
          </cell>
          <cell r="G220" t="str">
            <v>Des Moines</v>
          </cell>
          <cell r="H220" t="str">
            <v>IA</v>
          </cell>
          <cell r="I220" t="str">
            <v>50310-1948</v>
          </cell>
          <cell r="J220" t="str">
            <v>Des Moines, IA 50310-1948</v>
          </cell>
          <cell r="K220" t="str">
            <v>1750 48th, Ste#1</v>
          </cell>
          <cell r="M220" t="str">
            <v>515-271-6333</v>
          </cell>
          <cell r="N220" t="str">
            <v>System Member Of</v>
          </cell>
          <cell r="O220" t="str">
            <v>Ambulatory Care</v>
          </cell>
          <cell r="P220" t="str">
            <v>Clinic</v>
          </cell>
          <cell r="Q220" t="str">
            <v>AP8090045</v>
          </cell>
          <cell r="R220" t="str">
            <v>H4A4H7N00</v>
          </cell>
          <cell r="S220" t="str">
            <v>1100004074584</v>
          </cell>
          <cell r="T220">
            <v>37135</v>
          </cell>
          <cell r="U220">
            <v>37257</v>
          </cell>
          <cell r="V220">
            <v>43000261</v>
          </cell>
          <cell r="W220">
            <v>374766</v>
          </cell>
          <cell r="X220">
            <v>15</v>
          </cell>
          <cell r="Y220" t="str">
            <v>Active</v>
          </cell>
          <cell r="AA220">
            <v>8276</v>
          </cell>
        </row>
        <row r="221">
          <cell r="A221">
            <v>8277</v>
          </cell>
          <cell r="B221" t="str">
            <v>Mercy South Medical Clinic / Des Moines / IA</v>
          </cell>
          <cell r="D221">
            <v>2</v>
          </cell>
          <cell r="E221" t="str">
            <v>Mercy South Medical Clinic (8277)</v>
          </cell>
          <cell r="F221" t="str">
            <v>Mercy South Medical Clinic</v>
          </cell>
          <cell r="G221" t="str">
            <v>Des Moines</v>
          </cell>
          <cell r="H221" t="str">
            <v>IA</v>
          </cell>
          <cell r="I221" t="str">
            <v>50315</v>
          </cell>
          <cell r="J221" t="str">
            <v>Des Moines, IA 50315</v>
          </cell>
          <cell r="K221" t="str">
            <v>6601 SW 9th</v>
          </cell>
          <cell r="M221" t="str">
            <v>515-643-9400</v>
          </cell>
          <cell r="N221" t="str">
            <v>System Member Of</v>
          </cell>
          <cell r="O221" t="str">
            <v>Ambulatory Care</v>
          </cell>
          <cell r="P221" t="str">
            <v>Clinic</v>
          </cell>
          <cell r="Q221" t="str">
            <v>BM4958419</v>
          </cell>
          <cell r="R221" t="str">
            <v>J2NLDDJ00</v>
          </cell>
          <cell r="S221" t="str">
            <v>1100005627154</v>
          </cell>
          <cell r="T221">
            <v>37135</v>
          </cell>
          <cell r="U221">
            <v>37257</v>
          </cell>
          <cell r="V221">
            <v>43000261</v>
          </cell>
          <cell r="W221">
            <v>374766</v>
          </cell>
          <cell r="X221">
            <v>15</v>
          </cell>
          <cell r="Y221" t="str">
            <v>Active</v>
          </cell>
          <cell r="AA221">
            <v>8277</v>
          </cell>
        </row>
        <row r="222">
          <cell r="A222">
            <v>8278</v>
          </cell>
          <cell r="B222" t="str">
            <v>Mercy Surgical Affiliates &amp; Surgical / Des Moines / IA</v>
          </cell>
          <cell r="D222">
            <v>2</v>
          </cell>
          <cell r="E222" t="str">
            <v>Mercy Surgical Affiliates &amp; Surgical (8278)</v>
          </cell>
          <cell r="F222" t="str">
            <v>Mercy Surgical Affiliates &amp; Surgical</v>
          </cell>
          <cell r="G222" t="str">
            <v>Des Moines</v>
          </cell>
          <cell r="H222" t="str">
            <v>IA</v>
          </cell>
          <cell r="I222" t="str">
            <v>50314-3005</v>
          </cell>
          <cell r="J222" t="str">
            <v>Des Moines, IA 50314-3005</v>
          </cell>
          <cell r="K222" t="str">
            <v>411 Laurel Ste. 2100</v>
          </cell>
          <cell r="M222" t="str">
            <v>515-247-3266</v>
          </cell>
          <cell r="N222" t="str">
            <v>System Member Of</v>
          </cell>
          <cell r="O222" t="str">
            <v>Ambulatory Care</v>
          </cell>
          <cell r="P222" t="str">
            <v>Clinic</v>
          </cell>
          <cell r="Q222" t="str">
            <v>AC3238474</v>
          </cell>
          <cell r="R222" t="str">
            <v>57H88NW00</v>
          </cell>
          <cell r="S222" t="str">
            <v>1100002367626</v>
          </cell>
          <cell r="T222">
            <v>37135</v>
          </cell>
          <cell r="U222">
            <v>37257</v>
          </cell>
          <cell r="V222">
            <v>43000261</v>
          </cell>
          <cell r="W222">
            <v>374766</v>
          </cell>
          <cell r="X222">
            <v>15</v>
          </cell>
          <cell r="Y222" t="str">
            <v>Active</v>
          </cell>
          <cell r="AA222">
            <v>8278</v>
          </cell>
        </row>
        <row r="223">
          <cell r="A223">
            <v>8279</v>
          </cell>
          <cell r="B223" t="str">
            <v>Mercy Geriatric Clinic / Des Moines / IA</v>
          </cell>
          <cell r="D223">
            <v>2</v>
          </cell>
          <cell r="E223" t="str">
            <v>Mercy Geriatric Clinic (8279)</v>
          </cell>
          <cell r="F223" t="str">
            <v>Mercy Geriatric Clinic</v>
          </cell>
          <cell r="G223" t="str">
            <v>Des Moines</v>
          </cell>
          <cell r="H223" t="str">
            <v>IA</v>
          </cell>
          <cell r="I223" t="str">
            <v>50314</v>
          </cell>
          <cell r="J223" t="str">
            <v>Des Moines, IA 50314</v>
          </cell>
          <cell r="K223" t="str">
            <v>411 Laurel St. Ste. A370</v>
          </cell>
          <cell r="M223" t="str">
            <v>515-643-9440</v>
          </cell>
          <cell r="N223" t="str">
            <v>System Member Of</v>
          </cell>
          <cell r="O223" t="str">
            <v>Ambulatory Care</v>
          </cell>
          <cell r="P223" t="str">
            <v>Clinic</v>
          </cell>
          <cell r="R223" t="str">
            <v>L81A8W800</v>
          </cell>
          <cell r="S223" t="str">
            <v>1100003050770</v>
          </cell>
          <cell r="T223">
            <v>37135</v>
          </cell>
          <cell r="V223">
            <v>43000261</v>
          </cell>
          <cell r="W223">
            <v>374766</v>
          </cell>
          <cell r="X223">
            <v>15</v>
          </cell>
          <cell r="Y223" t="str">
            <v>Active</v>
          </cell>
          <cell r="AA223">
            <v>8279</v>
          </cell>
        </row>
        <row r="224">
          <cell r="A224">
            <v>8280</v>
          </cell>
          <cell r="B224" t="str">
            <v>Mercy Psychiatric Services / Des Moines / IA</v>
          </cell>
          <cell r="D224">
            <v>2</v>
          </cell>
          <cell r="E224" t="str">
            <v>Mercy Psychiatric Services (8280)</v>
          </cell>
          <cell r="F224" t="str">
            <v>Mercy Psychiatric Services</v>
          </cell>
          <cell r="G224" t="str">
            <v>Des Moines</v>
          </cell>
          <cell r="H224" t="str">
            <v>IA</v>
          </cell>
          <cell r="I224" t="str">
            <v>50310</v>
          </cell>
          <cell r="J224" t="str">
            <v>Des Moines, IA 50310</v>
          </cell>
          <cell r="K224" t="str">
            <v>1750 48th Ste. 2</v>
          </cell>
          <cell r="M224" t="str">
            <v>515-271-6300</v>
          </cell>
          <cell r="N224" t="str">
            <v>System Member Of</v>
          </cell>
          <cell r="O224" t="str">
            <v>Ambulatory Care</v>
          </cell>
          <cell r="P224" t="str">
            <v>Clinic</v>
          </cell>
          <cell r="R224" t="str">
            <v>G57B9BN00</v>
          </cell>
          <cell r="S224" t="str">
            <v>1100002950965</v>
          </cell>
          <cell r="T224">
            <v>37135</v>
          </cell>
          <cell r="V224">
            <v>43000261</v>
          </cell>
          <cell r="W224">
            <v>374766</v>
          </cell>
          <cell r="X224">
            <v>15</v>
          </cell>
          <cell r="Y224" t="str">
            <v>Active</v>
          </cell>
          <cell r="AA224">
            <v>8280</v>
          </cell>
        </row>
        <row r="225">
          <cell r="A225">
            <v>8281</v>
          </cell>
          <cell r="B225" t="str">
            <v>Valley View Village / Des Moines / IA</v>
          </cell>
          <cell r="D225">
            <v>2</v>
          </cell>
          <cell r="E225" t="str">
            <v>Valley View Village (8281)</v>
          </cell>
          <cell r="F225" t="str">
            <v>Valley View Village</v>
          </cell>
          <cell r="G225" t="str">
            <v>Des Moines</v>
          </cell>
          <cell r="H225" t="str">
            <v>IA</v>
          </cell>
          <cell r="I225" t="str">
            <v>50317</v>
          </cell>
          <cell r="J225" t="str">
            <v>Des Moines, IA 50317</v>
          </cell>
          <cell r="K225" t="str">
            <v>2571 Guthrie</v>
          </cell>
          <cell r="M225" t="str">
            <v>515-265-2571</v>
          </cell>
          <cell r="N225" t="str">
            <v>Affiliate Member Of</v>
          </cell>
          <cell r="O225" t="str">
            <v>Long Term Care</v>
          </cell>
          <cell r="P225" t="str">
            <v>Retirement Community</v>
          </cell>
          <cell r="R225" t="str">
            <v>19ON3J700</v>
          </cell>
          <cell r="S225" t="str">
            <v>1100005633919</v>
          </cell>
          <cell r="T225">
            <v>37438</v>
          </cell>
          <cell r="V225">
            <v>0</v>
          </cell>
          <cell r="W225">
            <v>0</v>
          </cell>
          <cell r="X225">
            <v>15</v>
          </cell>
          <cell r="Y225" t="str">
            <v>Inactive</v>
          </cell>
          <cell r="Z225">
            <v>38625</v>
          </cell>
        </row>
        <row r="226">
          <cell r="A226">
            <v>8298</v>
          </cell>
          <cell r="B226" t="str">
            <v>Mercy Indianola Detroit Medical Clinic / Indianola / IA</v>
          </cell>
          <cell r="D226">
            <v>2</v>
          </cell>
          <cell r="E226" t="str">
            <v>Mercy Indianola Detroit Medical Clinic (8298)</v>
          </cell>
          <cell r="F226" t="str">
            <v>Mercy Indianola Detroit Medical Clinic</v>
          </cell>
          <cell r="G226" t="str">
            <v>Indianola</v>
          </cell>
          <cell r="H226" t="str">
            <v>IA</v>
          </cell>
          <cell r="I226" t="str">
            <v>50125</v>
          </cell>
          <cell r="J226" t="str">
            <v>Indianola, IA 50125</v>
          </cell>
          <cell r="K226" t="str">
            <v>112 East Detroit</v>
          </cell>
          <cell r="M226" t="str">
            <v>515-961-5324</v>
          </cell>
          <cell r="N226" t="str">
            <v>System Member Of</v>
          </cell>
          <cell r="O226" t="str">
            <v>Ambulatory Care</v>
          </cell>
          <cell r="P226" t="str">
            <v>Clinic</v>
          </cell>
          <cell r="Q226" t="str">
            <v>BG6584595</v>
          </cell>
          <cell r="R226" t="str">
            <v>E5V695Y00</v>
          </cell>
          <cell r="S226" t="str">
            <v>1100002089603</v>
          </cell>
          <cell r="T226">
            <v>37135</v>
          </cell>
          <cell r="U226">
            <v>37257</v>
          </cell>
          <cell r="V226">
            <v>43000261</v>
          </cell>
          <cell r="W226">
            <v>374766</v>
          </cell>
          <cell r="X226">
            <v>15</v>
          </cell>
          <cell r="Y226" t="str">
            <v>Active</v>
          </cell>
          <cell r="AA226">
            <v>8298</v>
          </cell>
        </row>
        <row r="227">
          <cell r="A227">
            <v>8299</v>
          </cell>
          <cell r="B227" t="str">
            <v>Mercy Johnston Medical Clinic / Johnston / IA</v>
          </cell>
          <cell r="D227">
            <v>2</v>
          </cell>
          <cell r="E227" t="str">
            <v>Mercy Johnston Medical Clinic (8299)</v>
          </cell>
          <cell r="F227" t="str">
            <v>Mercy Johnston Medical Clinic</v>
          </cell>
          <cell r="G227" t="str">
            <v>Johnston</v>
          </cell>
          <cell r="H227" t="str">
            <v>IA</v>
          </cell>
          <cell r="I227" t="str">
            <v>50131</v>
          </cell>
          <cell r="J227" t="str">
            <v>Johnston, IA 50131</v>
          </cell>
          <cell r="K227" t="str">
            <v>5615 NW 86th Street</v>
          </cell>
          <cell r="M227" t="str">
            <v>515-643-6000</v>
          </cell>
          <cell r="N227" t="str">
            <v>System Member Of</v>
          </cell>
          <cell r="O227" t="str">
            <v>Ambulatory Care</v>
          </cell>
          <cell r="P227" t="str">
            <v>Clinic</v>
          </cell>
          <cell r="Q227" t="str">
            <v>AB8894811</v>
          </cell>
          <cell r="R227" t="str">
            <v>3LP2NRT00</v>
          </cell>
          <cell r="S227" t="str">
            <v>1100005518322</v>
          </cell>
          <cell r="T227">
            <v>37135</v>
          </cell>
          <cell r="U227">
            <v>37257</v>
          </cell>
          <cell r="V227">
            <v>43000261</v>
          </cell>
          <cell r="W227">
            <v>374766</v>
          </cell>
          <cell r="X227">
            <v>15</v>
          </cell>
          <cell r="Y227" t="str">
            <v>Active</v>
          </cell>
          <cell r="AA227">
            <v>8299</v>
          </cell>
        </row>
        <row r="228">
          <cell r="A228">
            <v>8303</v>
          </cell>
          <cell r="B228" t="str">
            <v>Decatur County Hospital / Leon / IA</v>
          </cell>
          <cell r="D228">
            <v>2</v>
          </cell>
          <cell r="E228" t="str">
            <v>Decatur County Hospital (8303)</v>
          </cell>
          <cell r="F228" t="str">
            <v>Decatur County Hospital</v>
          </cell>
          <cell r="G228" t="str">
            <v>Leon</v>
          </cell>
          <cell r="H228" t="str">
            <v>IA</v>
          </cell>
          <cell r="I228" t="str">
            <v>50144</v>
          </cell>
          <cell r="J228" t="str">
            <v>Leon, IA 50144</v>
          </cell>
          <cell r="K228" t="str">
            <v>1405 NW Church Street</v>
          </cell>
          <cell r="M228" t="str">
            <v>641-446-4871</v>
          </cell>
          <cell r="N228" t="str">
            <v>Affiliate Member Of</v>
          </cell>
          <cell r="O228" t="str">
            <v>Acute Care</v>
          </cell>
          <cell r="P228" t="str">
            <v>Hospital</v>
          </cell>
          <cell r="Q228" t="str">
            <v>AD4035932</v>
          </cell>
          <cell r="R228" t="str">
            <v>620870N00</v>
          </cell>
          <cell r="S228" t="str">
            <v>1100003501289</v>
          </cell>
          <cell r="T228">
            <v>37135</v>
          </cell>
          <cell r="U228">
            <v>37257</v>
          </cell>
          <cell r="V228">
            <v>43000261</v>
          </cell>
          <cell r="W228">
            <v>374766</v>
          </cell>
          <cell r="X228">
            <v>15</v>
          </cell>
          <cell r="Y228" t="str">
            <v>Active</v>
          </cell>
          <cell r="AA228">
            <v>8303</v>
          </cell>
        </row>
        <row r="229">
          <cell r="A229">
            <v>8354</v>
          </cell>
          <cell r="B229" t="str">
            <v>Mercy West Internal Medicine Clinic / Des Moines / IA</v>
          </cell>
          <cell r="D229">
            <v>2</v>
          </cell>
          <cell r="E229" t="str">
            <v>Mercy West Internal Medicine Clinic (8354)</v>
          </cell>
          <cell r="F229" t="str">
            <v>Mercy West Internal Medicine Clinic</v>
          </cell>
          <cell r="G229" t="str">
            <v>Des Moines</v>
          </cell>
          <cell r="H229" t="str">
            <v>IA</v>
          </cell>
          <cell r="I229" t="str">
            <v>50325</v>
          </cell>
          <cell r="J229" t="str">
            <v>Des Moines, IA 50325</v>
          </cell>
          <cell r="K229" t="str">
            <v>1601 NW 114th Street</v>
          </cell>
          <cell r="L229" t="str">
            <v>Suite 240</v>
          </cell>
          <cell r="M229" t="str">
            <v>515-222-7700</v>
          </cell>
          <cell r="N229" t="str">
            <v>System Member Of</v>
          </cell>
          <cell r="O229" t="str">
            <v>Ambulatory Care</v>
          </cell>
          <cell r="P229" t="str">
            <v>Clinic</v>
          </cell>
          <cell r="Q229" t="str">
            <v>BR4468852</v>
          </cell>
          <cell r="R229" t="str">
            <v>K2JGEGF00</v>
          </cell>
          <cell r="S229" t="str">
            <v>1100003648212</v>
          </cell>
          <cell r="T229">
            <v>37135</v>
          </cell>
          <cell r="U229">
            <v>37257</v>
          </cell>
          <cell r="V229">
            <v>43000261</v>
          </cell>
          <cell r="W229">
            <v>374766</v>
          </cell>
          <cell r="X229">
            <v>15</v>
          </cell>
          <cell r="Y229" t="str">
            <v>Active</v>
          </cell>
          <cell r="AA229">
            <v>8354</v>
          </cell>
        </row>
        <row r="230">
          <cell r="A230">
            <v>8366</v>
          </cell>
          <cell r="B230" t="str">
            <v>Mercy West Pediatric Clinic / Des Moines / IA</v>
          </cell>
          <cell r="D230">
            <v>2</v>
          </cell>
          <cell r="E230" t="str">
            <v>Mercy West Pediatric Clinic (8366)</v>
          </cell>
          <cell r="F230" t="str">
            <v>Mercy West Pediatric Clinic</v>
          </cell>
          <cell r="G230" t="str">
            <v>Des Moines</v>
          </cell>
          <cell r="H230" t="str">
            <v>IA</v>
          </cell>
          <cell r="I230" t="str">
            <v>50325</v>
          </cell>
          <cell r="J230" t="str">
            <v>Des Moines, IA 50325</v>
          </cell>
          <cell r="K230" t="str">
            <v>1601 NW 114th Street</v>
          </cell>
          <cell r="L230" t="str">
            <v>Suite 345</v>
          </cell>
          <cell r="M230" t="str">
            <v>515-222-7337</v>
          </cell>
          <cell r="N230" t="str">
            <v>System Member Of</v>
          </cell>
          <cell r="O230" t="str">
            <v>Ambulatory Care</v>
          </cell>
          <cell r="P230" t="str">
            <v>Clinic</v>
          </cell>
          <cell r="Q230" t="str">
            <v>BC1609265</v>
          </cell>
          <cell r="R230" t="str">
            <v>HK5AQ9F00</v>
          </cell>
          <cell r="S230" t="str">
            <v>1100003844102</v>
          </cell>
          <cell r="T230">
            <v>37135</v>
          </cell>
          <cell r="U230">
            <v>37257</v>
          </cell>
          <cell r="V230">
            <v>43000261</v>
          </cell>
          <cell r="W230">
            <v>374766</v>
          </cell>
          <cell r="X230">
            <v>15</v>
          </cell>
          <cell r="Y230" t="str">
            <v>Active</v>
          </cell>
          <cell r="AA230">
            <v>8366</v>
          </cell>
        </row>
        <row r="231">
          <cell r="A231">
            <v>8367</v>
          </cell>
          <cell r="B231" t="str">
            <v>Mercy Ear, Nose and Throat Clinic / Des Moines / IA</v>
          </cell>
          <cell r="D231">
            <v>2</v>
          </cell>
          <cell r="E231" t="str">
            <v>Mercy Ear, Nose and Throat Clinic (8367)</v>
          </cell>
          <cell r="F231" t="str">
            <v>Mercy Ear, Nose and Throat Clinic</v>
          </cell>
          <cell r="G231" t="str">
            <v>Des Moines</v>
          </cell>
          <cell r="H231" t="str">
            <v>IA</v>
          </cell>
          <cell r="I231" t="str">
            <v>50325</v>
          </cell>
          <cell r="J231" t="str">
            <v>Des Moines, IA 50325</v>
          </cell>
          <cell r="K231" t="str">
            <v>1601 NW 114th Street</v>
          </cell>
          <cell r="L231" t="str">
            <v>Suite 240</v>
          </cell>
          <cell r="M231" t="str">
            <v>515-222-7761</v>
          </cell>
          <cell r="N231" t="str">
            <v>System Member Of</v>
          </cell>
          <cell r="O231" t="str">
            <v>Ambulatory Care</v>
          </cell>
          <cell r="P231" t="str">
            <v>Clinic</v>
          </cell>
          <cell r="Q231" t="str">
            <v>BG1039127</v>
          </cell>
          <cell r="R231" t="str">
            <v>31QTWN600</v>
          </cell>
          <cell r="S231" t="str">
            <v>1100003529429</v>
          </cell>
          <cell r="T231">
            <v>37135</v>
          </cell>
          <cell r="U231">
            <v>37257</v>
          </cell>
          <cell r="V231">
            <v>43000261</v>
          </cell>
          <cell r="W231">
            <v>374766</v>
          </cell>
          <cell r="X231">
            <v>15</v>
          </cell>
          <cell r="Y231" t="str">
            <v>Active</v>
          </cell>
          <cell r="AA231">
            <v>8367</v>
          </cell>
        </row>
        <row r="232">
          <cell r="A232">
            <v>8391</v>
          </cell>
          <cell r="B232" t="str">
            <v>Mercy Medical Center - Centerville / Centerville / IA</v>
          </cell>
          <cell r="D232">
            <v>2</v>
          </cell>
          <cell r="E232" t="str">
            <v>Mercy Medical Center - Centerville (8391)</v>
          </cell>
          <cell r="F232" t="str">
            <v>Mercy Medical Center - Centerville</v>
          </cell>
          <cell r="G232" t="str">
            <v>Centerville</v>
          </cell>
          <cell r="H232" t="str">
            <v>IA</v>
          </cell>
          <cell r="I232" t="str">
            <v>52544-9803</v>
          </cell>
          <cell r="J232" t="str">
            <v>Centerville, IA 52544-9803</v>
          </cell>
          <cell r="K232" t="str">
            <v>One St. Joseph Drive</v>
          </cell>
          <cell r="M232" t="str">
            <v>641-437-4111</v>
          </cell>
          <cell r="N232" t="str">
            <v>System Member Of</v>
          </cell>
          <cell r="O232" t="str">
            <v>Acute Care</v>
          </cell>
          <cell r="P232" t="str">
            <v>Hospital</v>
          </cell>
          <cell r="Q232" t="str">
            <v>AS4037479</v>
          </cell>
          <cell r="R232" t="str">
            <v>620180H00</v>
          </cell>
          <cell r="S232" t="str">
            <v>1100002351458</v>
          </cell>
          <cell r="T232">
            <v>37135</v>
          </cell>
          <cell r="U232">
            <v>37257</v>
          </cell>
          <cell r="V232">
            <v>43000261</v>
          </cell>
          <cell r="W232">
            <v>374766</v>
          </cell>
          <cell r="X232">
            <v>15</v>
          </cell>
          <cell r="Y232" t="str">
            <v>Active</v>
          </cell>
          <cell r="AA232">
            <v>8391</v>
          </cell>
        </row>
        <row r="233">
          <cell r="A233">
            <v>8441</v>
          </cell>
          <cell r="B233" t="str">
            <v>Franciscan Health System Care Center at Tacoma / Tacoma / WA</v>
          </cell>
          <cell r="D233">
            <v>0</v>
          </cell>
          <cell r="E233" t="str">
            <v>Franciscan Health System Care Center at Tacoma (8441)</v>
          </cell>
          <cell r="F233" t="str">
            <v>Franciscan Health System Care Center at Tacoma</v>
          </cell>
          <cell r="G233" t="str">
            <v>Tacoma</v>
          </cell>
          <cell r="H233" t="str">
            <v>WA</v>
          </cell>
          <cell r="I233" t="str">
            <v>98408</v>
          </cell>
          <cell r="J233" t="str">
            <v>Tacoma, WA 98408</v>
          </cell>
          <cell r="K233" t="str">
            <v>6220 South Alaska</v>
          </cell>
          <cell r="M233" t="str">
            <v>253-476-5300</v>
          </cell>
          <cell r="N233" t="str">
            <v>System Member Of</v>
          </cell>
          <cell r="O233" t="str">
            <v>Long Term Care</v>
          </cell>
          <cell r="P233" t="str">
            <v>Nursing Home w/o Pharmacy</v>
          </cell>
          <cell r="R233" t="str">
            <v>9TNL7EV00</v>
          </cell>
          <cell r="S233" t="str">
            <v>1100005542280</v>
          </cell>
          <cell r="T233">
            <v>37073</v>
          </cell>
          <cell r="V233">
            <v>0</v>
          </cell>
          <cell r="W233">
            <v>0</v>
          </cell>
          <cell r="X233">
            <v>67</v>
          </cell>
          <cell r="Y233" t="str">
            <v>Inactive</v>
          </cell>
          <cell r="Z233">
            <v>38929</v>
          </cell>
          <cell r="AA233">
            <v>8441</v>
          </cell>
        </row>
        <row r="234">
          <cell r="A234">
            <v>8537</v>
          </cell>
          <cell r="B234" t="str">
            <v>Mercy Outpatient Pharmacy / Des Moines / IA</v>
          </cell>
          <cell r="D234">
            <v>2</v>
          </cell>
          <cell r="E234" t="str">
            <v>Mercy Outpatient Pharmacy (8537)</v>
          </cell>
          <cell r="F234" t="str">
            <v>Mercy Outpatient Pharmacy</v>
          </cell>
          <cell r="G234" t="str">
            <v>Des Moines</v>
          </cell>
          <cell r="H234" t="str">
            <v>IA</v>
          </cell>
          <cell r="I234" t="str">
            <v>50314-3101</v>
          </cell>
          <cell r="J234" t="str">
            <v>Des Moines, IA 50314-3101</v>
          </cell>
          <cell r="K234" t="str">
            <v>1111 6th Avenue, West Building</v>
          </cell>
          <cell r="L234" t="str">
            <v>Suite 400</v>
          </cell>
          <cell r="M234" t="str">
            <v>515-643-4429</v>
          </cell>
          <cell r="N234" t="str">
            <v>System Member Of</v>
          </cell>
          <cell r="O234" t="str">
            <v>Retail</v>
          </cell>
          <cell r="P234" t="str">
            <v>Hospital Outpatient Retail Pharmacy</v>
          </cell>
          <cell r="R234" t="str">
            <v>K7QL2BF00</v>
          </cell>
          <cell r="S234" t="str">
            <v>1100002865948</v>
          </cell>
          <cell r="T234">
            <v>37135</v>
          </cell>
          <cell r="V234">
            <v>43000261</v>
          </cell>
          <cell r="W234">
            <v>374766</v>
          </cell>
          <cell r="X234">
            <v>15</v>
          </cell>
          <cell r="Y234" t="str">
            <v>Active</v>
          </cell>
          <cell r="AA234">
            <v>8537</v>
          </cell>
        </row>
        <row r="235">
          <cell r="A235">
            <v>8541</v>
          </cell>
          <cell r="B235" t="str">
            <v>Concentra Medical Center / Urbandale / IA</v>
          </cell>
          <cell r="D235">
            <v>2</v>
          </cell>
          <cell r="E235" t="str">
            <v>Concentra Medical Center (8541)</v>
          </cell>
          <cell r="F235" t="str">
            <v>Concentra Medical Center</v>
          </cell>
          <cell r="G235" t="str">
            <v>Urbandale</v>
          </cell>
          <cell r="H235" t="str">
            <v>IA</v>
          </cell>
          <cell r="I235" t="str">
            <v>50322</v>
          </cell>
          <cell r="J235" t="str">
            <v>Urbandale, IA 50322</v>
          </cell>
          <cell r="K235" t="str">
            <v>11144 Aurora</v>
          </cell>
          <cell r="M235" t="str">
            <v>515-278-6868</v>
          </cell>
          <cell r="N235" t="str">
            <v>Affiliate Member Of</v>
          </cell>
          <cell r="O235" t="str">
            <v>Ambulatory Care</v>
          </cell>
          <cell r="P235" t="str">
            <v>Clinic</v>
          </cell>
          <cell r="R235" t="str">
            <v>26CLHPB00</v>
          </cell>
          <cell r="S235" t="str">
            <v>1100002011673</v>
          </cell>
          <cell r="T235">
            <v>37438</v>
          </cell>
          <cell r="V235">
            <v>0</v>
          </cell>
          <cell r="W235">
            <v>0</v>
          </cell>
          <cell r="X235">
            <v>15</v>
          </cell>
          <cell r="Y235" t="str">
            <v>Inactive</v>
          </cell>
          <cell r="Z235">
            <v>38625</v>
          </cell>
        </row>
        <row r="236">
          <cell r="A236">
            <v>8564</v>
          </cell>
          <cell r="B236" t="str">
            <v>Mercy Outpatient Pharmacy - Hospital / Des Moines / IA</v>
          </cell>
          <cell r="D236">
            <v>2</v>
          </cell>
          <cell r="E236" t="str">
            <v>Mercy Outpatient Pharmacy - Hospital (8564)</v>
          </cell>
          <cell r="F236" t="str">
            <v>Mercy Outpatient Pharmacy - Hospital</v>
          </cell>
          <cell r="G236" t="str">
            <v>Des Moines</v>
          </cell>
          <cell r="H236" t="str">
            <v>IA</v>
          </cell>
          <cell r="I236" t="str">
            <v>50314-3101</v>
          </cell>
          <cell r="J236" t="str">
            <v>Des Moines, IA 50314-3101</v>
          </cell>
          <cell r="K236" t="str">
            <v>1111 6th Ave.</v>
          </cell>
          <cell r="M236" t="str">
            <v>515-247-3280</v>
          </cell>
          <cell r="N236" t="str">
            <v>System Member Of</v>
          </cell>
          <cell r="O236" t="str">
            <v>Retail</v>
          </cell>
          <cell r="P236" t="str">
            <v>Hospital Outpatient Retail Pharmacy</v>
          </cell>
          <cell r="Q236" t="str">
            <v>AM2449963</v>
          </cell>
          <cell r="R236" t="str">
            <v>620450HF2</v>
          </cell>
          <cell r="S236" t="str">
            <v>1100005234512</v>
          </cell>
          <cell r="T236">
            <v>37135</v>
          </cell>
          <cell r="U236">
            <v>38596</v>
          </cell>
          <cell r="V236">
            <v>43000261</v>
          </cell>
          <cell r="W236">
            <v>374766</v>
          </cell>
          <cell r="X236">
            <v>15</v>
          </cell>
          <cell r="Y236" t="str">
            <v>Active</v>
          </cell>
          <cell r="AA236">
            <v>8564</v>
          </cell>
        </row>
        <row r="237">
          <cell r="A237">
            <v>8566</v>
          </cell>
          <cell r="B237" t="str">
            <v>Mercy Franklin Apothocary Clinic / Des Moines / IA</v>
          </cell>
          <cell r="D237">
            <v>2</v>
          </cell>
          <cell r="E237" t="str">
            <v>Mercy Franklin Apothocary Clinic (8566)</v>
          </cell>
          <cell r="F237" t="str">
            <v>Mercy Franklin Apothocary Clinic</v>
          </cell>
          <cell r="G237" t="str">
            <v>Des Moines</v>
          </cell>
          <cell r="H237" t="str">
            <v>IA</v>
          </cell>
          <cell r="I237" t="str">
            <v>50310-1948</v>
          </cell>
          <cell r="J237" t="str">
            <v>Des Moines, IA 50310-1948</v>
          </cell>
          <cell r="K237" t="str">
            <v>1750 48th St.</v>
          </cell>
          <cell r="L237" t="str">
            <v>Suite 4</v>
          </cell>
          <cell r="M237" t="str">
            <v>515-271-6462</v>
          </cell>
          <cell r="N237" t="str">
            <v>System Member Of</v>
          </cell>
          <cell r="O237" t="str">
            <v>Ambulatory Care</v>
          </cell>
          <cell r="P237" t="str">
            <v>Clinic</v>
          </cell>
          <cell r="R237" t="str">
            <v>J8KP7MTF1</v>
          </cell>
          <cell r="S237" t="str">
            <v>1100004533722</v>
          </cell>
          <cell r="T237">
            <v>37438</v>
          </cell>
          <cell r="V237">
            <v>0</v>
          </cell>
          <cell r="W237">
            <v>0</v>
          </cell>
          <cell r="X237">
            <v>15</v>
          </cell>
          <cell r="Y237" t="str">
            <v>Inactive</v>
          </cell>
          <cell r="Z237">
            <v>38686</v>
          </cell>
        </row>
        <row r="238">
          <cell r="A238">
            <v>8567</v>
          </cell>
          <cell r="B238" t="str">
            <v>Mercy Franklin Center / Des Moines / IA</v>
          </cell>
          <cell r="D238">
            <v>2</v>
          </cell>
          <cell r="E238" t="str">
            <v>Mercy Franklin Center (8567)</v>
          </cell>
          <cell r="F238" t="str">
            <v>Mercy Franklin Center</v>
          </cell>
          <cell r="G238" t="str">
            <v>Des Moines</v>
          </cell>
          <cell r="H238" t="str">
            <v>IA</v>
          </cell>
          <cell r="I238" t="str">
            <v>50310-1948</v>
          </cell>
          <cell r="J238" t="str">
            <v>Des Moines, IA 50310-1948</v>
          </cell>
          <cell r="K238" t="str">
            <v>1750 48th St.</v>
          </cell>
          <cell r="M238" t="str">
            <v>515-271-6466</v>
          </cell>
          <cell r="N238" t="str">
            <v>System Member Of</v>
          </cell>
          <cell r="O238" t="str">
            <v>Acute Care</v>
          </cell>
          <cell r="P238" t="str">
            <v>Hospital</v>
          </cell>
          <cell r="Q238" t="str">
            <v>BM3907005</v>
          </cell>
          <cell r="R238" t="str">
            <v>620410D00</v>
          </cell>
          <cell r="S238" t="str">
            <v>1100004619853</v>
          </cell>
          <cell r="T238">
            <v>37135</v>
          </cell>
          <cell r="U238">
            <v>37257</v>
          </cell>
          <cell r="V238">
            <v>43000261</v>
          </cell>
          <cell r="W238">
            <v>374766</v>
          </cell>
          <cell r="X238">
            <v>15</v>
          </cell>
          <cell r="Y238" t="str">
            <v>Active</v>
          </cell>
          <cell r="AA238">
            <v>8567</v>
          </cell>
        </row>
        <row r="239">
          <cell r="A239">
            <v>8568</v>
          </cell>
          <cell r="B239" t="str">
            <v>Mercy In-Patient Pharmacy / Des Moines / IA</v>
          </cell>
          <cell r="D239">
            <v>2</v>
          </cell>
          <cell r="E239" t="str">
            <v>Mercy In-Patient Pharmacy (8568)</v>
          </cell>
          <cell r="F239" t="str">
            <v>Mercy In-Patient Pharmacy</v>
          </cell>
          <cell r="G239" t="str">
            <v>Des Moines</v>
          </cell>
          <cell r="H239" t="str">
            <v>IA</v>
          </cell>
          <cell r="I239" t="str">
            <v>50310-1948</v>
          </cell>
          <cell r="J239" t="str">
            <v>Des Moines, IA 50310-1948</v>
          </cell>
          <cell r="K239" t="str">
            <v>1750 48th St.</v>
          </cell>
          <cell r="L239" t="str">
            <v>Suite 1</v>
          </cell>
          <cell r="M239" t="str">
            <v>515-271-6466</v>
          </cell>
          <cell r="N239" t="str">
            <v>System Member Of</v>
          </cell>
          <cell r="O239" t="str">
            <v>Acute Care</v>
          </cell>
          <cell r="P239" t="str">
            <v>Hospital Outpatient Pharmacy (Closed-Door)</v>
          </cell>
          <cell r="S239" t="str">
            <v>1100004710802</v>
          </cell>
          <cell r="T239">
            <v>37135</v>
          </cell>
          <cell r="V239">
            <v>43000261</v>
          </cell>
          <cell r="W239">
            <v>374766</v>
          </cell>
          <cell r="X239">
            <v>15</v>
          </cell>
          <cell r="Y239" t="str">
            <v>Active</v>
          </cell>
          <cell r="AA239">
            <v>8568</v>
          </cell>
        </row>
        <row r="240">
          <cell r="A240">
            <v>8642</v>
          </cell>
          <cell r="B240" t="str">
            <v>Mercy In-patient Pharmacy / Des Moines / IA</v>
          </cell>
          <cell r="D240">
            <v>2</v>
          </cell>
          <cell r="E240" t="str">
            <v>Mercy In-patient Pharmacy (8642)</v>
          </cell>
          <cell r="F240" t="str">
            <v>Mercy In-patient Pharmacy</v>
          </cell>
          <cell r="G240" t="str">
            <v>Des Moines</v>
          </cell>
          <cell r="H240" t="str">
            <v>IA</v>
          </cell>
          <cell r="I240" t="str">
            <v>50314-3101</v>
          </cell>
          <cell r="J240" t="str">
            <v>Des Moines, IA 50314-3101</v>
          </cell>
          <cell r="K240" t="str">
            <v>1111 6th Avenue</v>
          </cell>
          <cell r="M240" t="str">
            <v>515-247-3280</v>
          </cell>
          <cell r="N240" t="str">
            <v>System Member Of</v>
          </cell>
          <cell r="O240" t="str">
            <v>Acute Care</v>
          </cell>
          <cell r="P240" t="str">
            <v>Hospital Outpatient Pharmacy (Closed-Door)</v>
          </cell>
          <cell r="R240" t="str">
            <v>620450HF0</v>
          </cell>
          <cell r="S240" t="str">
            <v>1100002737986</v>
          </cell>
          <cell r="T240">
            <v>37135</v>
          </cell>
          <cell r="V240">
            <v>43000261</v>
          </cell>
          <cell r="W240">
            <v>374766</v>
          </cell>
          <cell r="X240">
            <v>15</v>
          </cell>
          <cell r="Y240" t="str">
            <v>Active</v>
          </cell>
          <cell r="AA240">
            <v>8642</v>
          </cell>
        </row>
        <row r="241">
          <cell r="A241">
            <v>8647</v>
          </cell>
          <cell r="B241" t="str">
            <v>Franciscan Pharmacy Federal Way / Federal Way / WA</v>
          </cell>
          <cell r="D241">
            <v>3</v>
          </cell>
          <cell r="E241" t="str">
            <v>Franciscan Pharmacy Federal Way (8647)</v>
          </cell>
          <cell r="F241" t="str">
            <v>Franciscan Pharmacy Federal Way</v>
          </cell>
          <cell r="G241" t="str">
            <v>Federal Way</v>
          </cell>
          <cell r="H241" t="str">
            <v>WA</v>
          </cell>
          <cell r="I241" t="str">
            <v>98003</v>
          </cell>
          <cell r="J241" t="str">
            <v>Federal Way, WA 98003</v>
          </cell>
          <cell r="K241" t="str">
            <v>34515 9th Ave. S</v>
          </cell>
          <cell r="M241" t="str">
            <v>253-942-4040</v>
          </cell>
          <cell r="N241" t="str">
            <v>System Member Of</v>
          </cell>
          <cell r="O241" t="str">
            <v>Retail</v>
          </cell>
          <cell r="P241" t="str">
            <v>Hospital Outpatient Retail Pharmacy</v>
          </cell>
          <cell r="Q241" t="str">
            <v>BF5692529</v>
          </cell>
          <cell r="R241" t="str">
            <v>KENC0YV00</v>
          </cell>
          <cell r="S241" t="str">
            <v>1100005872059</v>
          </cell>
          <cell r="T241">
            <v>37073</v>
          </cell>
          <cell r="U241">
            <v>37257</v>
          </cell>
          <cell r="V241">
            <v>43000261</v>
          </cell>
          <cell r="W241">
            <v>1502846</v>
          </cell>
          <cell r="X241">
            <v>63</v>
          </cell>
          <cell r="Y241" t="str">
            <v>Active</v>
          </cell>
          <cell r="AA241">
            <v>8647</v>
          </cell>
        </row>
        <row r="242">
          <cell r="A242">
            <v>8648</v>
          </cell>
          <cell r="B242" t="str">
            <v>Franciscan Pharmacy Tacoma South / Tacoma / WA</v>
          </cell>
          <cell r="D242">
            <v>3</v>
          </cell>
          <cell r="E242" t="str">
            <v>Franciscan Pharmacy Tacoma South (8648)</v>
          </cell>
          <cell r="F242" t="str">
            <v>Franciscan Pharmacy Tacoma South</v>
          </cell>
          <cell r="G242" t="str">
            <v>Tacoma</v>
          </cell>
          <cell r="H242" t="str">
            <v>WA</v>
          </cell>
          <cell r="I242" t="str">
            <v>98444</v>
          </cell>
          <cell r="J242" t="str">
            <v>Tacoma, WA 98444</v>
          </cell>
          <cell r="K242" t="str">
            <v>2111 South 90th Street</v>
          </cell>
          <cell r="M242" t="str">
            <v>253-535-5615</v>
          </cell>
          <cell r="N242" t="str">
            <v>System Member Of</v>
          </cell>
          <cell r="O242" t="str">
            <v>Retail</v>
          </cell>
          <cell r="P242" t="str">
            <v>Free-standing Outpatient Retail Pharmacy</v>
          </cell>
          <cell r="Q242" t="str">
            <v>BF4644907</v>
          </cell>
          <cell r="R242" t="str">
            <v>HGKJK2M00</v>
          </cell>
          <cell r="S242" t="str">
            <v>1100005756861</v>
          </cell>
          <cell r="T242">
            <v>37073</v>
          </cell>
          <cell r="U242">
            <v>37257</v>
          </cell>
          <cell r="V242">
            <v>43000261</v>
          </cell>
          <cell r="W242">
            <v>960546</v>
          </cell>
          <cell r="X242">
            <v>64</v>
          </cell>
          <cell r="Y242" t="str">
            <v>Active</v>
          </cell>
          <cell r="AA242">
            <v>8648</v>
          </cell>
        </row>
        <row r="243">
          <cell r="A243">
            <v>8649</v>
          </cell>
          <cell r="B243" t="str">
            <v>Century Plaza Pharmacy / Tacoma / WA</v>
          </cell>
          <cell r="D243">
            <v>3</v>
          </cell>
          <cell r="E243" t="str">
            <v>Century Plaza Pharmacy (8649)</v>
          </cell>
          <cell r="F243" t="str">
            <v>Century Plaza Pharmacy</v>
          </cell>
          <cell r="G243" t="str">
            <v>Tacoma</v>
          </cell>
          <cell r="H243" t="str">
            <v>WA</v>
          </cell>
          <cell r="I243" t="str">
            <v>98405</v>
          </cell>
          <cell r="J243" t="str">
            <v>Tacoma, WA 98405</v>
          </cell>
          <cell r="K243" t="str">
            <v>1708 South Yakima</v>
          </cell>
          <cell r="M243" t="str">
            <v>253-426-6920</v>
          </cell>
          <cell r="N243" t="str">
            <v>Affiliate Member Of</v>
          </cell>
          <cell r="O243" t="str">
            <v>Retail</v>
          </cell>
          <cell r="P243" t="str">
            <v>Free-standing Outpatient Retail Pharmacy</v>
          </cell>
          <cell r="Q243" t="str">
            <v>BS2765090</v>
          </cell>
          <cell r="R243" t="str">
            <v>479LI2PF0</v>
          </cell>
          <cell r="S243" t="str">
            <v>1100003706554</v>
          </cell>
          <cell r="T243">
            <v>37073</v>
          </cell>
          <cell r="U243">
            <v>37257</v>
          </cell>
          <cell r="V243">
            <v>43000261</v>
          </cell>
          <cell r="W243">
            <v>960546</v>
          </cell>
          <cell r="X243">
            <v>64</v>
          </cell>
          <cell r="Y243" t="str">
            <v>Active</v>
          </cell>
          <cell r="AA243">
            <v>8649</v>
          </cell>
        </row>
        <row r="244">
          <cell r="A244">
            <v>8658</v>
          </cell>
          <cell r="B244" t="str">
            <v>Apothecare Littleton Pharmacy / Littleton / CO</v>
          </cell>
          <cell r="D244">
            <v>5</v>
          </cell>
          <cell r="E244" t="str">
            <v>Apothecare Littleton Pharmacy (8658)</v>
          </cell>
          <cell r="F244" t="str">
            <v>Apothecare Littleton Pharmacy</v>
          </cell>
          <cell r="G244" t="str">
            <v>Littleton</v>
          </cell>
          <cell r="H244" t="str">
            <v>CO</v>
          </cell>
          <cell r="I244" t="str">
            <v>80122</v>
          </cell>
          <cell r="J244" t="str">
            <v>Littleton, CO 80122</v>
          </cell>
          <cell r="K244" t="str">
            <v>7780 S. Broadway</v>
          </cell>
          <cell r="L244" t="str">
            <v>Suite 190</v>
          </cell>
          <cell r="M244" t="str">
            <v>303-738-2662</v>
          </cell>
          <cell r="N244" t="str">
            <v>Affiliate Member Of</v>
          </cell>
          <cell r="O244" t="str">
            <v>Retail</v>
          </cell>
          <cell r="P244" t="str">
            <v>Hospital Outpatient Retail Pharmacy</v>
          </cell>
          <cell r="Q244" t="str">
            <v>BA4666725</v>
          </cell>
          <cell r="R244" t="str">
            <v>D6T73E000</v>
          </cell>
          <cell r="S244" t="str">
            <v>1100002505707</v>
          </cell>
          <cell r="T244">
            <v>37073</v>
          </cell>
          <cell r="U244">
            <v>37257</v>
          </cell>
          <cell r="V244">
            <v>0</v>
          </cell>
          <cell r="W244">
            <v>0</v>
          </cell>
          <cell r="X244">
            <v>4</v>
          </cell>
          <cell r="Y244" t="str">
            <v>Inactive</v>
          </cell>
          <cell r="Z244">
            <v>39387</v>
          </cell>
          <cell r="AA244">
            <v>8658</v>
          </cell>
        </row>
        <row r="245">
          <cell r="A245">
            <v>8659</v>
          </cell>
          <cell r="B245" t="str">
            <v>Apothecare Porter Pharmacy / Denver / CO</v>
          </cell>
          <cell r="D245">
            <v>5</v>
          </cell>
          <cell r="E245" t="str">
            <v>Apothecare Porter Pharmacy (8659)</v>
          </cell>
          <cell r="F245" t="str">
            <v>Apothecare Porter Pharmacy</v>
          </cell>
          <cell r="G245" t="str">
            <v>Denver</v>
          </cell>
          <cell r="H245" t="str">
            <v>CO</v>
          </cell>
          <cell r="I245" t="str">
            <v>80210</v>
          </cell>
          <cell r="J245" t="str">
            <v>Denver, CO 80210</v>
          </cell>
          <cell r="K245" t="str">
            <v>2535 S. Downing Street</v>
          </cell>
          <cell r="L245" t="str">
            <v>Suite G10</v>
          </cell>
          <cell r="M245" t="str">
            <v>303-778-2427</v>
          </cell>
          <cell r="N245" t="str">
            <v>Affiliate Member Of</v>
          </cell>
          <cell r="O245" t="str">
            <v>Retail</v>
          </cell>
          <cell r="P245" t="str">
            <v>Hospital Outpatient Retail Pharmacy</v>
          </cell>
          <cell r="Q245" t="str">
            <v>BA3702582</v>
          </cell>
          <cell r="R245" t="str">
            <v>NEHVUEL00</v>
          </cell>
          <cell r="S245" t="str">
            <v>1100002185114</v>
          </cell>
          <cell r="T245">
            <v>37073</v>
          </cell>
          <cell r="U245">
            <v>37257</v>
          </cell>
          <cell r="V245">
            <v>43000261</v>
          </cell>
          <cell r="W245">
            <v>102381</v>
          </cell>
          <cell r="X245">
            <v>4</v>
          </cell>
          <cell r="Y245" t="str">
            <v>Active</v>
          </cell>
          <cell r="AA245">
            <v>8659</v>
          </cell>
        </row>
        <row r="246">
          <cell r="A246">
            <v>8742</v>
          </cell>
          <cell r="B246" t="str">
            <v>Bluegrass Regional Imaging / Lexington / KY</v>
          </cell>
          <cell r="D246">
            <v>1</v>
          </cell>
          <cell r="E246" t="str">
            <v>Bluegrass Regional Imaging (8742)</v>
          </cell>
          <cell r="F246" t="str">
            <v>Bluegrass Regional Imaging</v>
          </cell>
          <cell r="G246" t="str">
            <v>Lexington</v>
          </cell>
          <cell r="H246" t="str">
            <v>KY</v>
          </cell>
          <cell r="I246" t="str">
            <v>40504</v>
          </cell>
          <cell r="J246" t="str">
            <v>Lexington, KY 40504</v>
          </cell>
          <cell r="K246" t="str">
            <v>701 Bob-O-Link Dr,  Suite 245</v>
          </cell>
          <cell r="M246" t="str">
            <v>859-267-2157</v>
          </cell>
          <cell r="N246" t="str">
            <v>Affiliate Member Of</v>
          </cell>
          <cell r="O246" t="str">
            <v>Ambulatory Care</v>
          </cell>
          <cell r="P246" t="str">
            <v>Diagnostic Imaging Center</v>
          </cell>
          <cell r="R246" t="str">
            <v>1JXCY9000</v>
          </cell>
          <cell r="S246" t="str">
            <v>1100003277221</v>
          </cell>
          <cell r="T246">
            <v>37438</v>
          </cell>
          <cell r="V246">
            <v>43000261</v>
          </cell>
          <cell r="W246">
            <v>379209</v>
          </cell>
          <cell r="X246">
            <v>26</v>
          </cell>
          <cell r="Y246" t="str">
            <v>Active</v>
          </cell>
          <cell r="AA246">
            <v>8742</v>
          </cell>
        </row>
        <row r="247">
          <cell r="A247">
            <v>8785</v>
          </cell>
          <cell r="B247" t="str">
            <v>St. Catherine Home Health Store / Garden City / KS</v>
          </cell>
          <cell r="D247">
            <v>2</v>
          </cell>
          <cell r="E247" t="str">
            <v>St. Catherine Home Health Store (8785)</v>
          </cell>
          <cell r="F247" t="str">
            <v>St. Catherine Home Health Store</v>
          </cell>
          <cell r="G247" t="str">
            <v>Garden City</v>
          </cell>
          <cell r="H247" t="str">
            <v>KS</v>
          </cell>
          <cell r="I247" t="str">
            <v>67846</v>
          </cell>
          <cell r="J247" t="str">
            <v>Garden City, KS 67846</v>
          </cell>
          <cell r="K247" t="str">
            <v xml:space="preserve">601 N. Main </v>
          </cell>
          <cell r="M247" t="str">
            <v>620-272-2660</v>
          </cell>
          <cell r="N247" t="str">
            <v>System Member Of</v>
          </cell>
          <cell r="O247" t="str">
            <v>Retail</v>
          </cell>
          <cell r="P247" t="str">
            <v>Durable Medical Equipment Dealer (DME)</v>
          </cell>
          <cell r="R247" t="str">
            <v>F49KYFP00</v>
          </cell>
          <cell r="S247" t="str">
            <v>1100003714320</v>
          </cell>
          <cell r="T247">
            <v>37926</v>
          </cell>
          <cell r="V247">
            <v>43000261</v>
          </cell>
          <cell r="W247">
            <v>374774</v>
          </cell>
          <cell r="X247">
            <v>19</v>
          </cell>
          <cell r="Y247" t="str">
            <v>Active</v>
          </cell>
          <cell r="AA247">
            <v>8785</v>
          </cell>
        </row>
        <row r="248">
          <cell r="A248">
            <v>8811</v>
          </cell>
          <cell r="B248" t="str">
            <v>Summit Surgery Center - Birthplace at Summit / Frisco / CO</v>
          </cell>
          <cell r="D248">
            <v>0</v>
          </cell>
          <cell r="E248" t="str">
            <v>Summit Surgery Center - Birthplace at Summit (8811)</v>
          </cell>
          <cell r="F248" t="str">
            <v>Summit Surgery Center - Birthplace at Summit</v>
          </cell>
          <cell r="G248" t="str">
            <v>Frisco</v>
          </cell>
          <cell r="H248" t="str">
            <v>CO</v>
          </cell>
          <cell r="I248" t="str">
            <v>80443</v>
          </cell>
          <cell r="J248" t="str">
            <v>Frisco, CO 80443</v>
          </cell>
          <cell r="K248" t="str">
            <v>Highway 9 at School Road</v>
          </cell>
          <cell r="L248" t="str">
            <v>P.O. Box 4460</v>
          </cell>
          <cell r="M248" t="str">
            <v>970-668-3300</v>
          </cell>
          <cell r="N248" t="str">
            <v>Affiliate Member Of</v>
          </cell>
          <cell r="O248" t="str">
            <v>Acute Care</v>
          </cell>
          <cell r="P248" t="str">
            <v>Surgery Center</v>
          </cell>
          <cell r="Q248" t="str">
            <v>BS3937870</v>
          </cell>
          <cell r="R248" t="str">
            <v>8AXFYC400</v>
          </cell>
          <cell r="S248" t="str">
            <v>1100002273507</v>
          </cell>
          <cell r="T248">
            <v>37347</v>
          </cell>
          <cell r="V248">
            <v>0</v>
          </cell>
          <cell r="W248">
            <v>0</v>
          </cell>
          <cell r="X248">
            <v>4</v>
          </cell>
          <cell r="Y248" t="str">
            <v>Inactive</v>
          </cell>
          <cell r="Z248">
            <v>38898</v>
          </cell>
          <cell r="AA248">
            <v>8811</v>
          </cell>
        </row>
        <row r="249">
          <cell r="A249">
            <v>8853</v>
          </cell>
          <cell r="B249" t="str">
            <v>Continuing Care Hospital / Lexington / KY</v>
          </cell>
          <cell r="D249">
            <v>1</v>
          </cell>
          <cell r="E249" t="str">
            <v>Continuing Care Hospital (8853)</v>
          </cell>
          <cell r="F249" t="str">
            <v>Continuing Care Hospital</v>
          </cell>
          <cell r="G249" t="str">
            <v>Lexington</v>
          </cell>
          <cell r="H249" t="str">
            <v>KY</v>
          </cell>
          <cell r="I249" t="str">
            <v>40509</v>
          </cell>
          <cell r="J249" t="str">
            <v>Lexington, KY 40509</v>
          </cell>
          <cell r="K249" t="str">
            <v>150 N. Eagle Creek Drive</v>
          </cell>
          <cell r="M249" t="str">
            <v>859-268-3607</v>
          </cell>
          <cell r="N249" t="str">
            <v>System Member Of</v>
          </cell>
          <cell r="O249" t="str">
            <v>Acute Care</v>
          </cell>
          <cell r="P249" t="str">
            <v>Hospital</v>
          </cell>
          <cell r="Q249" t="str">
            <v>BC7593189</v>
          </cell>
          <cell r="R249" t="str">
            <v>A5B8TJA00</v>
          </cell>
          <cell r="S249" t="str">
            <v>1100002321468</v>
          </cell>
          <cell r="T249">
            <v>37347</v>
          </cell>
          <cell r="U249">
            <v>37347</v>
          </cell>
          <cell r="V249">
            <v>43000261</v>
          </cell>
          <cell r="W249">
            <v>379209</v>
          </cell>
          <cell r="X249">
            <v>26</v>
          </cell>
          <cell r="Y249" t="str">
            <v>Active</v>
          </cell>
          <cell r="AA249">
            <v>8853</v>
          </cell>
        </row>
        <row r="250">
          <cell r="A250">
            <v>8857</v>
          </cell>
          <cell r="B250" t="str">
            <v>St. Vincent Family Clinic - South University / Little Rock  / AR</v>
          </cell>
          <cell r="D250">
            <v>1</v>
          </cell>
          <cell r="E250" t="str">
            <v>St. Vincent Family Clinic - South University (8857)</v>
          </cell>
          <cell r="F250" t="str">
            <v>St. Vincent Family Clinic - South University</v>
          </cell>
          <cell r="G250" t="str">
            <v xml:space="preserve">Little Rock </v>
          </cell>
          <cell r="H250" t="str">
            <v>AR</v>
          </cell>
          <cell r="I250" t="str">
            <v>72204</v>
          </cell>
          <cell r="J250" t="str">
            <v>Little Rock , AR 72204</v>
          </cell>
          <cell r="K250" t="str">
            <v>4202 S. University</v>
          </cell>
          <cell r="M250" t="str">
            <v>501-562-4838</v>
          </cell>
          <cell r="N250" t="str">
            <v>System Member Of</v>
          </cell>
          <cell r="O250" t="str">
            <v>Ambulatory Care</v>
          </cell>
          <cell r="P250" t="str">
            <v>Clinic</v>
          </cell>
          <cell r="Q250" t="str">
            <v>AJ2076049</v>
          </cell>
          <cell r="R250" t="str">
            <v>JW8QO2300</v>
          </cell>
          <cell r="S250" t="str">
            <v>1100002162320</v>
          </cell>
          <cell r="T250">
            <v>38275</v>
          </cell>
          <cell r="U250">
            <v>38306</v>
          </cell>
          <cell r="V250">
            <v>43000261</v>
          </cell>
          <cell r="W250">
            <v>379196</v>
          </cell>
          <cell r="X250">
            <v>2</v>
          </cell>
          <cell r="Y250" t="str">
            <v>Active</v>
          </cell>
          <cell r="AA250">
            <v>8857</v>
          </cell>
        </row>
        <row r="251">
          <cell r="A251">
            <v>8858</v>
          </cell>
          <cell r="B251" t="str">
            <v>St. Vincent Family Clinic - Jacksonville / Jacksonville / AR</v>
          </cell>
          <cell r="D251">
            <v>1</v>
          </cell>
          <cell r="E251" t="str">
            <v>St. Vincent Family Clinic - Jacksonville (8858)</v>
          </cell>
          <cell r="F251" t="str">
            <v>St. Vincent Family Clinic - Jacksonville</v>
          </cell>
          <cell r="G251" t="str">
            <v>Jacksonville</v>
          </cell>
          <cell r="H251" t="str">
            <v>AR</v>
          </cell>
          <cell r="I251" t="str">
            <v>72076</v>
          </cell>
          <cell r="J251" t="str">
            <v>Jacksonville, AR 72076</v>
          </cell>
          <cell r="K251" t="str">
            <v>1110 W. Main</v>
          </cell>
          <cell r="M251" t="str">
            <v>501-660-2891</v>
          </cell>
          <cell r="N251" t="str">
            <v>System Member Of</v>
          </cell>
          <cell r="O251" t="str">
            <v>Ambulatory Care</v>
          </cell>
          <cell r="P251" t="str">
            <v>Clinic</v>
          </cell>
          <cell r="Q251" t="str">
            <v>BW2110752</v>
          </cell>
          <cell r="R251" t="str">
            <v>GHPY3AX00</v>
          </cell>
          <cell r="S251" t="str">
            <v>1100004359278</v>
          </cell>
          <cell r="T251">
            <v>38292</v>
          </cell>
          <cell r="U251">
            <v>38322</v>
          </cell>
          <cell r="V251">
            <v>43000261</v>
          </cell>
          <cell r="W251">
            <v>379196</v>
          </cell>
          <cell r="X251">
            <v>2</v>
          </cell>
          <cell r="Y251" t="str">
            <v>Active</v>
          </cell>
          <cell r="AA251">
            <v>8858</v>
          </cell>
        </row>
        <row r="252">
          <cell r="A252">
            <v>8896</v>
          </cell>
          <cell r="B252" t="str">
            <v>Mercy Capitol Internal Medicine Clinic / Des Moines  / IA</v>
          </cell>
          <cell r="D252">
            <v>2</v>
          </cell>
          <cell r="E252" t="str">
            <v>Mercy Capitol Internal Medicine Clinic (8896)</v>
          </cell>
          <cell r="F252" t="str">
            <v>Mercy Capitol Internal Medicine Clinic</v>
          </cell>
          <cell r="G252" t="str">
            <v xml:space="preserve">Des Moines </v>
          </cell>
          <cell r="H252" t="str">
            <v>IA</v>
          </cell>
          <cell r="I252" t="str">
            <v>50309</v>
          </cell>
          <cell r="J252" t="str">
            <v>Des Moines , IA 50309</v>
          </cell>
          <cell r="K252" t="str">
            <v>1300 E. Des Moines Street, Suite 201</v>
          </cell>
          <cell r="M252" t="str">
            <v>515-288-5809</v>
          </cell>
          <cell r="N252" t="str">
            <v>System Member Of</v>
          </cell>
          <cell r="O252" t="str">
            <v>Ambulatory Care</v>
          </cell>
          <cell r="P252" t="str">
            <v>Clinic</v>
          </cell>
          <cell r="Q252" t="str">
            <v>AO1364710</v>
          </cell>
          <cell r="R252" t="str">
            <v>K66JLMM00</v>
          </cell>
          <cell r="S252" t="str">
            <v>1100002565336</v>
          </cell>
          <cell r="T252">
            <v>37391</v>
          </cell>
          <cell r="U252">
            <v>37391</v>
          </cell>
          <cell r="V252">
            <v>43000261</v>
          </cell>
          <cell r="W252">
            <v>374766</v>
          </cell>
          <cell r="X252">
            <v>15</v>
          </cell>
          <cell r="Y252" t="str">
            <v>Active</v>
          </cell>
          <cell r="AA252">
            <v>8896</v>
          </cell>
        </row>
        <row r="253">
          <cell r="A253">
            <v>8898</v>
          </cell>
          <cell r="B253" t="str">
            <v>Mednow Mercy Medical Center Pharmacy / Nampa  / ID</v>
          </cell>
          <cell r="D253">
            <v>3</v>
          </cell>
          <cell r="E253" t="str">
            <v>Mednow Mercy Medical Center Pharmacy (8898)</v>
          </cell>
          <cell r="F253" t="str">
            <v>Mednow Mercy Medical Center Pharmacy</v>
          </cell>
          <cell r="G253" t="str">
            <v xml:space="preserve">Nampa </v>
          </cell>
          <cell r="H253" t="str">
            <v>ID</v>
          </cell>
          <cell r="I253" t="str">
            <v>83686</v>
          </cell>
          <cell r="J253" t="str">
            <v>Nampa , ID 83686</v>
          </cell>
          <cell r="K253" t="str">
            <v>1512 12th Ave. Road</v>
          </cell>
          <cell r="M253" t="str">
            <v>208-463-5355</v>
          </cell>
          <cell r="N253" t="str">
            <v>System Member Of</v>
          </cell>
          <cell r="O253" t="str">
            <v>Retail</v>
          </cell>
          <cell r="P253" t="str">
            <v>Free-standing Outpatient Retail Pharmacy</v>
          </cell>
          <cell r="Q253" t="str">
            <v>BM4733906</v>
          </cell>
          <cell r="R253" t="str">
            <v>820400EF1</v>
          </cell>
          <cell r="S253" t="str">
            <v>1100002937553</v>
          </cell>
          <cell r="T253">
            <v>37422</v>
          </cell>
          <cell r="U253">
            <v>37422</v>
          </cell>
          <cell r="V253">
            <v>43000261</v>
          </cell>
          <cell r="W253">
            <v>103780</v>
          </cell>
          <cell r="X253">
            <v>68</v>
          </cell>
          <cell r="Y253" t="str">
            <v>Active</v>
          </cell>
          <cell r="AA253">
            <v>8898</v>
          </cell>
        </row>
        <row r="254">
          <cell r="A254">
            <v>8899</v>
          </cell>
          <cell r="B254" t="str">
            <v>Mednow Fruitland Pharmacy / Fruitland / ID</v>
          </cell>
          <cell r="D254">
            <v>3</v>
          </cell>
          <cell r="E254" t="str">
            <v>Mednow Fruitland Pharmacy (8899)</v>
          </cell>
          <cell r="F254" t="str">
            <v>Mednow Fruitland Pharmacy</v>
          </cell>
          <cell r="G254" t="str">
            <v>Fruitland</v>
          </cell>
          <cell r="H254" t="str">
            <v>ID</v>
          </cell>
          <cell r="I254" t="str">
            <v>83619</v>
          </cell>
          <cell r="J254" t="str">
            <v>Fruitland, ID 83619</v>
          </cell>
          <cell r="K254" t="str">
            <v>1118 NW 16th Street</v>
          </cell>
          <cell r="L254" t="str">
            <v>Suite B</v>
          </cell>
          <cell r="M254" t="str">
            <v>208-452-6506</v>
          </cell>
          <cell r="N254" t="str">
            <v>System Member Of</v>
          </cell>
          <cell r="O254" t="str">
            <v>Retail</v>
          </cell>
          <cell r="P254" t="str">
            <v>Free-standing Outpatient Retail Pharmacy</v>
          </cell>
          <cell r="Q254" t="str">
            <v>BM5957583</v>
          </cell>
          <cell r="R254" t="str">
            <v>EB2HQRP00</v>
          </cell>
          <cell r="S254" t="str">
            <v>1100004399472</v>
          </cell>
          <cell r="T254">
            <v>37422</v>
          </cell>
          <cell r="U254">
            <v>37422</v>
          </cell>
          <cell r="V254">
            <v>43000261</v>
          </cell>
          <cell r="W254">
            <v>103780</v>
          </cell>
          <cell r="X254">
            <v>68</v>
          </cell>
          <cell r="Y254" t="str">
            <v>Active</v>
          </cell>
          <cell r="AA254">
            <v>8899</v>
          </cell>
        </row>
        <row r="255">
          <cell r="A255">
            <v>8900</v>
          </cell>
          <cell r="B255" t="str">
            <v>Mednow Mercy North Pharmacy / Nampa / ID</v>
          </cell>
          <cell r="D255">
            <v>3</v>
          </cell>
          <cell r="E255" t="str">
            <v>Mednow Mercy North Pharmacy (8900)</v>
          </cell>
          <cell r="F255" t="str">
            <v>Mednow Mercy North Pharmacy</v>
          </cell>
          <cell r="G255" t="str">
            <v>Nampa</v>
          </cell>
          <cell r="H255" t="str">
            <v>ID</v>
          </cell>
          <cell r="I255" t="str">
            <v>83687</v>
          </cell>
          <cell r="J255" t="str">
            <v>Nampa, ID 83687</v>
          </cell>
          <cell r="K255" t="str">
            <v>4400 Flamingo Ave. East</v>
          </cell>
          <cell r="M255" t="str">
            <v>208-288-4660</v>
          </cell>
          <cell r="N255" t="str">
            <v>System Member Of</v>
          </cell>
          <cell r="O255" t="str">
            <v>Retail</v>
          </cell>
          <cell r="P255" t="str">
            <v>Free-standing Outpatient Retail Pharmacy</v>
          </cell>
          <cell r="Q255" t="str">
            <v>BM6152538</v>
          </cell>
          <cell r="R255" t="str">
            <v>2DKAKG900</v>
          </cell>
          <cell r="S255" t="str">
            <v>1100005858510</v>
          </cell>
          <cell r="T255">
            <v>37422</v>
          </cell>
          <cell r="U255">
            <v>37422</v>
          </cell>
          <cell r="V255">
            <v>43000261</v>
          </cell>
          <cell r="W255">
            <v>103780</v>
          </cell>
          <cell r="X255">
            <v>68</v>
          </cell>
          <cell r="Y255" t="str">
            <v>Active</v>
          </cell>
          <cell r="AA255">
            <v>8900</v>
          </cell>
        </row>
        <row r="256">
          <cell r="A256">
            <v>8901</v>
          </cell>
          <cell r="B256" t="str">
            <v>Mednow Meridian Pharmacy / Meridian / ID</v>
          </cell>
          <cell r="D256">
            <v>3</v>
          </cell>
          <cell r="E256" t="str">
            <v>Mednow Meridian Pharmacy (8901)</v>
          </cell>
          <cell r="F256" t="str">
            <v>Mednow Meridian Pharmacy</v>
          </cell>
          <cell r="G256" t="str">
            <v>Meridian</v>
          </cell>
          <cell r="H256" t="str">
            <v>ID</v>
          </cell>
          <cell r="I256" t="str">
            <v>83642</v>
          </cell>
          <cell r="J256" t="str">
            <v>Meridian, ID 83642</v>
          </cell>
          <cell r="K256" t="str">
            <v>745 S. Progress Ave.</v>
          </cell>
          <cell r="M256" t="str">
            <v>208-884-2915</v>
          </cell>
          <cell r="N256" t="str">
            <v>System Member Of</v>
          </cell>
          <cell r="O256" t="str">
            <v>Retail</v>
          </cell>
          <cell r="P256" t="str">
            <v>Free-standing Outpatient Retail Pharmacy</v>
          </cell>
          <cell r="Q256" t="str">
            <v>BM4663476</v>
          </cell>
          <cell r="R256" t="str">
            <v>47W5Q1300</v>
          </cell>
          <cell r="S256" t="str">
            <v>1100005213104</v>
          </cell>
          <cell r="T256">
            <v>37422</v>
          </cell>
          <cell r="U256">
            <v>37422</v>
          </cell>
          <cell r="V256">
            <v>43000261</v>
          </cell>
          <cell r="W256">
            <v>103780</v>
          </cell>
          <cell r="X256">
            <v>68</v>
          </cell>
          <cell r="Y256" t="str">
            <v>Active</v>
          </cell>
          <cell r="AA256">
            <v>8901</v>
          </cell>
        </row>
        <row r="257">
          <cell r="A257">
            <v>8947</v>
          </cell>
          <cell r="B257" t="str">
            <v>Medquest Home Medical Equipment / Williston / ND</v>
          </cell>
          <cell r="D257">
            <v>4</v>
          </cell>
          <cell r="E257" t="str">
            <v>Medquest Home Medical Equipment (8947)</v>
          </cell>
          <cell r="F257" t="str">
            <v>Medquest Home Medical Equipment</v>
          </cell>
          <cell r="G257" t="str">
            <v>Williston</v>
          </cell>
          <cell r="H257" t="str">
            <v>ND</v>
          </cell>
          <cell r="I257" t="str">
            <v>58802</v>
          </cell>
          <cell r="J257" t="str">
            <v>Williston, ND 58802</v>
          </cell>
          <cell r="K257" t="str">
            <v>1602 11th St. W</v>
          </cell>
          <cell r="M257" t="str">
            <v>701-774-7438</v>
          </cell>
          <cell r="N257" t="str">
            <v>System Member Of</v>
          </cell>
          <cell r="O257" t="str">
            <v>Retail</v>
          </cell>
          <cell r="P257" t="str">
            <v>Durable Medical Equipment Dealer (DME)</v>
          </cell>
          <cell r="S257" t="str">
            <v>1100002729486</v>
          </cell>
          <cell r="T257">
            <v>37438</v>
          </cell>
          <cell r="V257">
            <v>43000261</v>
          </cell>
          <cell r="W257">
            <v>370458</v>
          </cell>
          <cell r="X257">
            <v>41</v>
          </cell>
          <cell r="Y257" t="str">
            <v>Active</v>
          </cell>
          <cell r="AA257">
            <v>8947</v>
          </cell>
        </row>
        <row r="258">
          <cell r="A258">
            <v>9015</v>
          </cell>
          <cell r="B258" t="str">
            <v>Family Medicine of Urbandale - Mercy Clinic / Urbandale / IA</v>
          </cell>
          <cell r="D258">
            <v>2</v>
          </cell>
          <cell r="E258" t="str">
            <v>Family Medicine of Urbandale - Mercy Clinic (9015)</v>
          </cell>
          <cell r="F258" t="str">
            <v>Family Medicine of Urbandale - Mercy Clinic</v>
          </cell>
          <cell r="G258" t="str">
            <v>Urbandale</v>
          </cell>
          <cell r="H258" t="str">
            <v>IA</v>
          </cell>
          <cell r="I258" t="str">
            <v>50322</v>
          </cell>
          <cell r="J258" t="str">
            <v>Urbandale, IA 50322</v>
          </cell>
          <cell r="K258" t="str">
            <v>3005 86th Street</v>
          </cell>
          <cell r="M258" t="str">
            <v>515-253-0230</v>
          </cell>
          <cell r="N258" t="str">
            <v>Affiliate Member Of</v>
          </cell>
          <cell r="O258" t="str">
            <v>Ambulatory Care</v>
          </cell>
          <cell r="P258" t="str">
            <v>Primary Care Physician Practice</v>
          </cell>
          <cell r="Q258" t="str">
            <v>BH2849620</v>
          </cell>
          <cell r="R258" t="str">
            <v>50TYPRC00</v>
          </cell>
          <cell r="S258" t="str">
            <v>1100005865877</v>
          </cell>
          <cell r="T258">
            <v>37500</v>
          </cell>
          <cell r="U258">
            <v>37500</v>
          </cell>
          <cell r="V258">
            <v>43000261</v>
          </cell>
          <cell r="W258">
            <v>374766</v>
          </cell>
          <cell r="X258">
            <v>15</v>
          </cell>
          <cell r="Y258" t="str">
            <v>Active</v>
          </cell>
          <cell r="AA258">
            <v>9015</v>
          </cell>
        </row>
        <row r="259">
          <cell r="A259">
            <v>9037</v>
          </cell>
          <cell r="B259" t="str">
            <v>Richardton Memorial Hospital and Health Center, Inc. / Richardton / ND</v>
          </cell>
          <cell r="D259">
            <v>4</v>
          </cell>
          <cell r="E259" t="str">
            <v>Richardton Memorial Hospital and Health Center, Inc. (9037)</v>
          </cell>
          <cell r="F259" t="str">
            <v>Richardton Health Center</v>
          </cell>
          <cell r="G259" t="str">
            <v>Richardton</v>
          </cell>
          <cell r="H259" t="str">
            <v>ND</v>
          </cell>
          <cell r="I259" t="str">
            <v>58652-7103</v>
          </cell>
          <cell r="J259" t="str">
            <v>Richardton, ND 58652-7103</v>
          </cell>
          <cell r="K259" t="str">
            <v>212 3rd Avenue West</v>
          </cell>
          <cell r="M259" t="str">
            <v>701-974-3304</v>
          </cell>
          <cell r="N259" t="str">
            <v>Affiliate Member Of</v>
          </cell>
          <cell r="O259" t="str">
            <v>Acute Care</v>
          </cell>
          <cell r="P259" t="str">
            <v>Hospital</v>
          </cell>
          <cell r="R259" t="str">
            <v>640530I00</v>
          </cell>
          <cell r="S259" t="str">
            <v>1100004967640</v>
          </cell>
          <cell r="T259">
            <v>37469</v>
          </cell>
          <cell r="V259">
            <v>0</v>
          </cell>
          <cell r="W259">
            <v>0</v>
          </cell>
          <cell r="X259">
            <v>91</v>
          </cell>
          <cell r="Y259" t="str">
            <v>Active</v>
          </cell>
          <cell r="AA259">
            <v>9037</v>
          </cell>
        </row>
        <row r="260">
          <cell r="A260">
            <v>9038</v>
          </cell>
          <cell r="B260" t="str">
            <v>Centura Health Urgent Care / Aurora / CO</v>
          </cell>
          <cell r="D260">
            <v>5</v>
          </cell>
          <cell r="E260" t="str">
            <v>Centura Health Urgent Care (9038)</v>
          </cell>
          <cell r="F260" t="str">
            <v>Centura Health Urgent Care</v>
          </cell>
          <cell r="G260" t="str">
            <v>Aurora</v>
          </cell>
          <cell r="H260" t="str">
            <v>CO</v>
          </cell>
          <cell r="I260" t="str">
            <v>80012</v>
          </cell>
          <cell r="J260" t="str">
            <v>Aurora, CO 80012</v>
          </cell>
          <cell r="K260" t="str">
            <v>13650 E. Mississippi Ave.</v>
          </cell>
          <cell r="M260" t="str">
            <v>303-695-1338</v>
          </cell>
          <cell r="N260" t="str">
            <v>Affiliate Member Of</v>
          </cell>
          <cell r="O260" t="str">
            <v>Ambulatory Care</v>
          </cell>
          <cell r="P260" t="str">
            <v>Urgent Care Center</v>
          </cell>
          <cell r="R260" t="str">
            <v>9DJCKEF00</v>
          </cell>
          <cell r="S260" t="str">
            <v>1100003885907</v>
          </cell>
          <cell r="T260">
            <v>37469</v>
          </cell>
          <cell r="V260">
            <v>43000261</v>
          </cell>
          <cell r="W260">
            <v>102381</v>
          </cell>
          <cell r="X260">
            <v>4</v>
          </cell>
          <cell r="Y260" t="str">
            <v>Active</v>
          </cell>
          <cell r="AA260">
            <v>9038</v>
          </cell>
        </row>
        <row r="261">
          <cell r="A261">
            <v>9039</v>
          </cell>
          <cell r="B261" t="str">
            <v>Progressive Care Center / Canon City / CO</v>
          </cell>
          <cell r="D261">
            <v>5</v>
          </cell>
          <cell r="E261" t="str">
            <v>Progressive Care Center (9039)</v>
          </cell>
          <cell r="F261" t="str">
            <v>Progressive Care Center</v>
          </cell>
          <cell r="G261" t="str">
            <v>Canon City</v>
          </cell>
          <cell r="H261" t="str">
            <v>CO</v>
          </cell>
          <cell r="I261" t="str">
            <v>81212</v>
          </cell>
          <cell r="J261" t="str">
            <v>Canon City, CO 81212</v>
          </cell>
          <cell r="K261" t="str">
            <v>1338 Phay Avenue</v>
          </cell>
          <cell r="M261" t="str">
            <v>719-269-2040</v>
          </cell>
          <cell r="N261" t="str">
            <v>Affiliate Member Of</v>
          </cell>
          <cell r="O261" t="str">
            <v>Long Term Care</v>
          </cell>
          <cell r="P261" t="str">
            <v>Nursing Home w/ Pharmacy</v>
          </cell>
          <cell r="R261" t="str">
            <v>FG8G3J500</v>
          </cell>
          <cell r="S261" t="str">
            <v>1100003539763</v>
          </cell>
          <cell r="T261">
            <v>37469</v>
          </cell>
          <cell r="V261">
            <v>43000261</v>
          </cell>
          <cell r="W261">
            <v>102381</v>
          </cell>
          <cell r="X261">
            <v>4</v>
          </cell>
          <cell r="Y261" t="str">
            <v>Active</v>
          </cell>
          <cell r="AA261">
            <v>9039</v>
          </cell>
        </row>
        <row r="262">
          <cell r="A262">
            <v>9047</v>
          </cell>
          <cell r="B262" t="str">
            <v>Premier Imaging of Pueblo LLC / Pueblo / CO</v>
          </cell>
          <cell r="D262">
            <v>5</v>
          </cell>
          <cell r="E262" t="str">
            <v>Premier Imaging of Pueblo LLC (9047)</v>
          </cell>
          <cell r="F262" t="str">
            <v>Premier Imaging of Pueblo LLC</v>
          </cell>
          <cell r="G262" t="str">
            <v>Pueblo</v>
          </cell>
          <cell r="H262" t="str">
            <v>CO</v>
          </cell>
          <cell r="I262" t="str">
            <v>81004</v>
          </cell>
          <cell r="J262" t="str">
            <v>Pueblo, CO 81004</v>
          </cell>
          <cell r="K262" t="str">
            <v>2002 Lake Ave. Suite B</v>
          </cell>
          <cell r="M262" t="str">
            <v>719-560-1976</v>
          </cell>
          <cell r="N262" t="str">
            <v>Affiliate Member Of</v>
          </cell>
          <cell r="O262" t="str">
            <v>Ambulatory Care</v>
          </cell>
          <cell r="P262" t="str">
            <v>Diagnostic Imaging Center</v>
          </cell>
          <cell r="S262" t="str">
            <v>1100003912993</v>
          </cell>
          <cell r="T262">
            <v>37500</v>
          </cell>
          <cell r="V262">
            <v>0</v>
          </cell>
          <cell r="W262">
            <v>0</v>
          </cell>
          <cell r="X262">
            <v>4</v>
          </cell>
          <cell r="Y262" t="str">
            <v>Inactive</v>
          </cell>
          <cell r="Z262">
            <v>39359</v>
          </cell>
          <cell r="AA262">
            <v>9047</v>
          </cell>
        </row>
        <row r="263">
          <cell r="A263">
            <v>9062</v>
          </cell>
          <cell r="B263" t="str">
            <v>PenRad Imaging / Colorado Springs / CO</v>
          </cell>
          <cell r="D263">
            <v>5</v>
          </cell>
          <cell r="E263" t="str">
            <v>PenRad Imaging (9062)</v>
          </cell>
          <cell r="F263" t="str">
            <v>PenRad Imaging</v>
          </cell>
          <cell r="G263" t="str">
            <v>Colorado Springs</v>
          </cell>
          <cell r="H263" t="str">
            <v>CO</v>
          </cell>
          <cell r="I263" t="str">
            <v>80909</v>
          </cell>
          <cell r="J263" t="str">
            <v>Colorado Springs, CO 80909</v>
          </cell>
          <cell r="K263" t="str">
            <v>3050 North Circle Drive</v>
          </cell>
          <cell r="M263" t="str">
            <v>719-785-9001</v>
          </cell>
          <cell r="N263" t="str">
            <v>Affiliate Member Of</v>
          </cell>
          <cell r="O263" t="str">
            <v>Ambulatory Care</v>
          </cell>
          <cell r="P263" t="str">
            <v>Diagnostic Imaging Center</v>
          </cell>
          <cell r="R263" t="str">
            <v>C8QBBRN00</v>
          </cell>
          <cell r="S263" t="str">
            <v>1100002482190</v>
          </cell>
          <cell r="T263">
            <v>37073</v>
          </cell>
          <cell r="V263">
            <v>0</v>
          </cell>
          <cell r="W263">
            <v>0</v>
          </cell>
          <cell r="X263">
            <v>4</v>
          </cell>
          <cell r="Y263" t="str">
            <v>Active</v>
          </cell>
          <cell r="AA263">
            <v>9062</v>
          </cell>
        </row>
        <row r="264">
          <cell r="A264">
            <v>9072</v>
          </cell>
          <cell r="B264" t="str">
            <v>Oregon Surgery Center / Roseburg  / OR</v>
          </cell>
          <cell r="D264">
            <v>3</v>
          </cell>
          <cell r="E264" t="str">
            <v>Oregon Surgery Center (9072)</v>
          </cell>
          <cell r="F264" t="str">
            <v>Oregon Surgery Center</v>
          </cell>
          <cell r="G264" t="str">
            <v xml:space="preserve">Roseburg </v>
          </cell>
          <cell r="H264" t="str">
            <v>OR</v>
          </cell>
          <cell r="I264" t="str">
            <v>97470</v>
          </cell>
          <cell r="J264" t="str">
            <v>Roseburg , OR 97470</v>
          </cell>
          <cell r="K264" t="str">
            <v>2801 NW Mercy Drive</v>
          </cell>
          <cell r="M264" t="str">
            <v>541-677-2800</v>
          </cell>
          <cell r="N264" t="str">
            <v>Affiliate Member Of</v>
          </cell>
          <cell r="O264" t="str">
            <v>Acute Care</v>
          </cell>
          <cell r="P264" t="str">
            <v>Surgery Center</v>
          </cell>
          <cell r="Q264" t="str">
            <v>BV8138655</v>
          </cell>
          <cell r="R264" t="str">
            <v>JALJRMA00</v>
          </cell>
          <cell r="S264" t="str">
            <v>1100002299767</v>
          </cell>
          <cell r="T264">
            <v>37530</v>
          </cell>
          <cell r="U264">
            <v>37622</v>
          </cell>
          <cell r="V264">
            <v>43000261</v>
          </cell>
          <cell r="W264">
            <v>355725</v>
          </cell>
          <cell r="X264">
            <v>54</v>
          </cell>
          <cell r="Y264" t="str">
            <v>Active</v>
          </cell>
          <cell r="AA264">
            <v>9072</v>
          </cell>
        </row>
        <row r="265">
          <cell r="A265">
            <v>9076</v>
          </cell>
          <cell r="B265" t="str">
            <v>Mercy Capitol / Des Moines / IA</v>
          </cell>
          <cell r="D265">
            <v>2</v>
          </cell>
          <cell r="E265" t="str">
            <v>Mercy Capitol (9076)</v>
          </cell>
          <cell r="F265" t="str">
            <v>Mercy Capitol</v>
          </cell>
          <cell r="G265" t="str">
            <v>Des Moines</v>
          </cell>
          <cell r="H265" t="str">
            <v>IA</v>
          </cell>
          <cell r="I265" t="str">
            <v>50309-5597</v>
          </cell>
          <cell r="J265" t="str">
            <v>Des Moines, IA 50309-5597</v>
          </cell>
          <cell r="K265" t="str">
            <v>603 E. 12th Street</v>
          </cell>
          <cell r="M265" t="str">
            <v>515-643-1000</v>
          </cell>
          <cell r="N265" t="str">
            <v>System Member Of</v>
          </cell>
          <cell r="O265" t="str">
            <v>Acute Care</v>
          </cell>
          <cell r="P265" t="str">
            <v>Hospital</v>
          </cell>
          <cell r="Q265" t="str">
            <v>BM7713705</v>
          </cell>
          <cell r="R265" t="str">
            <v>BEBAC3P00</v>
          </cell>
          <cell r="S265" t="str">
            <v>1100002161415</v>
          </cell>
          <cell r="T265">
            <v>37530</v>
          </cell>
          <cell r="U265">
            <v>37695</v>
          </cell>
          <cell r="V265">
            <v>43000261</v>
          </cell>
          <cell r="W265">
            <v>374766</v>
          </cell>
          <cell r="X265">
            <v>15</v>
          </cell>
          <cell r="Y265" t="str">
            <v>Active</v>
          </cell>
          <cell r="AA265">
            <v>9076</v>
          </cell>
        </row>
        <row r="266">
          <cell r="A266">
            <v>9143</v>
          </cell>
          <cell r="B266" t="str">
            <v>Little Rock Internal Medicine Clinic / Little Rock / AR</v>
          </cell>
          <cell r="D266">
            <v>1</v>
          </cell>
          <cell r="E266" t="str">
            <v>Little Rock Internal Medicine Clinic (9143)</v>
          </cell>
          <cell r="F266" t="str">
            <v>Little Rock Internal Medicine Clinic</v>
          </cell>
          <cell r="G266" t="str">
            <v>Little Rock</v>
          </cell>
          <cell r="H266" t="str">
            <v>AR</v>
          </cell>
          <cell r="I266" t="str">
            <v>72207</v>
          </cell>
          <cell r="J266" t="str">
            <v>Little Rock, AR 72207</v>
          </cell>
          <cell r="K266" t="str">
            <v>1100 N. University</v>
          </cell>
          <cell r="L266" t="str">
            <v>Suite 1</v>
          </cell>
          <cell r="M266" t="str">
            <v>501-664-2500</v>
          </cell>
          <cell r="N266" t="str">
            <v>Affiliate Member Of</v>
          </cell>
          <cell r="O266" t="str">
            <v>Ambulatory Care</v>
          </cell>
          <cell r="P266" t="str">
            <v>Clinic</v>
          </cell>
          <cell r="Q266" t="str">
            <v>BF5318046</v>
          </cell>
          <cell r="R266" t="str">
            <v>GHFFF0600</v>
          </cell>
          <cell r="S266" t="str">
            <v>1100004101464</v>
          </cell>
          <cell r="T266">
            <v>37591</v>
          </cell>
          <cell r="U266">
            <v>37605</v>
          </cell>
          <cell r="V266">
            <v>43000261</v>
          </cell>
          <cell r="W266">
            <v>379196</v>
          </cell>
          <cell r="X266">
            <v>2</v>
          </cell>
          <cell r="Y266" t="str">
            <v>Active</v>
          </cell>
          <cell r="AA266">
            <v>9143</v>
          </cell>
        </row>
        <row r="267">
          <cell r="A267">
            <v>9314</v>
          </cell>
          <cell r="B267" t="str">
            <v>St. Joseph Berea Hospital / Berea / KY</v>
          </cell>
          <cell r="C267" t="str">
            <v>MBO60</v>
          </cell>
          <cell r="D267">
            <v>1</v>
          </cell>
          <cell r="E267" t="str">
            <v>St. Joseph Berea Hospital (9314)</v>
          </cell>
          <cell r="F267" t="str">
            <v>St. Joseph Berea Hospital</v>
          </cell>
          <cell r="G267" t="str">
            <v>Berea</v>
          </cell>
          <cell r="H267" t="str">
            <v>KY</v>
          </cell>
          <cell r="I267" t="str">
            <v>40403</v>
          </cell>
          <cell r="J267" t="str">
            <v>Berea, KY 40403</v>
          </cell>
          <cell r="K267" t="str">
            <v>305 Estill St.</v>
          </cell>
          <cell r="M267" t="str">
            <v>859-986-3151</v>
          </cell>
          <cell r="N267" t="str">
            <v>System Member Of</v>
          </cell>
          <cell r="O267" t="str">
            <v>Acute Care</v>
          </cell>
          <cell r="P267" t="str">
            <v>Hospital</v>
          </cell>
          <cell r="Q267" t="str">
            <v>BS9572531</v>
          </cell>
          <cell r="R267" t="str">
            <v>510090F00</v>
          </cell>
          <cell r="S267" t="str">
            <v>1100004756381</v>
          </cell>
          <cell r="T267">
            <v>37653</v>
          </cell>
          <cell r="U267">
            <v>37756</v>
          </cell>
          <cell r="V267">
            <v>43000261</v>
          </cell>
          <cell r="W267">
            <v>1217957</v>
          </cell>
          <cell r="X267">
            <v>21</v>
          </cell>
          <cell r="Y267" t="str">
            <v>Active</v>
          </cell>
          <cell r="AA267">
            <v>9314</v>
          </cell>
        </row>
        <row r="268">
          <cell r="A268">
            <v>9315</v>
          </cell>
          <cell r="B268" t="str">
            <v>Grand Island Imaging Center / Grand Island / NE</v>
          </cell>
          <cell r="D268">
            <v>2</v>
          </cell>
          <cell r="E268" t="str">
            <v>Grand Island Imaging Center (9315)</v>
          </cell>
          <cell r="F268" t="str">
            <v>Grand Island Imaging Center</v>
          </cell>
          <cell r="G268" t="str">
            <v>Grand Island</v>
          </cell>
          <cell r="H268" t="str">
            <v>NE</v>
          </cell>
          <cell r="I268" t="str">
            <v>68801</v>
          </cell>
          <cell r="J268" t="str">
            <v>Grand Island, NE 68801</v>
          </cell>
          <cell r="K268" t="str">
            <v>3610 Richmond</v>
          </cell>
          <cell r="M268" t="str">
            <v>308-398-6400</v>
          </cell>
          <cell r="N268" t="str">
            <v>Affiliate Member Of</v>
          </cell>
          <cell r="O268" t="str">
            <v>Ambulatory Care</v>
          </cell>
          <cell r="P268" t="str">
            <v>Diagnostic Imaging Center</v>
          </cell>
          <cell r="R268" t="str">
            <v>16NH6N4F1</v>
          </cell>
          <cell r="S268" t="str">
            <v>1100005124073</v>
          </cell>
          <cell r="T268">
            <v>37500</v>
          </cell>
          <cell r="V268">
            <v>43000261</v>
          </cell>
          <cell r="W268">
            <v>370511</v>
          </cell>
          <cell r="X268">
            <v>47</v>
          </cell>
          <cell r="Y268" t="str">
            <v>Active</v>
          </cell>
          <cell r="AA268">
            <v>9315</v>
          </cell>
        </row>
        <row r="269">
          <cell r="A269">
            <v>9323</v>
          </cell>
          <cell r="B269" t="str">
            <v>Mercy Health Network / Des Moines / IA</v>
          </cell>
          <cell r="D269">
            <v>2</v>
          </cell>
          <cell r="E269" t="str">
            <v>Mercy Health Network (9323)</v>
          </cell>
          <cell r="F269" t="str">
            <v>Mercy Health Network</v>
          </cell>
          <cell r="G269" t="str">
            <v>Des Moines</v>
          </cell>
          <cell r="H269" t="str">
            <v>IA</v>
          </cell>
          <cell r="I269" t="str">
            <v>50314</v>
          </cell>
          <cell r="J269" t="str">
            <v>Des Moines, IA 50314</v>
          </cell>
          <cell r="K269" t="str">
            <v>1111 6th Ave. Suite 201</v>
          </cell>
          <cell r="M269" t="str">
            <v>515-247-3121</v>
          </cell>
          <cell r="N269" t="str">
            <v>System Member Of</v>
          </cell>
          <cell r="O269" t="str">
            <v>Other</v>
          </cell>
          <cell r="P269" t="str">
            <v>Health Care System/IDN</v>
          </cell>
          <cell r="R269" t="str">
            <v>DJ8W2FH00</v>
          </cell>
          <cell r="S269" t="str">
            <v>1100005149359</v>
          </cell>
          <cell r="T269">
            <v>37622</v>
          </cell>
          <cell r="V269">
            <v>43000261</v>
          </cell>
          <cell r="W269">
            <v>374766</v>
          </cell>
          <cell r="X269">
            <v>15</v>
          </cell>
          <cell r="Y269" t="str">
            <v>Active</v>
          </cell>
          <cell r="AA269">
            <v>9323</v>
          </cell>
        </row>
        <row r="270">
          <cell r="A270">
            <v>9383</v>
          </cell>
          <cell r="B270" t="str">
            <v>Healthcare Support Services LLC / Grand Island / NE</v>
          </cell>
          <cell r="D270">
            <v>2</v>
          </cell>
          <cell r="E270" t="str">
            <v>Healthcare Support Services LLC (9383)</v>
          </cell>
          <cell r="F270" t="str">
            <v>Healthcare Support Services LLC</v>
          </cell>
          <cell r="G270" t="str">
            <v>Grand Island</v>
          </cell>
          <cell r="H270" t="str">
            <v>NE</v>
          </cell>
          <cell r="I270" t="str">
            <v>68803</v>
          </cell>
          <cell r="J270" t="str">
            <v>Grand Island, NE 68803</v>
          </cell>
          <cell r="K270" t="str">
            <v>3242 West Second Street</v>
          </cell>
          <cell r="M270" t="str">
            <v>308-398-5660</v>
          </cell>
          <cell r="N270" t="str">
            <v>System Member Of</v>
          </cell>
          <cell r="O270" t="str">
            <v>Other</v>
          </cell>
          <cell r="P270" t="str">
            <v>Other Facility</v>
          </cell>
          <cell r="R270" t="str">
            <v>LD1K2AV00</v>
          </cell>
          <cell r="S270" t="str">
            <v>1100004577870</v>
          </cell>
          <cell r="T270">
            <v>37681</v>
          </cell>
          <cell r="V270">
            <v>43000261</v>
          </cell>
          <cell r="W270">
            <v>370511</v>
          </cell>
          <cell r="X270">
            <v>47</v>
          </cell>
          <cell r="Y270" t="str">
            <v>Active</v>
          </cell>
          <cell r="AA270">
            <v>9383</v>
          </cell>
        </row>
        <row r="271">
          <cell r="A271">
            <v>9384</v>
          </cell>
          <cell r="B271" t="str">
            <v>Clarinda Regional Health Center / Clarinda / IA</v>
          </cell>
          <cell r="D271">
            <v>2</v>
          </cell>
          <cell r="E271" t="str">
            <v>Clarinda Regional Health Center (9384)</v>
          </cell>
          <cell r="F271" t="str">
            <v>Clarinda Regional Health Center</v>
          </cell>
          <cell r="G271" t="str">
            <v>Clarinda</v>
          </cell>
          <cell r="H271" t="str">
            <v>IA</v>
          </cell>
          <cell r="I271" t="str">
            <v>51632</v>
          </cell>
          <cell r="J271" t="str">
            <v>Clarinda, IA 51632</v>
          </cell>
          <cell r="K271" t="str">
            <v>823 S. 17th St.</v>
          </cell>
          <cell r="L271" t="str">
            <v>P.O. Box 217</v>
          </cell>
          <cell r="M271" t="str">
            <v>712-542-8228</v>
          </cell>
          <cell r="N271" t="str">
            <v>Affiliate Member Of</v>
          </cell>
          <cell r="O271" t="str">
            <v>Acute Care</v>
          </cell>
          <cell r="P271" t="str">
            <v>Hospital</v>
          </cell>
          <cell r="Q271" t="str">
            <v>AC4020474</v>
          </cell>
          <cell r="R271" t="str">
            <v>620230D00</v>
          </cell>
          <cell r="S271" t="str">
            <v>1100003086861</v>
          </cell>
          <cell r="T271">
            <v>37681</v>
          </cell>
          <cell r="U271">
            <v>37712</v>
          </cell>
          <cell r="V271">
            <v>43000261</v>
          </cell>
          <cell r="W271">
            <v>374766</v>
          </cell>
          <cell r="X271">
            <v>15</v>
          </cell>
          <cell r="Y271" t="str">
            <v>Active</v>
          </cell>
          <cell r="AA271">
            <v>9384</v>
          </cell>
        </row>
        <row r="272">
          <cell r="A272">
            <v>9386</v>
          </cell>
          <cell r="B272" t="str">
            <v>Memorial Mission Surgery Center / Chattanooga / TN</v>
          </cell>
          <cell r="D272">
            <v>1</v>
          </cell>
          <cell r="E272" t="str">
            <v>Memorial Mission Surgery Center (9386)</v>
          </cell>
          <cell r="F272" t="str">
            <v>Memorial Mission Surgery Center</v>
          </cell>
          <cell r="G272" t="str">
            <v>Chattanooga</v>
          </cell>
          <cell r="H272" t="str">
            <v>TN</v>
          </cell>
          <cell r="I272" t="str">
            <v>37404</v>
          </cell>
          <cell r="J272" t="str">
            <v>Chattanooga, TN 37404</v>
          </cell>
          <cell r="K272" t="str">
            <v>2515 de Sales Ave.</v>
          </cell>
          <cell r="M272" t="str">
            <v>423-648-6672</v>
          </cell>
          <cell r="N272" t="str">
            <v>Affiliate Member Of</v>
          </cell>
          <cell r="O272" t="str">
            <v>Acute Care</v>
          </cell>
          <cell r="P272" t="str">
            <v>Surgery Center</v>
          </cell>
          <cell r="Q272" t="str">
            <v>BY0187852</v>
          </cell>
          <cell r="R272" t="str">
            <v>A1JGWQW00</v>
          </cell>
          <cell r="S272" t="str">
            <v>1100002084073</v>
          </cell>
          <cell r="T272">
            <v>37530</v>
          </cell>
          <cell r="U272">
            <v>37712</v>
          </cell>
          <cell r="V272">
            <v>43000261</v>
          </cell>
          <cell r="W272">
            <v>379170</v>
          </cell>
          <cell r="X272">
            <v>60</v>
          </cell>
          <cell r="Y272" t="str">
            <v>Active</v>
          </cell>
          <cell r="AA272">
            <v>9386</v>
          </cell>
        </row>
        <row r="273">
          <cell r="A273">
            <v>9478</v>
          </cell>
          <cell r="B273" t="str">
            <v>Mercy FMU Physical Therapy / Urbandale / IA</v>
          </cell>
          <cell r="D273">
            <v>2</v>
          </cell>
          <cell r="E273" t="str">
            <v>Mercy FMU Physical Therapy (9478)</v>
          </cell>
          <cell r="F273" t="str">
            <v>Mercy FMU Physical Therapy</v>
          </cell>
          <cell r="G273" t="str">
            <v>Urbandale</v>
          </cell>
          <cell r="H273" t="str">
            <v>IA</v>
          </cell>
          <cell r="I273" t="str">
            <v>50322</v>
          </cell>
          <cell r="J273" t="str">
            <v>Urbandale, IA 50322</v>
          </cell>
          <cell r="K273" t="str">
            <v>3035 86th Street</v>
          </cell>
          <cell r="M273" t="str">
            <v>515-727-6111</v>
          </cell>
          <cell r="N273" t="str">
            <v>System Member Of</v>
          </cell>
          <cell r="O273" t="str">
            <v>Ambulatory Care</v>
          </cell>
          <cell r="P273" t="str">
            <v>Clinic</v>
          </cell>
          <cell r="R273" t="str">
            <v>592Q0DJ00</v>
          </cell>
          <cell r="S273" t="str">
            <v>1100003454509</v>
          </cell>
          <cell r="T273">
            <v>37681</v>
          </cell>
          <cell r="V273">
            <v>43000261</v>
          </cell>
          <cell r="W273">
            <v>374766</v>
          </cell>
          <cell r="X273">
            <v>15</v>
          </cell>
          <cell r="Y273" t="str">
            <v>Active</v>
          </cell>
          <cell r="AA273">
            <v>9478</v>
          </cell>
        </row>
        <row r="274">
          <cell r="A274">
            <v>9479</v>
          </cell>
          <cell r="B274" t="str">
            <v>Mercy Ruan Neurology Clinic West / Clive / IA</v>
          </cell>
          <cell r="D274">
            <v>2</v>
          </cell>
          <cell r="E274" t="str">
            <v>Mercy Ruan Neurology Clinic West (9479)</v>
          </cell>
          <cell r="F274" t="str">
            <v>Mercy Ruan Neurology Clinic West</v>
          </cell>
          <cell r="G274" t="str">
            <v>Clive</v>
          </cell>
          <cell r="H274" t="str">
            <v>IA</v>
          </cell>
          <cell r="I274" t="str">
            <v>50325</v>
          </cell>
          <cell r="J274" t="str">
            <v>Clive, IA 50325</v>
          </cell>
          <cell r="K274" t="str">
            <v>1306 NW 114th Street Suite 338</v>
          </cell>
          <cell r="M274" t="str">
            <v>515-223-1917</v>
          </cell>
          <cell r="N274" t="str">
            <v>System Member Of</v>
          </cell>
          <cell r="O274" t="str">
            <v>Ambulatory Care</v>
          </cell>
          <cell r="P274" t="str">
            <v>Clinic</v>
          </cell>
          <cell r="R274" t="str">
            <v>LLCL3GM00</v>
          </cell>
          <cell r="S274" t="str">
            <v>1100004192295</v>
          </cell>
          <cell r="T274">
            <v>37681</v>
          </cell>
          <cell r="V274">
            <v>43000261</v>
          </cell>
          <cell r="W274">
            <v>374766</v>
          </cell>
          <cell r="X274">
            <v>15</v>
          </cell>
          <cell r="Y274" t="str">
            <v>Active</v>
          </cell>
          <cell r="AA274">
            <v>9479</v>
          </cell>
        </row>
        <row r="275">
          <cell r="A275">
            <v>9480</v>
          </cell>
          <cell r="B275" t="str">
            <v>St. Joseph Berea Hospital Outpatient Pharmacy / Berea / KY</v>
          </cell>
          <cell r="D275">
            <v>1</v>
          </cell>
          <cell r="E275" t="str">
            <v>St. Joseph Berea Hospital Outpatient Pharmacy (9480)</v>
          </cell>
          <cell r="F275" t="str">
            <v>St. Joseph Berea Hospital Outpatient Pharmacy</v>
          </cell>
          <cell r="G275" t="str">
            <v>Berea</v>
          </cell>
          <cell r="H275" t="str">
            <v>KY</v>
          </cell>
          <cell r="I275" t="str">
            <v>40403</v>
          </cell>
          <cell r="J275" t="str">
            <v>Berea, KY 40403</v>
          </cell>
          <cell r="K275" t="str">
            <v>305 E. Estill St.</v>
          </cell>
          <cell r="M275" t="str">
            <v>859-986-3151</v>
          </cell>
          <cell r="N275" t="str">
            <v>System Member Of</v>
          </cell>
          <cell r="O275" t="str">
            <v>Retail</v>
          </cell>
          <cell r="P275" t="str">
            <v>Hospital Outpatient Retail Pharmacy</v>
          </cell>
          <cell r="Q275" t="str">
            <v>BS9572822</v>
          </cell>
          <cell r="R275" t="str">
            <v>510090FF1</v>
          </cell>
          <cell r="S275" t="str">
            <v>1100004976192</v>
          </cell>
          <cell r="T275">
            <v>37712</v>
          </cell>
          <cell r="U275">
            <v>37756</v>
          </cell>
          <cell r="V275">
            <v>43000261</v>
          </cell>
          <cell r="W275">
            <v>1217957</v>
          </cell>
          <cell r="X275">
            <v>21</v>
          </cell>
          <cell r="Y275" t="str">
            <v>Active</v>
          </cell>
          <cell r="AA275">
            <v>9480</v>
          </cell>
        </row>
        <row r="276">
          <cell r="A276">
            <v>9504</v>
          </cell>
          <cell r="B276" t="str">
            <v>St. Vincent Health Clinic East / Little Rock / AR</v>
          </cell>
          <cell r="D276">
            <v>1</v>
          </cell>
          <cell r="E276" t="str">
            <v>St. Vincent Health Clinic East (9504)</v>
          </cell>
          <cell r="F276" t="str">
            <v>St. Vincent Health Clinic East</v>
          </cell>
          <cell r="G276" t="str">
            <v>Little Rock</v>
          </cell>
          <cell r="H276" t="str">
            <v>AR</v>
          </cell>
          <cell r="I276" t="str">
            <v>72202</v>
          </cell>
          <cell r="J276" t="str">
            <v>Little Rock, AR 72202</v>
          </cell>
          <cell r="K276" t="str">
            <v>2500 E. 6th Street</v>
          </cell>
          <cell r="M276" t="str">
            <v>501-376-2007</v>
          </cell>
          <cell r="N276" t="str">
            <v>System Member Of</v>
          </cell>
          <cell r="O276" t="str">
            <v>Ambulatory Care</v>
          </cell>
          <cell r="P276" t="str">
            <v>Clinic</v>
          </cell>
          <cell r="R276" t="str">
            <v>EADGAG700</v>
          </cell>
          <cell r="S276" t="str">
            <v>1100003155482</v>
          </cell>
          <cell r="T276">
            <v>37712</v>
          </cell>
          <cell r="V276">
            <v>43000261</v>
          </cell>
          <cell r="W276">
            <v>379196</v>
          </cell>
          <cell r="X276">
            <v>2</v>
          </cell>
          <cell r="Y276" t="str">
            <v>Active</v>
          </cell>
          <cell r="AA276">
            <v>9504</v>
          </cell>
        </row>
        <row r="277">
          <cell r="A277">
            <v>9505</v>
          </cell>
          <cell r="B277" t="str">
            <v>Wildwood Family Clinic / Sherwood / AR</v>
          </cell>
          <cell r="D277">
            <v>1</v>
          </cell>
          <cell r="E277" t="str">
            <v>Wildwood Family Clinic (9505)</v>
          </cell>
          <cell r="F277" t="str">
            <v>Wildwood Family Clinic</v>
          </cell>
          <cell r="G277" t="str">
            <v>Sherwood</v>
          </cell>
          <cell r="H277" t="str">
            <v>AR</v>
          </cell>
          <cell r="I277" t="str">
            <v>72120</v>
          </cell>
          <cell r="J277" t="str">
            <v>Sherwood, AR 72120</v>
          </cell>
          <cell r="K277" t="str">
            <v>2215 Wildwood Ave. Suite 210</v>
          </cell>
          <cell r="M277" t="str">
            <v>501-552-7262</v>
          </cell>
          <cell r="N277" t="str">
            <v>System Member Of</v>
          </cell>
          <cell r="O277" t="str">
            <v>Ambulatory Care</v>
          </cell>
          <cell r="P277" t="str">
            <v>Clinic</v>
          </cell>
          <cell r="Q277" t="str">
            <v>AB1533098</v>
          </cell>
          <cell r="R277" t="str">
            <v>H8WW90Q00</v>
          </cell>
          <cell r="S277" t="str">
            <v>1100003114458</v>
          </cell>
          <cell r="T277">
            <v>37712</v>
          </cell>
          <cell r="U277">
            <v>37756</v>
          </cell>
          <cell r="V277">
            <v>43000261</v>
          </cell>
          <cell r="W277">
            <v>379196</v>
          </cell>
          <cell r="X277">
            <v>2</v>
          </cell>
          <cell r="Y277" t="str">
            <v>Active</v>
          </cell>
          <cell r="AA277">
            <v>9505</v>
          </cell>
        </row>
        <row r="278">
          <cell r="A278">
            <v>9566</v>
          </cell>
          <cell r="B278" t="str">
            <v>CHI Central Business Office / Exton / PA</v>
          </cell>
          <cell r="D278">
            <v>1</v>
          </cell>
          <cell r="E278" t="str">
            <v>CHI Central Business Office (9566)</v>
          </cell>
          <cell r="F278" t="str">
            <v>CHI Central Business Office</v>
          </cell>
          <cell r="G278" t="str">
            <v>Exton</v>
          </cell>
          <cell r="H278" t="str">
            <v>PA</v>
          </cell>
          <cell r="I278" t="str">
            <v>19341</v>
          </cell>
          <cell r="J278" t="str">
            <v>Exton, PA 19341</v>
          </cell>
          <cell r="K278" t="str">
            <v>440 Creamery Way</v>
          </cell>
          <cell r="M278" t="str">
            <v>610-358-3950</v>
          </cell>
          <cell r="N278" t="str">
            <v>System Member Of</v>
          </cell>
          <cell r="O278" t="str">
            <v>Other</v>
          </cell>
          <cell r="P278" t="str">
            <v>Health Care System/IDN - Office</v>
          </cell>
          <cell r="R278" t="str">
            <v>071EFEF00</v>
          </cell>
          <cell r="S278" t="str">
            <v>1100003913143</v>
          </cell>
          <cell r="T278">
            <v>37865</v>
          </cell>
          <cell r="V278">
            <v>0</v>
          </cell>
          <cell r="W278">
            <v>0</v>
          </cell>
          <cell r="X278">
            <v>91</v>
          </cell>
          <cell r="Y278" t="str">
            <v>Active</v>
          </cell>
          <cell r="AA278">
            <v>9566</v>
          </cell>
        </row>
        <row r="279">
          <cell r="A279">
            <v>9660</v>
          </cell>
          <cell r="B279" t="str">
            <v>Dominican Sisters / Great Bend / KS</v>
          </cell>
          <cell r="D279">
            <v>2</v>
          </cell>
          <cell r="E279" t="str">
            <v>Dominican Sisters (9660)</v>
          </cell>
          <cell r="F279" t="str">
            <v>Dominican Sisters</v>
          </cell>
          <cell r="G279" t="str">
            <v>Great Bend</v>
          </cell>
          <cell r="H279" t="str">
            <v>KS</v>
          </cell>
          <cell r="I279" t="str">
            <v>67530</v>
          </cell>
          <cell r="J279" t="str">
            <v>Great Bend, KS 67530</v>
          </cell>
          <cell r="K279" t="str">
            <v>3600 Broadway</v>
          </cell>
          <cell r="M279" t="str">
            <v>620-792-1232</v>
          </cell>
          <cell r="N279" t="str">
            <v>Affiliate Member Of</v>
          </cell>
          <cell r="O279" t="str">
            <v>Other</v>
          </cell>
          <cell r="P279" t="str">
            <v>Convent</v>
          </cell>
          <cell r="R279" t="str">
            <v>050IIIN00</v>
          </cell>
          <cell r="S279" t="str">
            <v>1100005045491</v>
          </cell>
          <cell r="T279">
            <v>37895</v>
          </cell>
          <cell r="V279">
            <v>43000261</v>
          </cell>
          <cell r="W279">
            <v>374782</v>
          </cell>
          <cell r="X279">
            <v>18</v>
          </cell>
          <cell r="Y279" t="str">
            <v>Active</v>
          </cell>
          <cell r="AA279">
            <v>9660</v>
          </cell>
        </row>
        <row r="280">
          <cell r="A280">
            <v>9734</v>
          </cell>
          <cell r="B280" t="str">
            <v>Medquest Home Medical Equipment / Dickinson / ND</v>
          </cell>
          <cell r="D280">
            <v>4</v>
          </cell>
          <cell r="E280" t="str">
            <v>Medquest Home Medical Equipment (9734)</v>
          </cell>
          <cell r="F280" t="str">
            <v>Medquest Home Medical Equipment</v>
          </cell>
          <cell r="G280" t="str">
            <v>Dickinson</v>
          </cell>
          <cell r="H280" t="str">
            <v>ND</v>
          </cell>
          <cell r="I280" t="str">
            <v>58601</v>
          </cell>
          <cell r="J280" t="str">
            <v>Dickinson, ND 58601</v>
          </cell>
          <cell r="K280" t="str">
            <v>584 12th Street West</v>
          </cell>
          <cell r="M280" t="str">
            <v>701-456-4364</v>
          </cell>
          <cell r="N280" t="str">
            <v>System Member Of</v>
          </cell>
          <cell r="O280" t="str">
            <v>Retail</v>
          </cell>
          <cell r="P280" t="str">
            <v>Durable Medical Equipment Dealer (DME)</v>
          </cell>
          <cell r="R280" t="str">
            <v>E4NFYM400</v>
          </cell>
          <cell r="S280" t="str">
            <v>1100005272002</v>
          </cell>
          <cell r="T280">
            <v>37987</v>
          </cell>
          <cell r="V280">
            <v>0</v>
          </cell>
          <cell r="W280">
            <v>0</v>
          </cell>
          <cell r="X280">
            <v>43</v>
          </cell>
          <cell r="Y280" t="str">
            <v>Active</v>
          </cell>
          <cell r="AA280">
            <v>9734</v>
          </cell>
        </row>
        <row r="281">
          <cell r="A281">
            <v>9758</v>
          </cell>
          <cell r="B281" t="str">
            <v>C.A.R.E. Medical / Devils Lake / ND</v>
          </cell>
          <cell r="D281">
            <v>4</v>
          </cell>
          <cell r="E281" t="str">
            <v>C.A.R.E. Medical (9758)</v>
          </cell>
          <cell r="F281" t="str">
            <v>C.A.R.E. Medical</v>
          </cell>
          <cell r="G281" t="str">
            <v>Devils Lake</v>
          </cell>
          <cell r="H281" t="str">
            <v>ND</v>
          </cell>
          <cell r="I281" t="str">
            <v>58301</v>
          </cell>
          <cell r="J281" t="str">
            <v>Devils Lake, ND 58301</v>
          </cell>
          <cell r="K281" t="str">
            <v>223 4th Ave. NE</v>
          </cell>
          <cell r="L281" t="str">
            <v>P.O.  Box 1195</v>
          </cell>
          <cell r="M281" t="str">
            <v>701-662-5056</v>
          </cell>
          <cell r="N281" t="str">
            <v>Affiliate Member Of</v>
          </cell>
          <cell r="O281" t="str">
            <v>Retail</v>
          </cell>
          <cell r="P281" t="str">
            <v>Durable Medical Equipment Dealer (DME)</v>
          </cell>
          <cell r="R281" t="str">
            <v>K286TNG00</v>
          </cell>
          <cell r="S281" t="str">
            <v>1100005338654</v>
          </cell>
          <cell r="T281">
            <v>37926</v>
          </cell>
          <cell r="V281">
            <v>43000261</v>
          </cell>
          <cell r="W281">
            <v>370394</v>
          </cell>
          <cell r="X281">
            <v>39</v>
          </cell>
          <cell r="Y281" t="str">
            <v>Active</v>
          </cell>
          <cell r="AA281">
            <v>9758</v>
          </cell>
        </row>
        <row r="282">
          <cell r="A282">
            <v>9795</v>
          </cell>
          <cell r="B282" t="str">
            <v>Berks Medical Equipment / Reading / PA</v>
          </cell>
          <cell r="D282">
            <v>1</v>
          </cell>
          <cell r="E282" t="str">
            <v>Berks Medical Equipment (9795)</v>
          </cell>
          <cell r="F282" t="str">
            <v>Berks Medical Equipment</v>
          </cell>
          <cell r="G282" t="str">
            <v>Reading</v>
          </cell>
          <cell r="H282" t="str">
            <v>PA</v>
          </cell>
          <cell r="I282" t="str">
            <v>19605</v>
          </cell>
          <cell r="J282" t="str">
            <v>Reading, PA 19605</v>
          </cell>
          <cell r="K282" t="str">
            <v>44C Wingco Lane</v>
          </cell>
          <cell r="M282" t="str">
            <v>610-916-1871</v>
          </cell>
          <cell r="N282" t="str">
            <v>System Member Of</v>
          </cell>
          <cell r="O282" t="str">
            <v>Retail</v>
          </cell>
          <cell r="P282" t="str">
            <v>Durable Medical Equipment Dealer (DME)</v>
          </cell>
          <cell r="R282" t="str">
            <v>8H607Y000</v>
          </cell>
          <cell r="S282" t="str">
            <v>1100004534460</v>
          </cell>
          <cell r="T282">
            <v>37926</v>
          </cell>
          <cell r="V282">
            <v>43000261</v>
          </cell>
          <cell r="W282">
            <v>960482</v>
          </cell>
          <cell r="X282">
            <v>57</v>
          </cell>
          <cell r="Y282" t="str">
            <v>Active</v>
          </cell>
          <cell r="AA282">
            <v>9795</v>
          </cell>
        </row>
        <row r="283">
          <cell r="A283">
            <v>9799</v>
          </cell>
          <cell r="B283" t="str">
            <v>Parker Adventist Hospital / Parker / CO</v>
          </cell>
          <cell r="D283">
            <v>5</v>
          </cell>
          <cell r="E283" t="str">
            <v>Parker Adventist Hospital (9799)</v>
          </cell>
          <cell r="F283" t="str">
            <v>Parker Adventist Hospital</v>
          </cell>
          <cell r="G283" t="str">
            <v>Parker</v>
          </cell>
          <cell r="H283" t="str">
            <v>CO</v>
          </cell>
          <cell r="I283" t="str">
            <v>80138</v>
          </cell>
          <cell r="J283" t="str">
            <v>Parker, CO 80138</v>
          </cell>
          <cell r="K283" t="str">
            <v>9395 Crown Crest Blvd.</v>
          </cell>
          <cell r="M283" t="str">
            <v>303-269-4772</v>
          </cell>
          <cell r="N283" t="str">
            <v>Affiliate Member Of</v>
          </cell>
          <cell r="O283" t="str">
            <v>Acute Care</v>
          </cell>
          <cell r="P283" t="str">
            <v>Hospital</v>
          </cell>
          <cell r="Q283" t="str">
            <v xml:space="preserve">BP8581096 </v>
          </cell>
          <cell r="R283" t="str">
            <v>DC9665F00</v>
          </cell>
          <cell r="S283" t="str">
            <v>1100002497644</v>
          </cell>
          <cell r="T283">
            <v>37926</v>
          </cell>
          <cell r="U283">
            <v>37970</v>
          </cell>
          <cell r="V283">
            <v>43000261</v>
          </cell>
          <cell r="W283">
            <v>102381</v>
          </cell>
          <cell r="X283">
            <v>7</v>
          </cell>
          <cell r="Y283" t="str">
            <v>Active</v>
          </cell>
          <cell r="AA283">
            <v>9799</v>
          </cell>
        </row>
        <row r="284">
          <cell r="A284">
            <v>10073</v>
          </cell>
          <cell r="B284" t="str">
            <v>St. Vincent Community Health Services / Little Rock / AR</v>
          </cell>
          <cell r="D284">
            <v>1</v>
          </cell>
          <cell r="E284" t="str">
            <v>St. Vincent Community Health Services (10073)</v>
          </cell>
          <cell r="F284" t="str">
            <v>St. Vincent Community Health Services</v>
          </cell>
          <cell r="G284" t="str">
            <v>Little Rock</v>
          </cell>
          <cell r="H284" t="str">
            <v>AR</v>
          </cell>
          <cell r="I284" t="str">
            <v>72205-5499</v>
          </cell>
          <cell r="J284" t="str">
            <v>Little Rock, AR 72205-5499</v>
          </cell>
          <cell r="K284" t="str">
            <v>#2 St. Vincent Circle</v>
          </cell>
          <cell r="M284" t="str">
            <v>501-552-2891</v>
          </cell>
          <cell r="N284" t="str">
            <v>System Member Of</v>
          </cell>
          <cell r="O284" t="str">
            <v>Ambulatory Care</v>
          </cell>
          <cell r="P284" t="str">
            <v>Specialty Physician Practice</v>
          </cell>
          <cell r="R284" t="str">
            <v>710700FF3</v>
          </cell>
          <cell r="S284" t="str">
            <v>1100004792228</v>
          </cell>
          <cell r="T284">
            <v>37956</v>
          </cell>
          <cell r="V284">
            <v>43000261</v>
          </cell>
          <cell r="W284">
            <v>379196</v>
          </cell>
          <cell r="X284">
            <v>2</v>
          </cell>
          <cell r="Y284" t="str">
            <v>Active</v>
          </cell>
          <cell r="AA284">
            <v>10073</v>
          </cell>
        </row>
        <row r="285">
          <cell r="A285">
            <v>10091</v>
          </cell>
          <cell r="B285" t="str">
            <v>7 Mile Medical Clinic / Winter Park / CO</v>
          </cell>
          <cell r="D285">
            <v>5</v>
          </cell>
          <cell r="E285" t="str">
            <v>7 Mile Medical Clinic (10091)</v>
          </cell>
          <cell r="F285" t="str">
            <v>7 Mile Medical Clinic</v>
          </cell>
          <cell r="G285" t="str">
            <v>Winter Park</v>
          </cell>
          <cell r="H285" t="str">
            <v>CO</v>
          </cell>
          <cell r="I285" t="str">
            <v>80482</v>
          </cell>
          <cell r="J285" t="str">
            <v>Winter Park, CO 80482</v>
          </cell>
          <cell r="K285" t="str">
            <v>145 Parsenn Road</v>
          </cell>
          <cell r="M285" t="str">
            <v>970-726-8066</v>
          </cell>
          <cell r="N285" t="str">
            <v>Affiliate Member Of</v>
          </cell>
          <cell r="O285" t="str">
            <v>Ambulatory Care</v>
          </cell>
          <cell r="P285" t="str">
            <v>Clinic</v>
          </cell>
          <cell r="R285" t="str">
            <v>TEKJAEY00</v>
          </cell>
          <cell r="S285" t="str">
            <v>1100002631925</v>
          </cell>
          <cell r="T285">
            <v>38001</v>
          </cell>
          <cell r="V285">
            <v>43000261</v>
          </cell>
          <cell r="W285">
            <v>102381</v>
          </cell>
          <cell r="X285">
            <v>4</v>
          </cell>
          <cell r="Y285" t="str">
            <v>Active</v>
          </cell>
          <cell r="AA285">
            <v>10091</v>
          </cell>
        </row>
        <row r="286">
          <cell r="A286">
            <v>10155</v>
          </cell>
          <cell r="B286" t="str">
            <v>St. Joseph Dialysis Gig Harbor / Gig Harbor / WA</v>
          </cell>
          <cell r="D286">
            <v>3</v>
          </cell>
          <cell r="E286" t="str">
            <v>St. Joseph Dialysis Gig Harbor (10155)</v>
          </cell>
          <cell r="F286" t="str">
            <v>St. Joseph Dialysis Gig Harbor</v>
          </cell>
          <cell r="G286" t="str">
            <v>Gig Harbor</v>
          </cell>
          <cell r="H286" t="str">
            <v>WA</v>
          </cell>
          <cell r="I286" t="str">
            <v>98335</v>
          </cell>
          <cell r="J286" t="str">
            <v>Gig Harbor, WA 98335</v>
          </cell>
          <cell r="K286" t="str">
            <v>4700 Point Fosdick Dr. NW</v>
          </cell>
          <cell r="M286" t="str">
            <v>253-853-2965</v>
          </cell>
          <cell r="N286" t="str">
            <v>System Member Of</v>
          </cell>
          <cell r="O286" t="str">
            <v>Acute Care</v>
          </cell>
          <cell r="P286" t="str">
            <v>Dialysis Center - Free-standing</v>
          </cell>
          <cell r="R286" t="str">
            <v>15ARRRP00</v>
          </cell>
          <cell r="S286" t="str">
            <v>1100005247819</v>
          </cell>
          <cell r="T286">
            <v>38047</v>
          </cell>
          <cell r="V286">
            <v>43000261</v>
          </cell>
          <cell r="W286">
            <v>960546</v>
          </cell>
          <cell r="X286">
            <v>64</v>
          </cell>
          <cell r="Y286" t="str">
            <v>Active</v>
          </cell>
          <cell r="AA286">
            <v>10155</v>
          </cell>
        </row>
        <row r="287">
          <cell r="A287">
            <v>10170</v>
          </cell>
          <cell r="B287" t="str">
            <v>St. John's Medical Group - St. John's MedCenter Columbus / Columbus / KS</v>
          </cell>
          <cell r="D287">
            <v>2</v>
          </cell>
          <cell r="E287" t="str">
            <v>St. John's Medical Group - St. John's MedCenter Columbus (10170)</v>
          </cell>
          <cell r="F287" t="str">
            <v>St. John's MedCenter Columbus</v>
          </cell>
          <cell r="G287" t="str">
            <v>Columbus</v>
          </cell>
          <cell r="H287" t="str">
            <v>KS</v>
          </cell>
          <cell r="I287" t="str">
            <v>66725</v>
          </cell>
          <cell r="J287" t="str">
            <v>Columbus, KS 66725</v>
          </cell>
          <cell r="K287" t="str">
            <v>101 W. Sycamore</v>
          </cell>
          <cell r="M287" t="str">
            <v>620-429-3636</v>
          </cell>
          <cell r="N287" t="str">
            <v>System Member Of</v>
          </cell>
          <cell r="O287" t="str">
            <v>Ambulatory Care</v>
          </cell>
          <cell r="P287" t="str">
            <v>Clinic</v>
          </cell>
          <cell r="Q287" t="str">
            <v>BS6855160</v>
          </cell>
          <cell r="R287" t="str">
            <v>HATYLGJ00</v>
          </cell>
          <cell r="S287" t="str">
            <v>1100002492656</v>
          </cell>
          <cell r="T287">
            <v>38061</v>
          </cell>
          <cell r="U287">
            <v>38092</v>
          </cell>
          <cell r="V287">
            <v>43000261</v>
          </cell>
          <cell r="W287">
            <v>374803</v>
          </cell>
          <cell r="X287">
            <v>36</v>
          </cell>
          <cell r="Y287" t="str">
            <v>Active</v>
          </cell>
          <cell r="AA287">
            <v>10170</v>
          </cell>
        </row>
        <row r="288">
          <cell r="A288">
            <v>10171</v>
          </cell>
          <cell r="B288" t="str">
            <v>Mercy Clinics dba Michelle Boice / Joplin / MO</v>
          </cell>
          <cell r="D288">
            <v>2</v>
          </cell>
          <cell r="E288" t="str">
            <v>Mercy Clinics dba Michelle Boice (10171)</v>
          </cell>
          <cell r="F288" t="str">
            <v>Mercy Clinics dba Michelle Boice</v>
          </cell>
          <cell r="G288" t="str">
            <v>Joplin</v>
          </cell>
          <cell r="H288" t="str">
            <v>MO</v>
          </cell>
          <cell r="I288" t="str">
            <v>64804</v>
          </cell>
          <cell r="J288" t="str">
            <v>Joplin, MO 64804</v>
          </cell>
          <cell r="K288" t="str">
            <v>2817 McClelland Blvd Suite 52</v>
          </cell>
          <cell r="M288" t="str">
            <v>417-623-6056</v>
          </cell>
          <cell r="N288" t="str">
            <v>System Member Of</v>
          </cell>
          <cell r="O288" t="str">
            <v>Ambulatory Care</v>
          </cell>
          <cell r="P288" t="str">
            <v>Clinic</v>
          </cell>
          <cell r="Q288" t="str">
            <v>BB2782553</v>
          </cell>
          <cell r="R288" t="str">
            <v>BBQQLRE00</v>
          </cell>
          <cell r="S288" t="str">
            <v>1100004689696</v>
          </cell>
          <cell r="T288">
            <v>38061</v>
          </cell>
          <cell r="U288">
            <v>38092</v>
          </cell>
          <cell r="V288">
            <v>0</v>
          </cell>
          <cell r="W288">
            <v>0</v>
          </cell>
          <cell r="X288">
            <v>36</v>
          </cell>
          <cell r="Y288" t="str">
            <v>Inactive</v>
          </cell>
          <cell r="Z288">
            <v>39294</v>
          </cell>
          <cell r="AA288">
            <v>10171</v>
          </cell>
        </row>
        <row r="289">
          <cell r="A289">
            <v>10172</v>
          </cell>
          <cell r="B289" t="str">
            <v>Mercy Clinics dba Brett Boice / Joplin / MO</v>
          </cell>
          <cell r="D289">
            <v>2</v>
          </cell>
          <cell r="E289" t="str">
            <v>Mercy Clinics dba Brett Boice (10172)</v>
          </cell>
          <cell r="F289" t="str">
            <v>Mercy Clinics dba Brett Boice</v>
          </cell>
          <cell r="G289" t="str">
            <v>Joplin</v>
          </cell>
          <cell r="H289" t="str">
            <v>MO</v>
          </cell>
          <cell r="I289" t="str">
            <v>64804</v>
          </cell>
          <cell r="J289" t="str">
            <v>Joplin, MO 64804</v>
          </cell>
          <cell r="K289" t="str">
            <v>2817 McClelland Blvd Suite 52</v>
          </cell>
          <cell r="M289" t="str">
            <v>417-623-6056</v>
          </cell>
          <cell r="N289" t="str">
            <v>System Member Of</v>
          </cell>
          <cell r="O289" t="str">
            <v>Ambulatory Care</v>
          </cell>
          <cell r="P289" t="str">
            <v>Clinic</v>
          </cell>
          <cell r="Q289" t="str">
            <v>BB1598626</v>
          </cell>
          <cell r="R289" t="str">
            <v>HA89P5200</v>
          </cell>
          <cell r="S289" t="str">
            <v>1100005263673</v>
          </cell>
          <cell r="T289">
            <v>38061</v>
          </cell>
          <cell r="U289">
            <v>38092</v>
          </cell>
          <cell r="V289">
            <v>0</v>
          </cell>
          <cell r="W289">
            <v>0</v>
          </cell>
          <cell r="X289">
            <v>36</v>
          </cell>
          <cell r="Y289" t="str">
            <v>Inactive</v>
          </cell>
          <cell r="Z289">
            <v>39294</v>
          </cell>
          <cell r="AA289">
            <v>10172</v>
          </cell>
        </row>
        <row r="290">
          <cell r="A290">
            <v>10173</v>
          </cell>
          <cell r="B290" t="str">
            <v>St. John's Medical Group - Internal Medicine  (Nickell, Rivas-Gotz) / Joplin / MO</v>
          </cell>
          <cell r="D290">
            <v>2</v>
          </cell>
          <cell r="E290" t="str">
            <v>St. John's Medical Group - Internal Medicine (Nickell, Rivas-Gotz) (10173)</v>
          </cell>
          <cell r="F290" t="str">
            <v>St. Johns Medical Group Internal Medicine</v>
          </cell>
          <cell r="G290" t="str">
            <v>Joplin</v>
          </cell>
          <cell r="H290" t="str">
            <v>MO</v>
          </cell>
          <cell r="I290" t="str">
            <v>64804</v>
          </cell>
          <cell r="J290" t="str">
            <v>Joplin, MO 64804</v>
          </cell>
          <cell r="K290" t="str">
            <v xml:space="preserve">1701 W. 26th </v>
          </cell>
          <cell r="L290" t="str">
            <v>Ste D</v>
          </cell>
          <cell r="M290" t="str">
            <v>417-624-8823</v>
          </cell>
          <cell r="N290" t="str">
            <v>System Member Of</v>
          </cell>
          <cell r="O290" t="str">
            <v>Ambulatory Care</v>
          </cell>
          <cell r="P290" t="str">
            <v>Clinic</v>
          </cell>
          <cell r="Q290" t="str">
            <v>BR8064230</v>
          </cell>
          <cell r="R290" t="str">
            <v>AHD5TBD00</v>
          </cell>
          <cell r="S290" t="str">
            <v>1100005649125</v>
          </cell>
          <cell r="T290">
            <v>38061</v>
          </cell>
          <cell r="U290">
            <v>38092</v>
          </cell>
          <cell r="V290">
            <v>43000261</v>
          </cell>
          <cell r="W290">
            <v>374803</v>
          </cell>
          <cell r="X290">
            <v>36</v>
          </cell>
          <cell r="Y290" t="str">
            <v>Active</v>
          </cell>
          <cell r="AA290">
            <v>10173</v>
          </cell>
        </row>
        <row r="291">
          <cell r="A291">
            <v>10174</v>
          </cell>
          <cell r="B291" t="str">
            <v>St. John's Medical Group - Neurology / Joplin / MO</v>
          </cell>
          <cell r="D291">
            <v>2</v>
          </cell>
          <cell r="E291" t="str">
            <v>St. John's Medical Group - Neurology (10174)</v>
          </cell>
          <cell r="F291" t="str">
            <v>Mercy Clinics Neurology</v>
          </cell>
          <cell r="G291" t="str">
            <v>Joplin</v>
          </cell>
          <cell r="H291" t="str">
            <v>MO</v>
          </cell>
          <cell r="I291" t="str">
            <v>64804</v>
          </cell>
          <cell r="J291" t="str">
            <v>Joplin, MO 64804</v>
          </cell>
          <cell r="K291" t="str">
            <v>2817 McClelland Blvd. Suite 155</v>
          </cell>
          <cell r="M291" t="str">
            <v>417-659-6876</v>
          </cell>
          <cell r="N291" t="str">
            <v>System Member Of</v>
          </cell>
          <cell r="O291" t="str">
            <v>Ambulatory Care</v>
          </cell>
          <cell r="P291" t="str">
            <v>Clinic</v>
          </cell>
          <cell r="Q291" t="str">
            <v>BP7611191</v>
          </cell>
          <cell r="R291" t="str">
            <v>4J47LM500</v>
          </cell>
          <cell r="S291" t="str">
            <v>1100003378089</v>
          </cell>
          <cell r="T291">
            <v>38061</v>
          </cell>
          <cell r="U291">
            <v>38092</v>
          </cell>
          <cell r="V291">
            <v>43000261</v>
          </cell>
          <cell r="W291">
            <v>374803</v>
          </cell>
          <cell r="X291">
            <v>36</v>
          </cell>
          <cell r="Y291" t="str">
            <v>Active</v>
          </cell>
          <cell r="AA291">
            <v>10174</v>
          </cell>
        </row>
        <row r="292">
          <cell r="A292">
            <v>10175</v>
          </cell>
          <cell r="B292" t="str">
            <v>St. John's Medical Group dba Amy Warner / Joplin / MO</v>
          </cell>
          <cell r="D292">
            <v>2</v>
          </cell>
          <cell r="E292" t="str">
            <v>St. John's Medical Group dba Amy Warner (10175)</v>
          </cell>
          <cell r="F292" t="str">
            <v>Mercy Clinics dba Amy Warner</v>
          </cell>
          <cell r="G292" t="str">
            <v>Joplin</v>
          </cell>
          <cell r="H292" t="str">
            <v>MO</v>
          </cell>
          <cell r="I292" t="str">
            <v>64804</v>
          </cell>
          <cell r="J292" t="str">
            <v>Joplin, MO 64804</v>
          </cell>
          <cell r="K292" t="str">
            <v>2817 McClelland Blvd. Suite 50</v>
          </cell>
          <cell r="M292" t="str">
            <v>417-627-8370</v>
          </cell>
          <cell r="N292" t="str">
            <v>System Member Of</v>
          </cell>
          <cell r="O292" t="str">
            <v>Ambulatory Care</v>
          </cell>
          <cell r="P292" t="str">
            <v>Clinic</v>
          </cell>
          <cell r="Q292" t="str">
            <v>BH6343901</v>
          </cell>
          <cell r="R292" t="str">
            <v>9CPH5HD00</v>
          </cell>
          <cell r="S292" t="str">
            <v>1100002220570</v>
          </cell>
          <cell r="T292">
            <v>38061</v>
          </cell>
          <cell r="U292">
            <v>38092</v>
          </cell>
          <cell r="V292">
            <v>43000261</v>
          </cell>
          <cell r="W292">
            <v>374803</v>
          </cell>
          <cell r="X292">
            <v>36</v>
          </cell>
          <cell r="Y292" t="str">
            <v>Active</v>
          </cell>
          <cell r="AA292">
            <v>10175</v>
          </cell>
        </row>
        <row r="293">
          <cell r="A293">
            <v>10177</v>
          </cell>
          <cell r="B293" t="str">
            <v>Mercy Clinics - Pain Management / Joplin / MO</v>
          </cell>
          <cell r="D293">
            <v>2</v>
          </cell>
          <cell r="E293" t="str">
            <v>Mercy Clinics - Pain Management (10177)</v>
          </cell>
          <cell r="F293" t="str">
            <v>Mercy Clinics - Pain Management</v>
          </cell>
          <cell r="G293" t="str">
            <v>Joplin</v>
          </cell>
          <cell r="H293" t="str">
            <v>MO</v>
          </cell>
          <cell r="I293" t="str">
            <v>64804</v>
          </cell>
          <cell r="J293" t="str">
            <v>Joplin, MO 64804</v>
          </cell>
          <cell r="K293" t="str">
            <v>3126 Jackson Suite 102</v>
          </cell>
          <cell r="M293" t="str">
            <v>417-626-7246</v>
          </cell>
          <cell r="N293" t="str">
            <v>System Member Of</v>
          </cell>
          <cell r="O293" t="str">
            <v>Ambulatory Care</v>
          </cell>
          <cell r="P293" t="str">
            <v>Clinic</v>
          </cell>
          <cell r="Q293" t="str">
            <v>AP8824547</v>
          </cell>
          <cell r="R293" t="str">
            <v>98PXA4H00</v>
          </cell>
          <cell r="S293" t="str">
            <v>1100003784064</v>
          </cell>
          <cell r="T293">
            <v>38061</v>
          </cell>
          <cell r="U293">
            <v>38092</v>
          </cell>
          <cell r="V293">
            <v>0</v>
          </cell>
          <cell r="W293">
            <v>0</v>
          </cell>
          <cell r="X293">
            <v>36</v>
          </cell>
          <cell r="Y293" t="str">
            <v>Inactive</v>
          </cell>
          <cell r="Z293">
            <v>39335</v>
          </cell>
          <cell r="AA293">
            <v>10177</v>
          </cell>
        </row>
        <row r="294">
          <cell r="A294">
            <v>10178</v>
          </cell>
          <cell r="B294" t="str">
            <v>Mercy Clinics - Grove / Grove / OK</v>
          </cell>
          <cell r="D294">
            <v>2</v>
          </cell>
          <cell r="E294" t="str">
            <v>Mercy Clinics - Grove (10178)</v>
          </cell>
          <cell r="F294" t="str">
            <v>Mercy Clinics - Grove</v>
          </cell>
          <cell r="G294" t="str">
            <v>Grove</v>
          </cell>
          <cell r="H294" t="str">
            <v>OK</v>
          </cell>
          <cell r="I294" t="str">
            <v>74344</v>
          </cell>
          <cell r="J294" t="str">
            <v>Grove, OK 74344</v>
          </cell>
          <cell r="K294" t="str">
            <v>601 E. 13th Street</v>
          </cell>
          <cell r="L294" t="str">
            <v>Suite A</v>
          </cell>
          <cell r="M294" t="str">
            <v>918-786-2277</v>
          </cell>
          <cell r="N294" t="str">
            <v>System Member Of</v>
          </cell>
          <cell r="O294" t="str">
            <v>Ambulatory Care</v>
          </cell>
          <cell r="P294" t="str">
            <v>Clinic</v>
          </cell>
          <cell r="Q294" t="str">
            <v>AS9341354</v>
          </cell>
          <cell r="R294" t="str">
            <v>3D87FDN00</v>
          </cell>
          <cell r="S294" t="str">
            <v>1100004096104</v>
          </cell>
          <cell r="T294">
            <v>38061</v>
          </cell>
          <cell r="V294">
            <v>0</v>
          </cell>
          <cell r="W294">
            <v>0</v>
          </cell>
          <cell r="X294">
            <v>36</v>
          </cell>
          <cell r="Y294" t="str">
            <v>Inactive</v>
          </cell>
          <cell r="Z294">
            <v>38564</v>
          </cell>
        </row>
        <row r="295">
          <cell r="A295">
            <v>10179</v>
          </cell>
          <cell r="B295" t="str">
            <v>St. John's Medical Group dba David Dugger / Joplin / MO</v>
          </cell>
          <cell r="D295">
            <v>2</v>
          </cell>
          <cell r="E295" t="str">
            <v>St. John's Medical Group dba David Dugger (10179)</v>
          </cell>
          <cell r="F295" t="str">
            <v>Mercy Clinics dba David Dugger</v>
          </cell>
          <cell r="G295" t="str">
            <v>Joplin</v>
          </cell>
          <cell r="H295" t="str">
            <v>MO</v>
          </cell>
          <cell r="I295" t="str">
            <v>64804</v>
          </cell>
          <cell r="J295" t="str">
            <v>Joplin, MO 64804</v>
          </cell>
          <cell r="K295" t="str">
            <v>2817 McClelland Blvd Suite 50</v>
          </cell>
          <cell r="M295" t="str">
            <v>417-627-8370</v>
          </cell>
          <cell r="N295" t="str">
            <v>System Member Of</v>
          </cell>
          <cell r="O295" t="str">
            <v>Ambulatory Care</v>
          </cell>
          <cell r="P295" t="str">
            <v>Clinic</v>
          </cell>
          <cell r="Q295" t="str">
            <v>AD9338080</v>
          </cell>
          <cell r="R295" t="str">
            <v>2A0GV8V00</v>
          </cell>
          <cell r="S295" t="str">
            <v>1100002520984</v>
          </cell>
          <cell r="T295">
            <v>38061</v>
          </cell>
          <cell r="U295">
            <v>38092</v>
          </cell>
          <cell r="V295">
            <v>43000261</v>
          </cell>
          <cell r="W295">
            <v>374803</v>
          </cell>
          <cell r="X295">
            <v>36</v>
          </cell>
          <cell r="Y295" t="str">
            <v>Active</v>
          </cell>
          <cell r="AA295">
            <v>10179</v>
          </cell>
        </row>
        <row r="296">
          <cell r="A296">
            <v>10180</v>
          </cell>
          <cell r="B296" t="str">
            <v>Mercy Clinics dba Jeffrey Jones / Joplin / MO</v>
          </cell>
          <cell r="D296">
            <v>2</v>
          </cell>
          <cell r="E296" t="str">
            <v>Mercy Clinics dba Jeffrey Jones (10180)</v>
          </cell>
          <cell r="F296" t="str">
            <v>Mercy Clinics dba Jeffrey Jones</v>
          </cell>
          <cell r="G296" t="str">
            <v>Joplin</v>
          </cell>
          <cell r="H296" t="str">
            <v>MO</v>
          </cell>
          <cell r="I296" t="str">
            <v>64804</v>
          </cell>
          <cell r="J296" t="str">
            <v>Joplin, MO 64804</v>
          </cell>
          <cell r="K296" t="str">
            <v>2817 McClelland Blvd Suite 52</v>
          </cell>
          <cell r="M296" t="str">
            <v>417-623-6056</v>
          </cell>
          <cell r="N296" t="str">
            <v>System Member Of</v>
          </cell>
          <cell r="O296" t="str">
            <v>Ambulatory Care</v>
          </cell>
          <cell r="P296" t="str">
            <v>Clinic</v>
          </cell>
          <cell r="Q296" t="str">
            <v>BJ1242469</v>
          </cell>
          <cell r="R296" t="str">
            <v>EYYNG2F00</v>
          </cell>
          <cell r="S296" t="str">
            <v>1100005307544</v>
          </cell>
          <cell r="T296">
            <v>38061</v>
          </cell>
          <cell r="U296">
            <v>38092</v>
          </cell>
          <cell r="V296">
            <v>43000261</v>
          </cell>
          <cell r="W296">
            <v>374803</v>
          </cell>
          <cell r="X296">
            <v>36</v>
          </cell>
          <cell r="Y296" t="str">
            <v>Active</v>
          </cell>
          <cell r="AA296">
            <v>10180</v>
          </cell>
        </row>
        <row r="297">
          <cell r="A297">
            <v>10181</v>
          </cell>
          <cell r="B297" t="str">
            <v>St. John's MedCenter at Neosho / Neosho / MO</v>
          </cell>
          <cell r="D297">
            <v>2</v>
          </cell>
          <cell r="E297" t="str">
            <v>St. John's MedCenter at Neosho (10181)</v>
          </cell>
          <cell r="F297" t="str">
            <v>St. John's MedCenter at Neosho</v>
          </cell>
          <cell r="G297" t="str">
            <v>Neosho</v>
          </cell>
          <cell r="H297" t="str">
            <v>MO</v>
          </cell>
          <cell r="I297" t="str">
            <v>64850</v>
          </cell>
          <cell r="J297" t="str">
            <v>Neosho, MO 64850</v>
          </cell>
          <cell r="K297" t="str">
            <v>2550 Lusk Drive</v>
          </cell>
          <cell r="M297" t="str">
            <v>417-451-2060</v>
          </cell>
          <cell r="N297" t="str">
            <v>System Member Of</v>
          </cell>
          <cell r="O297" t="str">
            <v>Ambulatory Care</v>
          </cell>
          <cell r="P297" t="str">
            <v>Clinic</v>
          </cell>
          <cell r="Q297" t="str">
            <v>AH1438832</v>
          </cell>
          <cell r="R297" t="str">
            <v>J0CKB5V00</v>
          </cell>
          <cell r="S297" t="str">
            <v>1100002502423</v>
          </cell>
          <cell r="T297">
            <v>38061</v>
          </cell>
          <cell r="U297">
            <v>38092</v>
          </cell>
          <cell r="V297">
            <v>43000261</v>
          </cell>
          <cell r="W297">
            <v>374803</v>
          </cell>
          <cell r="X297">
            <v>36</v>
          </cell>
          <cell r="Y297" t="str">
            <v>Active</v>
          </cell>
          <cell r="AA297">
            <v>10181</v>
          </cell>
        </row>
        <row r="298">
          <cell r="A298">
            <v>10182</v>
          </cell>
          <cell r="B298" t="str">
            <v>Mercy Capitol East Des Moines Clinic / Des Moines / IA</v>
          </cell>
          <cell r="D298">
            <v>2</v>
          </cell>
          <cell r="E298" t="str">
            <v>Mercy Capitol East Des Moines Clinic (10182)</v>
          </cell>
          <cell r="F298" t="str">
            <v>Mercy Capitol East Des Moines Clinic</v>
          </cell>
          <cell r="G298" t="str">
            <v>Des Moines</v>
          </cell>
          <cell r="H298" t="str">
            <v>IA</v>
          </cell>
          <cell r="I298" t="str">
            <v>50309</v>
          </cell>
          <cell r="J298" t="str">
            <v>Des Moines, IA 50309</v>
          </cell>
          <cell r="K298" t="str">
            <v>623 E 12th Street</v>
          </cell>
          <cell r="M298" t="str">
            <v>515-265-5355</v>
          </cell>
          <cell r="N298" t="str">
            <v>System Member Of</v>
          </cell>
          <cell r="O298" t="str">
            <v>Ambulatory Care</v>
          </cell>
          <cell r="P298" t="str">
            <v>Clinic</v>
          </cell>
          <cell r="Q298" t="str">
            <v>AT7110846</v>
          </cell>
          <cell r="R298" t="str">
            <v>B0APK1V00</v>
          </cell>
          <cell r="S298" t="str">
            <v>1100003523090</v>
          </cell>
          <cell r="T298">
            <v>38061</v>
          </cell>
          <cell r="U298">
            <v>38092</v>
          </cell>
          <cell r="V298">
            <v>43000261</v>
          </cell>
          <cell r="W298">
            <v>374766</v>
          </cell>
          <cell r="X298">
            <v>15</v>
          </cell>
          <cell r="Y298" t="str">
            <v>Active</v>
          </cell>
          <cell r="AA298">
            <v>10182</v>
          </cell>
        </row>
        <row r="299">
          <cell r="A299">
            <v>10183</v>
          </cell>
          <cell r="B299" t="str">
            <v>Mercy Clinics - Surgery / Joplin / MO</v>
          </cell>
          <cell r="D299">
            <v>2</v>
          </cell>
          <cell r="E299" t="str">
            <v>Mercy Clinics - Surgery (10183)</v>
          </cell>
          <cell r="F299" t="str">
            <v>Mercy Clinics - Surgery</v>
          </cell>
          <cell r="G299" t="str">
            <v>Joplin</v>
          </cell>
          <cell r="H299" t="str">
            <v>MO</v>
          </cell>
          <cell r="I299" t="str">
            <v>64804</v>
          </cell>
          <cell r="J299" t="str">
            <v>Joplin, MO 64804</v>
          </cell>
          <cell r="K299" t="str">
            <v>2817 McClelland Blvd. Suite 254</v>
          </cell>
          <cell r="M299" t="str">
            <v>417-623-1131</v>
          </cell>
          <cell r="N299" t="str">
            <v>System Member Of</v>
          </cell>
          <cell r="O299" t="str">
            <v>Ambulatory Care</v>
          </cell>
          <cell r="P299" t="str">
            <v>Clinic</v>
          </cell>
          <cell r="Q299" t="str">
            <v>AN8880569</v>
          </cell>
          <cell r="R299" t="str">
            <v>BBF40TY00</v>
          </cell>
          <cell r="S299" t="str">
            <v>1100005041516</v>
          </cell>
          <cell r="T299">
            <v>38061</v>
          </cell>
          <cell r="U299">
            <v>38092</v>
          </cell>
          <cell r="V299">
            <v>43000261</v>
          </cell>
          <cell r="W299">
            <v>374803</v>
          </cell>
          <cell r="X299">
            <v>36</v>
          </cell>
          <cell r="Y299" t="str">
            <v>Active</v>
          </cell>
          <cell r="AA299">
            <v>10183</v>
          </cell>
        </row>
        <row r="300">
          <cell r="A300">
            <v>10185</v>
          </cell>
          <cell r="B300" t="str">
            <v>Mercy Clinics - Plastic Surgery / Joplin / MO</v>
          </cell>
          <cell r="D300">
            <v>2</v>
          </cell>
          <cell r="E300" t="str">
            <v>Mercy Clinics - Plastic Surgery (10185)</v>
          </cell>
          <cell r="F300" t="str">
            <v>Mercy Clinics - Plastic Surgery</v>
          </cell>
          <cell r="G300" t="str">
            <v>Joplin</v>
          </cell>
          <cell r="H300" t="str">
            <v>MO</v>
          </cell>
          <cell r="I300" t="str">
            <v>64804</v>
          </cell>
          <cell r="J300" t="str">
            <v>Joplin, MO 64804</v>
          </cell>
          <cell r="K300" t="str">
            <v>2817 McClelland Blvd. Suite 151</v>
          </cell>
          <cell r="M300" t="str">
            <v>417-659-6710</v>
          </cell>
          <cell r="N300" t="str">
            <v>System Member Of</v>
          </cell>
          <cell r="O300" t="str">
            <v>Ambulatory Care</v>
          </cell>
          <cell r="P300" t="str">
            <v>Clinic</v>
          </cell>
          <cell r="Q300" t="str">
            <v>AH2115334</v>
          </cell>
          <cell r="R300" t="str">
            <v>5BDDTXW00</v>
          </cell>
          <cell r="S300" t="str">
            <v>1100003752520</v>
          </cell>
          <cell r="T300">
            <v>38061</v>
          </cell>
          <cell r="U300">
            <v>38092</v>
          </cell>
          <cell r="V300">
            <v>0</v>
          </cell>
          <cell r="W300">
            <v>0</v>
          </cell>
          <cell r="X300">
            <v>36</v>
          </cell>
          <cell r="Y300" t="str">
            <v>Inactive</v>
          </cell>
          <cell r="Z300">
            <v>39303</v>
          </cell>
          <cell r="AA300">
            <v>10185</v>
          </cell>
        </row>
        <row r="301">
          <cell r="A301">
            <v>10186</v>
          </cell>
          <cell r="B301" t="str">
            <v>St. John's Medical Group - St. John's MedCenter at Baxter Springs / Baxter Springs / KS</v>
          </cell>
          <cell r="D301">
            <v>2</v>
          </cell>
          <cell r="E301" t="str">
            <v>St. John's Medical Group - St. John's MedCenter at Baxter Springs (10186)</v>
          </cell>
          <cell r="F301" t="str">
            <v>St. John's MedCenter at Baxter Springs</v>
          </cell>
          <cell r="G301" t="str">
            <v>Baxter Springs</v>
          </cell>
          <cell r="H301" t="str">
            <v>KS</v>
          </cell>
          <cell r="I301" t="str">
            <v>66713</v>
          </cell>
          <cell r="J301" t="str">
            <v>Baxter Springs, KS 66713</v>
          </cell>
          <cell r="K301" t="str">
            <v>445 E. 10th Street</v>
          </cell>
          <cell r="M301" t="str">
            <v>620-856-3469</v>
          </cell>
          <cell r="N301" t="str">
            <v>System Member Of</v>
          </cell>
          <cell r="O301" t="str">
            <v>Ambulatory Care</v>
          </cell>
          <cell r="P301" t="str">
            <v>Clinic</v>
          </cell>
          <cell r="Q301" t="str">
            <v>BB5483184</v>
          </cell>
          <cell r="R301" t="str">
            <v>2341WW200</v>
          </cell>
          <cell r="S301" t="str">
            <v>1100002988210</v>
          </cell>
          <cell r="T301">
            <v>38061</v>
          </cell>
          <cell r="U301">
            <v>38092</v>
          </cell>
          <cell r="V301">
            <v>43000261</v>
          </cell>
          <cell r="W301">
            <v>374803</v>
          </cell>
          <cell r="X301">
            <v>36</v>
          </cell>
          <cell r="Y301" t="str">
            <v>Active</v>
          </cell>
          <cell r="AA301">
            <v>10186</v>
          </cell>
        </row>
        <row r="302">
          <cell r="A302">
            <v>10187</v>
          </cell>
          <cell r="B302" t="str">
            <v>St. John's Medical Group - Webb City / Webb City / MO</v>
          </cell>
          <cell r="D302">
            <v>2</v>
          </cell>
          <cell r="E302" t="str">
            <v>St. John's Medical Group - Webb City (10187)</v>
          </cell>
          <cell r="F302" t="str">
            <v>St. John's Medical Group - Webb City</v>
          </cell>
          <cell r="G302" t="str">
            <v>Webb City</v>
          </cell>
          <cell r="H302" t="str">
            <v>MO</v>
          </cell>
          <cell r="I302" t="str">
            <v>64870</v>
          </cell>
          <cell r="J302" t="str">
            <v>Webb City, MO 64870</v>
          </cell>
          <cell r="K302" t="str">
            <v xml:space="preserve">1715 S. Madison </v>
          </cell>
          <cell r="M302" t="str">
            <v>417-673-1301</v>
          </cell>
          <cell r="N302" t="str">
            <v>System Member Of</v>
          </cell>
          <cell r="O302" t="str">
            <v>Ambulatory Care</v>
          </cell>
          <cell r="P302" t="str">
            <v>Clinic</v>
          </cell>
          <cell r="Q302" t="str">
            <v>BG5766475</v>
          </cell>
          <cell r="R302" t="str">
            <v>56DVJDF00</v>
          </cell>
          <cell r="S302" t="str">
            <v>1100003293917</v>
          </cell>
          <cell r="T302">
            <v>38061</v>
          </cell>
          <cell r="U302">
            <v>38092</v>
          </cell>
          <cell r="V302">
            <v>43000261</v>
          </cell>
          <cell r="W302">
            <v>374803</v>
          </cell>
          <cell r="X302">
            <v>36</v>
          </cell>
          <cell r="Y302" t="str">
            <v>Active</v>
          </cell>
          <cell r="AA302">
            <v>10187</v>
          </cell>
        </row>
        <row r="303">
          <cell r="A303">
            <v>10189</v>
          </cell>
          <cell r="B303" t="str">
            <v>St. John's Medical Group - General Surgery (Dandridge &amp; Dodson) / Joplin / MO</v>
          </cell>
          <cell r="D303">
            <v>2</v>
          </cell>
          <cell r="E303" t="str">
            <v>St. John's Medical Group - General Surgery (Dandridge &amp; Dodson) (10189)</v>
          </cell>
          <cell r="F303" t="str">
            <v>Mercy Clinics - General Surgery</v>
          </cell>
          <cell r="G303" t="str">
            <v>Joplin</v>
          </cell>
          <cell r="H303" t="str">
            <v>MO</v>
          </cell>
          <cell r="I303" t="str">
            <v>64804</v>
          </cell>
          <cell r="J303" t="str">
            <v>Joplin, MO 64804</v>
          </cell>
          <cell r="K303" t="str">
            <v>2817 McClelland Blvd.   Suite 256</v>
          </cell>
          <cell r="M303" t="str">
            <v>417-781-4405</v>
          </cell>
          <cell r="N303" t="str">
            <v>System Member Of</v>
          </cell>
          <cell r="O303" t="str">
            <v>Ambulatory Care</v>
          </cell>
          <cell r="P303" t="str">
            <v>Clinic</v>
          </cell>
          <cell r="Q303" t="str">
            <v>AD6926577</v>
          </cell>
          <cell r="R303" t="str">
            <v>0W9T9MT00</v>
          </cell>
          <cell r="S303" t="str">
            <v>1100002067526</v>
          </cell>
          <cell r="T303">
            <v>38061</v>
          </cell>
          <cell r="U303">
            <v>38092</v>
          </cell>
          <cell r="V303">
            <v>43000261</v>
          </cell>
          <cell r="W303">
            <v>374803</v>
          </cell>
          <cell r="X303">
            <v>36</v>
          </cell>
          <cell r="Y303" t="str">
            <v>Active</v>
          </cell>
          <cell r="AA303">
            <v>10189</v>
          </cell>
        </row>
        <row r="304">
          <cell r="A304">
            <v>10218</v>
          </cell>
          <cell r="B304" t="str">
            <v>St. John's Medical Group - Pittsburg (Maraji) / Pittsburg / KS</v>
          </cell>
          <cell r="D304">
            <v>2</v>
          </cell>
          <cell r="E304" t="str">
            <v>St. John's Medical Group - Pittsburg (Maraji) (10218)</v>
          </cell>
          <cell r="F304" t="str">
            <v>St. John's Mercy Clinics Pittsburg</v>
          </cell>
          <cell r="G304" t="str">
            <v>Pittsburg</v>
          </cell>
          <cell r="H304" t="str">
            <v>KS</v>
          </cell>
          <cell r="I304" t="str">
            <v>66762</v>
          </cell>
          <cell r="J304" t="str">
            <v>Pittsburg, KS 66762</v>
          </cell>
          <cell r="K304" t="str">
            <v>2711 S. Rouse, Suites C &amp; D</v>
          </cell>
          <cell r="M304" t="str">
            <v>620-231-5965</v>
          </cell>
          <cell r="N304" t="str">
            <v>System Member Of</v>
          </cell>
          <cell r="O304" t="str">
            <v>Ambulatory Care</v>
          </cell>
          <cell r="P304" t="str">
            <v>Clinic</v>
          </cell>
          <cell r="Q304" t="str">
            <v>BM8235358</v>
          </cell>
          <cell r="R304" t="str">
            <v>7GDTVAY00</v>
          </cell>
          <cell r="S304" t="str">
            <v>1100004017123</v>
          </cell>
          <cell r="T304">
            <v>38078</v>
          </cell>
          <cell r="U304">
            <v>38108</v>
          </cell>
          <cell r="V304">
            <v>43000261</v>
          </cell>
          <cell r="W304">
            <v>374803</v>
          </cell>
          <cell r="X304">
            <v>36</v>
          </cell>
          <cell r="Y304" t="str">
            <v>Active</v>
          </cell>
          <cell r="AA304">
            <v>10218</v>
          </cell>
        </row>
        <row r="305">
          <cell r="A305">
            <v>10219</v>
          </cell>
          <cell r="B305" t="str">
            <v>St. John's Medical Group - Pulmonology / Joplin / MO</v>
          </cell>
          <cell r="D305">
            <v>2</v>
          </cell>
          <cell r="E305" t="str">
            <v>St. John's Medical Group - Pulmonology (10219)</v>
          </cell>
          <cell r="F305" t="str">
            <v>St. John's Medical Group - Pulmonology</v>
          </cell>
          <cell r="G305" t="str">
            <v>Joplin</v>
          </cell>
          <cell r="H305" t="str">
            <v>MO</v>
          </cell>
          <cell r="I305" t="str">
            <v>64804</v>
          </cell>
          <cell r="J305" t="str">
            <v>Joplin, MO 64804</v>
          </cell>
          <cell r="K305" t="str">
            <v>1531 W. 32nd Street</v>
          </cell>
          <cell r="L305" t="str">
            <v>Ste. 201</v>
          </cell>
          <cell r="M305" t="str">
            <v>417-782-5063</v>
          </cell>
          <cell r="N305" t="str">
            <v>System Member Of</v>
          </cell>
          <cell r="O305" t="str">
            <v>Ambulatory Care</v>
          </cell>
          <cell r="P305" t="str">
            <v>Clinic</v>
          </cell>
          <cell r="Q305" t="str">
            <v>BA8437229</v>
          </cell>
          <cell r="R305" t="str">
            <v>KLWVY4Y00</v>
          </cell>
          <cell r="S305" t="str">
            <v>1100002888039</v>
          </cell>
          <cell r="T305">
            <v>38078</v>
          </cell>
          <cell r="U305">
            <v>38108</v>
          </cell>
          <cell r="V305">
            <v>43000261</v>
          </cell>
          <cell r="W305">
            <v>374803</v>
          </cell>
          <cell r="X305">
            <v>36</v>
          </cell>
          <cell r="Y305" t="str">
            <v>Active</v>
          </cell>
          <cell r="AA305">
            <v>10219</v>
          </cell>
        </row>
        <row r="306">
          <cell r="A306">
            <v>10223</v>
          </cell>
          <cell r="B306" t="str">
            <v>Mercy Health Services Corporation dba St. John's Medical Equipment Company / Joplin / MO</v>
          </cell>
          <cell r="D306">
            <v>2</v>
          </cell>
          <cell r="E306" t="str">
            <v>Mercy Health Services Corporation dba St. John's Medical Equipment Company (10223)</v>
          </cell>
          <cell r="F306" t="str">
            <v>St. John’s Medical Equipment Co.</v>
          </cell>
          <cell r="G306" t="str">
            <v>Joplin</v>
          </cell>
          <cell r="H306" t="str">
            <v>MO</v>
          </cell>
          <cell r="I306" t="str">
            <v>64804</v>
          </cell>
          <cell r="J306" t="str">
            <v>Joplin, MO 64804</v>
          </cell>
          <cell r="K306" t="str">
            <v>1905 W. 32nd</v>
          </cell>
          <cell r="L306" t="str">
            <v>Suite 102</v>
          </cell>
          <cell r="M306" t="str">
            <v>417-627-8424</v>
          </cell>
          <cell r="N306" t="str">
            <v>System Member Of</v>
          </cell>
          <cell r="O306" t="str">
            <v>Retail</v>
          </cell>
          <cell r="P306" t="str">
            <v>Durable Medical Equipment Dealer (DME)</v>
          </cell>
          <cell r="S306" t="str">
            <v>1100005249998</v>
          </cell>
          <cell r="T306">
            <v>38092</v>
          </cell>
          <cell r="V306">
            <v>43000261</v>
          </cell>
          <cell r="W306">
            <v>374803</v>
          </cell>
          <cell r="X306">
            <v>36</v>
          </cell>
          <cell r="Y306" t="str">
            <v>Active</v>
          </cell>
          <cell r="AA306">
            <v>10223</v>
          </cell>
        </row>
        <row r="307">
          <cell r="A307">
            <v>10248</v>
          </cell>
          <cell r="B307" t="str">
            <v>Mercy Clinics - Christopher H. Roberts, MD / Joplin / MO</v>
          </cell>
          <cell r="D307">
            <v>2</v>
          </cell>
          <cell r="E307" t="str">
            <v>Mercy Clinics - Christopher H. Roberts, MD (10248)</v>
          </cell>
          <cell r="F307" t="str">
            <v>Mercy Clinics - Christopher H. Roberts, MD</v>
          </cell>
          <cell r="G307" t="str">
            <v>Joplin</v>
          </cell>
          <cell r="H307" t="str">
            <v>MO</v>
          </cell>
          <cell r="I307" t="str">
            <v>64804</v>
          </cell>
          <cell r="J307" t="str">
            <v>Joplin, MO 64804</v>
          </cell>
          <cell r="K307" t="str">
            <v>1905 West 32nd Street</v>
          </cell>
          <cell r="L307" t="str">
            <v>Suite 303</v>
          </cell>
          <cell r="M307" t="str">
            <v>417-624-1714</v>
          </cell>
          <cell r="N307" t="str">
            <v>System Member Of</v>
          </cell>
          <cell r="O307" t="str">
            <v>Ambulatory Care</v>
          </cell>
          <cell r="P307" t="str">
            <v>Clinic</v>
          </cell>
          <cell r="Q307" t="str">
            <v>BR4525703</v>
          </cell>
          <cell r="R307" t="str">
            <v>3DXJ24200</v>
          </cell>
          <cell r="S307" t="str">
            <v>1100003319730</v>
          </cell>
          <cell r="T307">
            <v>38107</v>
          </cell>
          <cell r="U307">
            <v>38139</v>
          </cell>
          <cell r="V307">
            <v>0</v>
          </cell>
          <cell r="W307">
            <v>0</v>
          </cell>
          <cell r="X307">
            <v>36</v>
          </cell>
          <cell r="Y307" t="str">
            <v>Inactive</v>
          </cell>
          <cell r="Z307">
            <v>39335</v>
          </cell>
          <cell r="AA307">
            <v>10248</v>
          </cell>
        </row>
        <row r="308">
          <cell r="A308">
            <v>10310</v>
          </cell>
          <cell r="B308" t="str">
            <v>MRI of West Morris / Succasunna / NJ</v>
          </cell>
          <cell r="D308">
            <v>1</v>
          </cell>
          <cell r="E308" t="str">
            <v>MRI of West Morris (10310)</v>
          </cell>
          <cell r="F308" t="str">
            <v>MRI of West Morris</v>
          </cell>
          <cell r="G308" t="str">
            <v>Succasunna</v>
          </cell>
          <cell r="H308" t="str">
            <v>NJ</v>
          </cell>
          <cell r="I308" t="str">
            <v>07876</v>
          </cell>
          <cell r="J308" t="str">
            <v>Succasunna,  NJ  07876</v>
          </cell>
          <cell r="K308" t="str">
            <v>66 Sunset Strip, Suite 105</v>
          </cell>
          <cell r="N308" t="str">
            <v>System Member Of</v>
          </cell>
          <cell r="O308" t="str">
            <v>Ambulatory Care</v>
          </cell>
          <cell r="P308" t="str">
            <v>Diagnostic Imaging Center</v>
          </cell>
          <cell r="Q308" t="str">
            <v>1100005145115</v>
          </cell>
          <cell r="S308" t="str">
            <v>17D9HEP00</v>
          </cell>
          <cell r="T308">
            <v>39539</v>
          </cell>
          <cell r="V308">
            <v>0</v>
          </cell>
          <cell r="W308">
            <v>0</v>
          </cell>
          <cell r="Y308" t="str">
            <v>Active</v>
          </cell>
          <cell r="Z308">
            <v>2958465</v>
          </cell>
          <cell r="AA308">
            <v>10310</v>
          </cell>
        </row>
        <row r="309">
          <cell r="A309">
            <v>10311</v>
          </cell>
          <cell r="B309" t="str">
            <v>Magnetic Imaging of Morris / Mountain Lakes / NJ</v>
          </cell>
          <cell r="D309">
            <v>1</v>
          </cell>
          <cell r="E309" t="str">
            <v>Magnetic Imaging of Morris (10311)</v>
          </cell>
          <cell r="F309" t="str">
            <v>Magnetic Imaging of Morris</v>
          </cell>
          <cell r="G309" t="str">
            <v>Mountain Lakes</v>
          </cell>
          <cell r="H309" t="str">
            <v>NJ</v>
          </cell>
          <cell r="I309" t="str">
            <v>07046</v>
          </cell>
          <cell r="J309" t="str">
            <v>Mountain Lakes,  NJ  07046</v>
          </cell>
          <cell r="K309" t="str">
            <v>420 Boulevard, Suite 103</v>
          </cell>
          <cell r="N309" t="str">
            <v>System Member Of</v>
          </cell>
          <cell r="O309" t="str">
            <v>Ambulatory Care</v>
          </cell>
          <cell r="P309" t="str">
            <v>Diagnostic Imaging Center</v>
          </cell>
          <cell r="Q309" t="str">
            <v>1100002594749</v>
          </cell>
          <cell r="S309" t="str">
            <v>EHXVNT300</v>
          </cell>
          <cell r="T309">
            <v>39539</v>
          </cell>
          <cell r="V309">
            <v>0</v>
          </cell>
          <cell r="W309">
            <v>0</v>
          </cell>
          <cell r="Y309" t="str">
            <v>Active</v>
          </cell>
          <cell r="Z309">
            <v>2958465</v>
          </cell>
          <cell r="AA309">
            <v>10311</v>
          </cell>
        </row>
        <row r="310">
          <cell r="A310">
            <v>10312</v>
          </cell>
          <cell r="B310" t="str">
            <v>Health S.E.T. / Denver / CO</v>
          </cell>
          <cell r="D310">
            <v>5</v>
          </cell>
          <cell r="E310" t="str">
            <v>Health S.E.T. (10312)</v>
          </cell>
          <cell r="F310" t="str">
            <v>Health S.E.T.</v>
          </cell>
          <cell r="G310" t="str">
            <v>Denver</v>
          </cell>
          <cell r="H310" t="str">
            <v>CO</v>
          </cell>
          <cell r="I310" t="str">
            <v>80204</v>
          </cell>
          <cell r="J310" t="str">
            <v>Denver, CO 80204</v>
          </cell>
          <cell r="K310" t="str">
            <v>4200 West Conejos Place</v>
          </cell>
          <cell r="L310" t="str">
            <v>Suite 436</v>
          </cell>
          <cell r="M310" t="str">
            <v>303-595-6633</v>
          </cell>
          <cell r="N310" t="str">
            <v>System Member Of</v>
          </cell>
          <cell r="O310" t="str">
            <v>Other</v>
          </cell>
          <cell r="P310" t="str">
            <v>Social Service Agency</v>
          </cell>
          <cell r="R310" t="str">
            <v>6H4HWY200</v>
          </cell>
          <cell r="S310" t="str">
            <v>1100003926730</v>
          </cell>
          <cell r="T310">
            <v>38153</v>
          </cell>
          <cell r="V310">
            <v>43000261</v>
          </cell>
          <cell r="W310">
            <v>102381</v>
          </cell>
          <cell r="X310">
            <v>4</v>
          </cell>
          <cell r="Y310" t="str">
            <v>Active</v>
          </cell>
          <cell r="AA310">
            <v>10312</v>
          </cell>
        </row>
        <row r="311">
          <cell r="A311">
            <v>10314</v>
          </cell>
          <cell r="B311" t="str">
            <v>Friendship Inc. - Office - Fargo / Fargo  / ND</v>
          </cell>
          <cell r="D311">
            <v>4</v>
          </cell>
          <cell r="E311" t="str">
            <v>Friendship Inc. - Office - Fargo (10314)</v>
          </cell>
          <cell r="F311" t="str">
            <v>Friendship Inc. - Office - Fargo</v>
          </cell>
          <cell r="G311" t="str">
            <v xml:space="preserve">Fargo </v>
          </cell>
          <cell r="H311" t="str">
            <v>ND</v>
          </cell>
          <cell r="I311" t="str">
            <v>58103</v>
          </cell>
          <cell r="J311" t="str">
            <v>Fargo , ND 58103</v>
          </cell>
          <cell r="K311" t="str">
            <v>801 Page Drive</v>
          </cell>
          <cell r="M311" t="str">
            <v>701-235-8217</v>
          </cell>
          <cell r="N311" t="str">
            <v>System Member Of</v>
          </cell>
          <cell r="O311" t="str">
            <v>Long Term Care</v>
          </cell>
          <cell r="P311" t="str">
            <v>Long Term Care - Other</v>
          </cell>
          <cell r="R311" t="str">
            <v>43Y96J300</v>
          </cell>
          <cell r="S311" t="str">
            <v>1100003450907</v>
          </cell>
          <cell r="T311">
            <v>38168</v>
          </cell>
          <cell r="V311">
            <v>43000261</v>
          </cell>
          <cell r="W311">
            <v>370415</v>
          </cell>
          <cell r="X311">
            <v>91</v>
          </cell>
          <cell r="Y311" t="str">
            <v>Active</v>
          </cell>
          <cell r="AA311">
            <v>10314</v>
          </cell>
        </row>
        <row r="312">
          <cell r="A312">
            <v>10315</v>
          </cell>
          <cell r="B312" t="str">
            <v>Riverview Place / Fargo / ND</v>
          </cell>
          <cell r="D312">
            <v>4</v>
          </cell>
          <cell r="E312" t="str">
            <v>Riverview Place (10315)</v>
          </cell>
          <cell r="F312" t="str">
            <v>Riverview Place</v>
          </cell>
          <cell r="G312" t="str">
            <v>Fargo</v>
          </cell>
          <cell r="H312" t="str">
            <v>ND</v>
          </cell>
          <cell r="I312" t="str">
            <v>58104</v>
          </cell>
          <cell r="J312" t="str">
            <v>Fargo, ND 58104</v>
          </cell>
          <cell r="K312" t="str">
            <v>5300 12th Street South</v>
          </cell>
          <cell r="M312" t="str">
            <v>701-237-4700</v>
          </cell>
          <cell r="N312" t="str">
            <v>System Member Of</v>
          </cell>
          <cell r="O312" t="str">
            <v>Long Term Care</v>
          </cell>
          <cell r="P312" t="str">
            <v>Assisted Living Facility</v>
          </cell>
          <cell r="R312" t="str">
            <v>EK4RVPD00</v>
          </cell>
          <cell r="S312" t="str">
            <v>1100002941079</v>
          </cell>
          <cell r="T312">
            <v>38168</v>
          </cell>
          <cell r="V312">
            <v>43000261</v>
          </cell>
          <cell r="W312">
            <v>370423</v>
          </cell>
          <cell r="X312">
            <v>91</v>
          </cell>
          <cell r="Y312" t="str">
            <v>Active</v>
          </cell>
          <cell r="AA312">
            <v>10315</v>
          </cell>
        </row>
        <row r="313">
          <cell r="A313">
            <v>10340</v>
          </cell>
          <cell r="B313" t="str">
            <v>Ness County Hospital / Ness City / KS</v>
          </cell>
          <cell r="D313">
            <v>2</v>
          </cell>
          <cell r="E313" t="str">
            <v>Ness County Hospital (10340)</v>
          </cell>
          <cell r="F313" t="str">
            <v>Ness County Hospital</v>
          </cell>
          <cell r="G313" t="str">
            <v>Ness City</v>
          </cell>
          <cell r="H313" t="str">
            <v>KS</v>
          </cell>
          <cell r="I313" t="str">
            <v>67560</v>
          </cell>
          <cell r="J313" t="str">
            <v>Ness City, KS 67560</v>
          </cell>
          <cell r="K313" t="str">
            <v>312 Custer</v>
          </cell>
          <cell r="M313" t="str">
            <v>785-798-2291</v>
          </cell>
          <cell r="N313" t="str">
            <v>Affiliate Member Of</v>
          </cell>
          <cell r="O313" t="str">
            <v>Acute Care</v>
          </cell>
          <cell r="P313" t="str">
            <v>Hospital</v>
          </cell>
          <cell r="R313" t="str">
            <v>671030H00</v>
          </cell>
          <cell r="S313" t="str">
            <v>1100004963482</v>
          </cell>
          <cell r="T313">
            <v>38200</v>
          </cell>
          <cell r="V313">
            <v>0</v>
          </cell>
          <cell r="W313">
            <v>0</v>
          </cell>
          <cell r="X313">
            <v>18</v>
          </cell>
          <cell r="Y313" t="str">
            <v>Inactive</v>
          </cell>
          <cell r="Z313">
            <v>39507</v>
          </cell>
          <cell r="AA313">
            <v>10340</v>
          </cell>
        </row>
        <row r="314">
          <cell r="A314">
            <v>10382</v>
          </cell>
          <cell r="B314" t="str">
            <v>St. John's Medical Group - Cardiology(Hoff, Gayton,Wolf) / Joplin / MO</v>
          </cell>
          <cell r="D314">
            <v>2</v>
          </cell>
          <cell r="E314" t="str">
            <v>St. John's Medical Group - Cardiology (Hoff, Gayton,Wolf) (10382)</v>
          </cell>
          <cell r="F314" t="str">
            <v>St. John's Mercy Clinics - Cardiology</v>
          </cell>
          <cell r="G314" t="str">
            <v>Joplin</v>
          </cell>
          <cell r="H314" t="str">
            <v>MO</v>
          </cell>
          <cell r="I314" t="str">
            <v>64804</v>
          </cell>
          <cell r="J314" t="str">
            <v>Joplin, MO 64804</v>
          </cell>
          <cell r="K314" t="str">
            <v>2817 McClelland - Suite 125</v>
          </cell>
          <cell r="M314" t="str">
            <v>417-206-3729</v>
          </cell>
          <cell r="N314" t="str">
            <v>System Member Of</v>
          </cell>
          <cell r="O314" t="str">
            <v>Ambulatory Care</v>
          </cell>
          <cell r="P314" t="str">
            <v>Clinic</v>
          </cell>
          <cell r="Q314" t="str">
            <v>AW3029332</v>
          </cell>
          <cell r="R314" t="str">
            <v>2G1X6N900</v>
          </cell>
          <cell r="S314" t="str">
            <v>1100005849860</v>
          </cell>
          <cell r="T314">
            <v>38214</v>
          </cell>
          <cell r="U314">
            <v>38261</v>
          </cell>
          <cell r="V314">
            <v>43000261</v>
          </cell>
          <cell r="W314">
            <v>374803</v>
          </cell>
          <cell r="X314">
            <v>36</v>
          </cell>
          <cell r="Y314" t="str">
            <v>Active</v>
          </cell>
          <cell r="AA314">
            <v>10382</v>
          </cell>
        </row>
        <row r="315">
          <cell r="A315">
            <v>10399</v>
          </cell>
          <cell r="B315" t="str">
            <v>St. John's Medical Group - HeartCare (Corcoran, Craig, Sabapathy, Smalling) / Joplin / MO</v>
          </cell>
          <cell r="D315">
            <v>2</v>
          </cell>
          <cell r="E315" t="str">
            <v>St. John's Medical Group - HeartCare (Corcoran, Craig, Sabapathy, Smalling) (10399)</v>
          </cell>
          <cell r="F315" t="str">
            <v>St. John's Mercy Clinic HeartCare</v>
          </cell>
          <cell r="G315" t="str">
            <v>Joplin</v>
          </cell>
          <cell r="H315" t="str">
            <v>MO</v>
          </cell>
          <cell r="I315" t="str">
            <v>64804</v>
          </cell>
          <cell r="J315" t="str">
            <v>Joplin, MO 64804</v>
          </cell>
          <cell r="K315" t="str">
            <v>2817 McClelland Blvd., Suite 224</v>
          </cell>
          <cell r="M315" t="str">
            <v>417-781-5387</v>
          </cell>
          <cell r="N315" t="str">
            <v>System Member Of</v>
          </cell>
          <cell r="O315" t="str">
            <v>Ambulatory Care</v>
          </cell>
          <cell r="P315" t="str">
            <v>Clinic</v>
          </cell>
          <cell r="Q315" t="str">
            <v>AC9686974</v>
          </cell>
          <cell r="R315" t="str">
            <v>7F5W5C400</v>
          </cell>
          <cell r="S315" t="str">
            <v>1100003802133</v>
          </cell>
          <cell r="T315">
            <v>38214</v>
          </cell>
          <cell r="U315">
            <v>38261</v>
          </cell>
          <cell r="V315">
            <v>43000261</v>
          </cell>
          <cell r="W315">
            <v>374803</v>
          </cell>
          <cell r="X315">
            <v>36</v>
          </cell>
          <cell r="Y315" t="str">
            <v>Active</v>
          </cell>
          <cell r="AA315">
            <v>10399</v>
          </cell>
        </row>
        <row r="316">
          <cell r="A316">
            <v>10421</v>
          </cell>
          <cell r="B316" t="str">
            <v>The Family Clinic - Rodney Parham / Little Rock / AR</v>
          </cell>
          <cell r="D316">
            <v>1</v>
          </cell>
          <cell r="E316" t="str">
            <v>The Family Clinic - Rodney Parham (10421)</v>
          </cell>
          <cell r="F316" t="str">
            <v>The Family Clinic - Rodney Parham</v>
          </cell>
          <cell r="G316" t="str">
            <v>Little Rock</v>
          </cell>
          <cell r="H316" t="str">
            <v>AR</v>
          </cell>
          <cell r="I316" t="str">
            <v>72227</v>
          </cell>
          <cell r="J316" t="str">
            <v>Little Rock, AR 72227</v>
          </cell>
          <cell r="K316" t="str">
            <v>10000 Rodney Parham</v>
          </cell>
          <cell r="M316" t="str">
            <v>501-221-0888</v>
          </cell>
          <cell r="N316" t="str">
            <v>System Member Of</v>
          </cell>
          <cell r="O316" t="str">
            <v>Ambulatory Care</v>
          </cell>
          <cell r="P316" t="str">
            <v>Clinic</v>
          </cell>
          <cell r="Q316" t="str">
            <v>BH1136375</v>
          </cell>
          <cell r="R316" t="str">
            <v>C8RTADR00</v>
          </cell>
          <cell r="S316" t="str">
            <v>1100004649782</v>
          </cell>
          <cell r="T316">
            <v>38275</v>
          </cell>
          <cell r="U316">
            <v>38306</v>
          </cell>
          <cell r="V316">
            <v>43000261</v>
          </cell>
          <cell r="W316">
            <v>379196</v>
          </cell>
          <cell r="X316">
            <v>2</v>
          </cell>
          <cell r="Y316" t="str">
            <v>Active</v>
          </cell>
          <cell r="AA316">
            <v>10421</v>
          </cell>
        </row>
        <row r="317">
          <cell r="A317">
            <v>10441</v>
          </cell>
          <cell r="B317" t="str">
            <v>Franciscan Hospice LTC Pharmacy / University Place / WA</v>
          </cell>
          <cell r="D317">
            <v>3</v>
          </cell>
          <cell r="E317" t="str">
            <v>Franciscan Hospice LTC Pharmacy (10441)</v>
          </cell>
          <cell r="F317" t="str">
            <v>Franciscan Hospice LTC Pharmacy</v>
          </cell>
          <cell r="G317" t="str">
            <v>University Place</v>
          </cell>
          <cell r="H317" t="str">
            <v>WA</v>
          </cell>
          <cell r="I317" t="str">
            <v>98466</v>
          </cell>
          <cell r="J317" t="str">
            <v>University Place, WA 98466</v>
          </cell>
          <cell r="K317" t="str">
            <v>2901 Bridgeport Way W, Suite 128</v>
          </cell>
          <cell r="M317" t="str">
            <v>253-534-7033</v>
          </cell>
          <cell r="N317" t="str">
            <v>System Member Of</v>
          </cell>
          <cell r="O317" t="str">
            <v>Long Term Care</v>
          </cell>
          <cell r="P317" t="str">
            <v>Long Term Care Pharmacy Provider</v>
          </cell>
          <cell r="Q317" t="str">
            <v>BF7425158</v>
          </cell>
          <cell r="R317" t="str">
            <v>C79NAH600</v>
          </cell>
          <cell r="S317" t="str">
            <v>1100005664791</v>
          </cell>
          <cell r="T317">
            <v>38296</v>
          </cell>
          <cell r="U317">
            <v>38322</v>
          </cell>
          <cell r="V317">
            <v>43000261</v>
          </cell>
          <cell r="W317">
            <v>960546</v>
          </cell>
          <cell r="X317">
            <v>64</v>
          </cell>
          <cell r="Y317" t="str">
            <v>Active</v>
          </cell>
          <cell r="AA317">
            <v>10441</v>
          </cell>
        </row>
        <row r="318">
          <cell r="A318">
            <v>10444</v>
          </cell>
          <cell r="B318" t="str">
            <v>St. Joseph Health Ministries / Lancaster / PA</v>
          </cell>
          <cell r="D318">
            <v>1</v>
          </cell>
          <cell r="E318" t="str">
            <v>St. Joseph Health Ministries (10444)</v>
          </cell>
          <cell r="F318" t="str">
            <v>St. Joseph Health Ministries</v>
          </cell>
          <cell r="G318" t="str">
            <v>Lancaster</v>
          </cell>
          <cell r="H318" t="str">
            <v>PA</v>
          </cell>
          <cell r="I318" t="str">
            <v>17603</v>
          </cell>
          <cell r="J318" t="str">
            <v>Lancaster, PA 17603</v>
          </cell>
          <cell r="K318" t="str">
            <v>2135 Noll Drive, Suite C</v>
          </cell>
          <cell r="M318" t="str">
            <v>717-397-7625</v>
          </cell>
          <cell r="N318" t="str">
            <v>System Member Of</v>
          </cell>
          <cell r="O318" t="str">
            <v>Ambulatory Care</v>
          </cell>
          <cell r="P318" t="str">
            <v>Clinic</v>
          </cell>
          <cell r="R318" t="str">
            <v>69P8LJG00</v>
          </cell>
          <cell r="S318" t="str">
            <v>1100004438164</v>
          </cell>
          <cell r="T318">
            <v>38292</v>
          </cell>
          <cell r="V318">
            <v>43000261</v>
          </cell>
          <cell r="W318">
            <v>960482</v>
          </cell>
          <cell r="X318">
            <v>91</v>
          </cell>
          <cell r="Y318" t="str">
            <v>Active</v>
          </cell>
          <cell r="AA318">
            <v>10444</v>
          </cell>
        </row>
        <row r="319">
          <cell r="A319">
            <v>10445</v>
          </cell>
          <cell r="B319" t="str">
            <v>St. Joseph Community Health Services / Albuquerque / NM</v>
          </cell>
          <cell r="D319">
            <v>2</v>
          </cell>
          <cell r="E319" t="str">
            <v>St. Joseph Community Health Services (10445)</v>
          </cell>
          <cell r="F319" t="str">
            <v>St. Joseph Community Health Services</v>
          </cell>
          <cell r="G319" t="str">
            <v>Albuquerque</v>
          </cell>
          <cell r="H319" t="str">
            <v>NM</v>
          </cell>
          <cell r="I319" t="str">
            <v>87102</v>
          </cell>
          <cell r="J319" t="str">
            <v>Albuquerque, NM 87102</v>
          </cell>
          <cell r="K319" t="str">
            <v>500 Cooper NW, Suite 102</v>
          </cell>
          <cell r="M319" t="str">
            <v>505-462-3939</v>
          </cell>
          <cell r="N319" t="str">
            <v>System Member Of</v>
          </cell>
          <cell r="O319" t="str">
            <v>Ambulatory Care</v>
          </cell>
          <cell r="P319" t="str">
            <v>Clinic</v>
          </cell>
          <cell r="R319" t="str">
            <v>9FBXXLE00</v>
          </cell>
          <cell r="S319" t="str">
            <v>1100004657473</v>
          </cell>
          <cell r="T319">
            <v>38292</v>
          </cell>
          <cell r="V319">
            <v>0</v>
          </cell>
          <cell r="W319">
            <v>0</v>
          </cell>
          <cell r="X319">
            <v>91</v>
          </cell>
          <cell r="Y319" t="str">
            <v>Active</v>
          </cell>
          <cell r="AA319">
            <v>10445</v>
          </cell>
        </row>
        <row r="320">
          <cell r="A320">
            <v>10502</v>
          </cell>
          <cell r="B320" t="str">
            <v>Mercy East Village Family Practice / Des Moines / IA</v>
          </cell>
          <cell r="D320">
            <v>2</v>
          </cell>
          <cell r="E320" t="str">
            <v>Mercy East Village Family Practice (10502)</v>
          </cell>
          <cell r="F320" t="str">
            <v>Mercy East Village Family Practice</v>
          </cell>
          <cell r="G320" t="str">
            <v>Des Moines</v>
          </cell>
          <cell r="H320" t="str">
            <v>IA</v>
          </cell>
          <cell r="I320" t="str">
            <v>50309</v>
          </cell>
          <cell r="J320" t="str">
            <v>Des Moines, IA 50309</v>
          </cell>
          <cell r="K320" t="str">
            <v>717 Lyon Street, Suite C</v>
          </cell>
          <cell r="M320" t="str">
            <v>515-283-0019</v>
          </cell>
          <cell r="N320" t="str">
            <v>System Member Of</v>
          </cell>
          <cell r="O320" t="str">
            <v>Ambulatory Care</v>
          </cell>
          <cell r="P320" t="str">
            <v>Clinic</v>
          </cell>
          <cell r="Q320" t="str">
            <v>BS1097927</v>
          </cell>
          <cell r="R320" t="str">
            <v>66BM42F00</v>
          </cell>
          <cell r="S320" t="str">
            <v>1100003482366</v>
          </cell>
          <cell r="T320">
            <v>38306</v>
          </cell>
          <cell r="U320">
            <v>38336</v>
          </cell>
          <cell r="V320">
            <v>43000261</v>
          </cell>
          <cell r="W320">
            <v>374766</v>
          </cell>
          <cell r="X320">
            <v>15</v>
          </cell>
          <cell r="Y320" t="str">
            <v>Active</v>
          </cell>
          <cell r="AA320">
            <v>10502</v>
          </cell>
        </row>
        <row r="321">
          <cell r="A321">
            <v>10503</v>
          </cell>
          <cell r="B321" t="str">
            <v>St. John's Mercy Clinics - Mt. Vernon / Mt. Vernon / MO</v>
          </cell>
          <cell r="D321">
            <v>2</v>
          </cell>
          <cell r="E321" t="str">
            <v>St. John's Mercy Clinics - Mt. Vernon (10503)</v>
          </cell>
          <cell r="F321" t="str">
            <v>St. John's Mercy Clinics - Mt. Vernon</v>
          </cell>
          <cell r="G321" t="str">
            <v>Mt. Vernon</v>
          </cell>
          <cell r="H321" t="str">
            <v>MO</v>
          </cell>
          <cell r="I321" t="str">
            <v>65712</v>
          </cell>
          <cell r="J321" t="str">
            <v>Mt. Vernon, MO 65712</v>
          </cell>
          <cell r="K321" t="str">
            <v>10763 Hwy. 39, Suite A</v>
          </cell>
          <cell r="M321" t="str">
            <v>417-466-3272</v>
          </cell>
          <cell r="N321" t="str">
            <v>System Member Of</v>
          </cell>
          <cell r="O321" t="str">
            <v>Ambulatory Care</v>
          </cell>
          <cell r="P321" t="str">
            <v>Clinic</v>
          </cell>
          <cell r="Q321" t="str">
            <v>BR5506867</v>
          </cell>
          <cell r="S321" t="str">
            <v>1100003419171</v>
          </cell>
          <cell r="T321">
            <v>38306</v>
          </cell>
          <cell r="U321">
            <v>38336</v>
          </cell>
          <cell r="V321">
            <v>0</v>
          </cell>
          <cell r="W321">
            <v>0</v>
          </cell>
          <cell r="X321">
            <v>36</v>
          </cell>
          <cell r="Y321" t="str">
            <v>Inactive</v>
          </cell>
          <cell r="Z321">
            <v>39303</v>
          </cell>
          <cell r="AA321">
            <v>10503</v>
          </cell>
        </row>
        <row r="322">
          <cell r="A322">
            <v>10510</v>
          </cell>
          <cell r="B322" t="str">
            <v>Caritas Physician Group Inc. / Louisville / KY</v>
          </cell>
          <cell r="D322">
            <v>1</v>
          </cell>
          <cell r="E322" t="str">
            <v>Caritas Physician Group Inc. (10510)</v>
          </cell>
          <cell r="F322" t="str">
            <v>Caritas Physician Group Inc.</v>
          </cell>
          <cell r="G322" t="str">
            <v>Louisville</v>
          </cell>
          <cell r="H322" t="str">
            <v>KY</v>
          </cell>
          <cell r="I322" t="str">
            <v>40205</v>
          </cell>
          <cell r="J322" t="str">
            <v>Louisville, KY 40205</v>
          </cell>
          <cell r="K322" t="str">
            <v>2120 Newburg Road #100</v>
          </cell>
          <cell r="M322" t="str">
            <v>502-479-1410</v>
          </cell>
          <cell r="N322" t="str">
            <v>System Member Of</v>
          </cell>
          <cell r="O322" t="str">
            <v>Ambulatory Care</v>
          </cell>
          <cell r="P322" t="str">
            <v>Clinic</v>
          </cell>
          <cell r="R322" t="str">
            <v>KBVN2R600</v>
          </cell>
          <cell r="S322" t="str">
            <v>1100004519511</v>
          </cell>
          <cell r="T322">
            <v>38322</v>
          </cell>
          <cell r="V322">
            <v>83001314</v>
          </cell>
          <cell r="W322">
            <v>54178207</v>
          </cell>
          <cell r="X322">
            <v>23</v>
          </cell>
          <cell r="Y322" t="str">
            <v>Active</v>
          </cell>
          <cell r="AA322">
            <v>10510</v>
          </cell>
        </row>
        <row r="323">
          <cell r="A323">
            <v>10629</v>
          </cell>
          <cell r="B323" t="str">
            <v>Catholic Health Initiatives - NITC / Englewood / CO</v>
          </cell>
          <cell r="D323">
            <v>5</v>
          </cell>
          <cell r="E323" t="str">
            <v>Catholic Health Initiatives - NITC (10629)</v>
          </cell>
          <cell r="F323" t="str">
            <v>Catholic Health Initiatives - NITC</v>
          </cell>
          <cell r="G323" t="str">
            <v>Englewood</v>
          </cell>
          <cell r="H323" t="str">
            <v>CO</v>
          </cell>
          <cell r="I323" t="str">
            <v>80112</v>
          </cell>
          <cell r="J323" t="str">
            <v>Englewood, CO 80112</v>
          </cell>
          <cell r="K323" t="str">
            <v>11045 E. Lansing Circle</v>
          </cell>
          <cell r="M323" t="str">
            <v>720-875-7100</v>
          </cell>
          <cell r="N323" t="str">
            <v>System Member Of</v>
          </cell>
          <cell r="O323" t="str">
            <v>Other</v>
          </cell>
          <cell r="P323" t="str">
            <v>Health Care System/IDN - Office</v>
          </cell>
          <cell r="R323" t="str">
            <v>HEGC3ND00</v>
          </cell>
          <cell r="S323" t="str">
            <v>1100002006327</v>
          </cell>
          <cell r="T323">
            <v>38322</v>
          </cell>
          <cell r="V323">
            <v>0</v>
          </cell>
          <cell r="W323">
            <v>0</v>
          </cell>
          <cell r="X323">
            <v>91</v>
          </cell>
          <cell r="Y323" t="str">
            <v>Active</v>
          </cell>
          <cell r="AA323">
            <v>10629</v>
          </cell>
        </row>
        <row r="324">
          <cell r="A324">
            <v>10631</v>
          </cell>
          <cell r="B324" t="str">
            <v>St. John's Medical Group - St. John's Express Care / Joplin / MO</v>
          </cell>
          <cell r="D324">
            <v>2</v>
          </cell>
          <cell r="E324" t="str">
            <v>St. John's Medical Group - St. John's Express Care (10631)</v>
          </cell>
          <cell r="F324" t="str">
            <v>St. John's Medical Group - St. John's Express Care</v>
          </cell>
          <cell r="G324" t="str">
            <v>Joplin</v>
          </cell>
          <cell r="H324" t="str">
            <v>MO</v>
          </cell>
          <cell r="I324" t="str">
            <v>64801</v>
          </cell>
          <cell r="J324" t="str">
            <v>Joplin, MO 64801</v>
          </cell>
          <cell r="K324" t="str">
            <v>1313 Rangeline</v>
          </cell>
          <cell r="M324" t="str">
            <v>417-623-2207</v>
          </cell>
          <cell r="N324" t="str">
            <v>System Member Of</v>
          </cell>
          <cell r="O324" t="str">
            <v>Ambulatory Care</v>
          </cell>
          <cell r="P324" t="str">
            <v>Clinic</v>
          </cell>
          <cell r="Q324" t="str">
            <v>BF1889469</v>
          </cell>
          <cell r="S324" t="str">
            <v>1100004695369</v>
          </cell>
          <cell r="T324">
            <v>38327</v>
          </cell>
          <cell r="U324">
            <v>38367</v>
          </cell>
          <cell r="V324">
            <v>43000261</v>
          </cell>
          <cell r="W324">
            <v>374803</v>
          </cell>
          <cell r="X324">
            <v>36</v>
          </cell>
          <cell r="Y324" t="str">
            <v>Active</v>
          </cell>
          <cell r="AA324">
            <v>10631</v>
          </cell>
        </row>
        <row r="325">
          <cell r="A325">
            <v>19347</v>
          </cell>
          <cell r="B325" t="str">
            <v>St. John's Medical Group - St. John's Medical Group - Girard / Girard / KS</v>
          </cell>
          <cell r="D325">
            <v>2</v>
          </cell>
          <cell r="E325" t="str">
            <v>St. John's Medical Group - St. John's Medical Group - Girard (19347)</v>
          </cell>
          <cell r="F325" t="str">
            <v>St. John's Medical Group - Girard</v>
          </cell>
          <cell r="G325" t="str">
            <v>Girard</v>
          </cell>
          <cell r="H325" t="str">
            <v>KS</v>
          </cell>
          <cell r="I325" t="str">
            <v>66743</v>
          </cell>
          <cell r="J325" t="str">
            <v>Girard, KS 66743</v>
          </cell>
          <cell r="K325" t="str">
            <v>307 N. Hospital Dr., Suite 5</v>
          </cell>
          <cell r="M325" t="str">
            <v>620-724-4659</v>
          </cell>
          <cell r="N325" t="str">
            <v>System Member Of</v>
          </cell>
          <cell r="O325" t="str">
            <v>Ambulatory Care</v>
          </cell>
          <cell r="P325" t="str">
            <v>Clinic</v>
          </cell>
          <cell r="Q325" t="str">
            <v>BP1131969</v>
          </cell>
          <cell r="R325" t="str">
            <v>3A2PHQB00</v>
          </cell>
          <cell r="S325" t="str">
            <v>1100004144195</v>
          </cell>
          <cell r="T325">
            <v>38961</v>
          </cell>
          <cell r="U325">
            <v>38975</v>
          </cell>
          <cell r="V325">
            <v>43000261</v>
          </cell>
          <cell r="W325">
            <v>374803</v>
          </cell>
          <cell r="X325">
            <v>36</v>
          </cell>
          <cell r="Y325" t="str">
            <v>Active</v>
          </cell>
          <cell r="AA325">
            <v>11989</v>
          </cell>
        </row>
        <row r="326">
          <cell r="A326">
            <v>37369</v>
          </cell>
          <cell r="B326" t="str">
            <v>Carfagno Family Practice / Maumelle / AR</v>
          </cell>
          <cell r="D326">
            <v>1</v>
          </cell>
          <cell r="E326" t="str">
            <v>Carfagno Family Practice (37369)</v>
          </cell>
          <cell r="F326" t="str">
            <v>Carfagno Family Practice</v>
          </cell>
          <cell r="G326" t="str">
            <v>Maumelle</v>
          </cell>
          <cell r="H326" t="str">
            <v>AR</v>
          </cell>
          <cell r="I326" t="str">
            <v>72113</v>
          </cell>
          <cell r="J326" t="str">
            <v>Maumelle, AR 72113</v>
          </cell>
          <cell r="K326" t="str">
            <v>1900 Club Manor Drive, Suite 105</v>
          </cell>
          <cell r="M326" t="str">
            <v>501-851-8100</v>
          </cell>
          <cell r="N326" t="str">
            <v>System Member Of</v>
          </cell>
          <cell r="O326" t="str">
            <v>Ambulatory Care</v>
          </cell>
          <cell r="P326" t="str">
            <v>Clinic</v>
          </cell>
          <cell r="Q326" t="str">
            <v>AC3136606</v>
          </cell>
          <cell r="S326" t="str">
            <v>1100002341619</v>
          </cell>
          <cell r="T326">
            <v>39066</v>
          </cell>
          <cell r="U326">
            <v>39097</v>
          </cell>
          <cell r="V326">
            <v>43000261</v>
          </cell>
          <cell r="W326">
            <v>379196</v>
          </cell>
          <cell r="X326">
            <v>2</v>
          </cell>
          <cell r="Y326" t="str">
            <v>Active</v>
          </cell>
          <cell r="AA326">
            <v>12135</v>
          </cell>
        </row>
        <row r="327">
          <cell r="A327">
            <v>64213</v>
          </cell>
          <cell r="B327" t="str">
            <v>Crown Point Surgery Center / Parker / CO</v>
          </cell>
          <cell r="D327">
            <v>5</v>
          </cell>
          <cell r="E327" t="str">
            <v>Crown Point Surgery Center (64213)</v>
          </cell>
          <cell r="F327" t="str">
            <v>Crown Point Surgery Center</v>
          </cell>
          <cell r="G327" t="str">
            <v>Parker</v>
          </cell>
          <cell r="H327" t="str">
            <v>CO</v>
          </cell>
          <cell r="I327" t="str">
            <v>80138</v>
          </cell>
          <cell r="J327" t="str">
            <v>Parker, CO 80138</v>
          </cell>
          <cell r="K327" t="str">
            <v>9397 Crown Crest Blvd, Suite 110</v>
          </cell>
          <cell r="M327" t="str">
            <v>720-974-6499</v>
          </cell>
          <cell r="N327" t="str">
            <v>Affiliate Member Of</v>
          </cell>
          <cell r="O327" t="str">
            <v>Acute Care</v>
          </cell>
          <cell r="P327" t="str">
            <v>Surgery Center</v>
          </cell>
          <cell r="Q327" t="str">
            <v>BG6086676</v>
          </cell>
          <cell r="R327" t="str">
            <v>BJYTG9A00</v>
          </cell>
          <cell r="T327">
            <v>39356</v>
          </cell>
          <cell r="U327">
            <v>39539</v>
          </cell>
          <cell r="V327">
            <v>0</v>
          </cell>
          <cell r="W327">
            <v>0</v>
          </cell>
          <cell r="Y327" t="str">
            <v>Active</v>
          </cell>
        </row>
        <row r="328">
          <cell r="A328">
            <v>68105</v>
          </cell>
          <cell r="B328" t="str">
            <v>Taylor Regional Medical Center / Campbellsville / KY</v>
          </cell>
          <cell r="D328">
            <v>1</v>
          </cell>
          <cell r="E328" t="str">
            <v>Taylor Regional Medical Center (68105)</v>
          </cell>
          <cell r="F328" t="str">
            <v>Taylor Regional Medical Center</v>
          </cell>
          <cell r="G328" t="str">
            <v>Campbellsville</v>
          </cell>
          <cell r="H328" t="str">
            <v>KY</v>
          </cell>
          <cell r="I328" t="str">
            <v>42718</v>
          </cell>
          <cell r="J328" t="str">
            <v>Campbellsville, KY 42718</v>
          </cell>
          <cell r="K328" t="str">
            <v>1700 Old Lebanon Road</v>
          </cell>
          <cell r="M328" t="str">
            <v>270-465-3561</v>
          </cell>
          <cell r="N328" t="str">
            <v>Affiliate Member Of</v>
          </cell>
          <cell r="O328" t="str">
            <v>Acute Care</v>
          </cell>
          <cell r="P328" t="str">
            <v>Hospital</v>
          </cell>
          <cell r="Q328" t="str">
            <v>AT3026716</v>
          </cell>
          <cell r="R328" t="str">
            <v>510170E00</v>
          </cell>
          <cell r="S328" t="str">
            <v>1100003321016</v>
          </cell>
          <cell r="T328">
            <v>38718</v>
          </cell>
          <cell r="U328">
            <v>38763</v>
          </cell>
          <cell r="V328">
            <v>83001314</v>
          </cell>
          <cell r="W328">
            <v>54178207</v>
          </cell>
          <cell r="X328">
            <v>23</v>
          </cell>
          <cell r="Y328" t="str">
            <v>Active</v>
          </cell>
          <cell r="AA328">
            <v>10948</v>
          </cell>
        </row>
        <row r="329">
          <cell r="A329">
            <v>73437</v>
          </cell>
          <cell r="B329" t="str">
            <v>St. Vincent Health System - Lee C. Raley, MD / Little Rock / AR</v>
          </cell>
          <cell r="D329">
            <v>1</v>
          </cell>
          <cell r="E329" t="str">
            <v>St. Vincent Health System - Lee C. Raley, MD (73437)</v>
          </cell>
          <cell r="F329" t="str">
            <v>St. Vincent Health System - Lee C. Raley, MD</v>
          </cell>
          <cell r="G329" t="str">
            <v>Little Rock</v>
          </cell>
          <cell r="H329" t="str">
            <v>AR</v>
          </cell>
          <cell r="I329" t="str">
            <v>72205-5416</v>
          </cell>
          <cell r="J329" t="str">
            <v>Little Rock, AR 72205-5416</v>
          </cell>
          <cell r="K329" t="str">
            <v>5 St. Vincent Circle, Ste. 220</v>
          </cell>
          <cell r="M329" t="str">
            <v>501-552-5050</v>
          </cell>
          <cell r="N329" t="str">
            <v>System Member Of</v>
          </cell>
          <cell r="O329" t="str">
            <v>Ambulatory Care</v>
          </cell>
          <cell r="P329" t="str">
            <v>Clinic</v>
          </cell>
          <cell r="Q329" t="str">
            <v>BR9336517</v>
          </cell>
          <cell r="S329" t="str">
            <v>1100002225438</v>
          </cell>
          <cell r="T329">
            <v>38975</v>
          </cell>
          <cell r="U329">
            <v>38991</v>
          </cell>
          <cell r="V329">
            <v>43000261</v>
          </cell>
          <cell r="W329">
            <v>379196</v>
          </cell>
          <cell r="X329">
            <v>2</v>
          </cell>
          <cell r="Y329" t="str">
            <v>Active</v>
          </cell>
          <cell r="AA329">
            <v>12085</v>
          </cell>
        </row>
        <row r="330">
          <cell r="A330">
            <v>88826</v>
          </cell>
          <cell r="B330" t="str">
            <v>Good Samaritan Outreach Services dba River Valley Family Medicine / Alma / NE</v>
          </cell>
          <cell r="D330">
            <v>2</v>
          </cell>
          <cell r="E330" t="str">
            <v>Good Samaritan Outreach Services dba River Valley Family Medicine (88826)</v>
          </cell>
          <cell r="F330" t="str">
            <v>Good Samaritan Outreach Services dba River Valley Family Medicine</v>
          </cell>
          <cell r="G330" t="str">
            <v>Alma</v>
          </cell>
          <cell r="H330" t="str">
            <v>NE</v>
          </cell>
          <cell r="I330" t="str">
            <v>68920</v>
          </cell>
          <cell r="J330" t="str">
            <v>Alma, NE 68920</v>
          </cell>
          <cell r="K330" t="str">
            <v>410 Main</v>
          </cell>
          <cell r="L330" t="str">
            <v>PO Box 319</v>
          </cell>
          <cell r="M330" t="str">
            <v>308-928-9980</v>
          </cell>
          <cell r="N330" t="str">
            <v>System Member Of</v>
          </cell>
          <cell r="O330" t="str">
            <v>Ambulatory Care</v>
          </cell>
          <cell r="P330" t="str">
            <v>Clinic</v>
          </cell>
          <cell r="R330" t="str">
            <v>D4CXLW700</v>
          </cell>
          <cell r="S330" t="str">
            <v>1100004953636</v>
          </cell>
          <cell r="T330">
            <v>38412</v>
          </cell>
          <cell r="V330">
            <v>0</v>
          </cell>
          <cell r="W330">
            <v>0</v>
          </cell>
          <cell r="X330">
            <v>45</v>
          </cell>
          <cell r="Y330" t="str">
            <v>Inactive</v>
          </cell>
          <cell r="Z330">
            <v>39344</v>
          </cell>
          <cell r="AA330">
            <v>10780</v>
          </cell>
        </row>
        <row r="331">
          <cell r="A331">
            <v>93035</v>
          </cell>
          <cell r="B331" t="str">
            <v>St. Joseph's Care Essentials / Park Rapids / MN</v>
          </cell>
          <cell r="D331">
            <v>4</v>
          </cell>
          <cell r="E331" t="str">
            <v>St. Joseph's Care Essentials (93035)</v>
          </cell>
          <cell r="F331" t="str">
            <v>St. Joseph's Care Essentials</v>
          </cell>
          <cell r="G331" t="str">
            <v>Park Rapids</v>
          </cell>
          <cell r="H331" t="str">
            <v>MN</v>
          </cell>
          <cell r="I331" t="str">
            <v>56470</v>
          </cell>
          <cell r="J331" t="str">
            <v>Park Rapids, MN 56470</v>
          </cell>
          <cell r="K331" t="str">
            <v>1004 First Street West</v>
          </cell>
          <cell r="M331" t="str">
            <v>218-237-5760</v>
          </cell>
          <cell r="N331" t="str">
            <v>System Member Of</v>
          </cell>
          <cell r="O331" t="str">
            <v>Retail</v>
          </cell>
          <cell r="P331" t="str">
            <v>Durable Medical Equipment Dealer (DME)</v>
          </cell>
          <cell r="R331" t="str">
            <v>ADAKJ3300</v>
          </cell>
          <cell r="S331" t="str">
            <v>1100002409067</v>
          </cell>
          <cell r="T331">
            <v>38504</v>
          </cell>
          <cell r="V331">
            <v>0</v>
          </cell>
          <cell r="W331">
            <v>0</v>
          </cell>
          <cell r="X331">
            <v>34</v>
          </cell>
          <cell r="Y331" t="str">
            <v>Active</v>
          </cell>
          <cell r="AA331">
            <v>10816</v>
          </cell>
        </row>
        <row r="332">
          <cell r="A332">
            <v>101787</v>
          </cell>
          <cell r="B332" t="str">
            <v>Harvard Park Surgery Center / Denver / CO</v>
          </cell>
          <cell r="D332">
            <v>5</v>
          </cell>
          <cell r="E332" t="str">
            <v>Harvard Park Surgery Center (101787)</v>
          </cell>
          <cell r="F332" t="str">
            <v>Harvard Park Surgery Center</v>
          </cell>
          <cell r="G332" t="str">
            <v>Denver</v>
          </cell>
          <cell r="H332" t="str">
            <v>CO</v>
          </cell>
          <cell r="I332" t="str">
            <v>80210</v>
          </cell>
          <cell r="J332" t="str">
            <v>Denver, CO 80210</v>
          </cell>
          <cell r="K332" t="str">
            <v>1000 E. Harvard Ave.</v>
          </cell>
          <cell r="M332" t="str">
            <v>303-778-5816</v>
          </cell>
          <cell r="N332" t="str">
            <v>Affiliate Member Of</v>
          </cell>
          <cell r="O332" t="str">
            <v>Acute Care</v>
          </cell>
          <cell r="P332" t="str">
            <v>Surgery Center</v>
          </cell>
          <cell r="Q332" t="str">
            <v>BW9580235</v>
          </cell>
          <cell r="R332" t="str">
            <v>JC3BQ2100</v>
          </cell>
          <cell r="T332">
            <v>39387</v>
          </cell>
          <cell r="U332">
            <v>39539</v>
          </cell>
          <cell r="V332">
            <v>0</v>
          </cell>
          <cell r="W332">
            <v>0</v>
          </cell>
          <cell r="Y332" t="str">
            <v>Active</v>
          </cell>
        </row>
        <row r="333">
          <cell r="A333">
            <v>120283</v>
          </cell>
          <cell r="B333" t="str">
            <v>St. Vincent Family Clinic - Chenal / Little Rock / AR</v>
          </cell>
          <cell r="D333">
            <v>1</v>
          </cell>
          <cell r="E333" t="str">
            <v>St. Vincent Family Clinic - Chenal (120283)</v>
          </cell>
          <cell r="F333" t="str">
            <v>St. Vincent Family Clinic - Chenal</v>
          </cell>
          <cell r="G333" t="str">
            <v>Little Rock</v>
          </cell>
          <cell r="H333" t="str">
            <v>AR</v>
          </cell>
          <cell r="I333" t="str">
            <v>72223</v>
          </cell>
          <cell r="J333" t="str">
            <v>Little Rock, AR 72223</v>
          </cell>
          <cell r="K333" t="str">
            <v>1811 Rahling Road, Suite 120</v>
          </cell>
          <cell r="M333" t="str">
            <v>501-552-8150</v>
          </cell>
          <cell r="N333" t="str">
            <v>System Member Of</v>
          </cell>
          <cell r="O333" t="str">
            <v>Ambulatory Care</v>
          </cell>
          <cell r="P333" t="str">
            <v>Clinic</v>
          </cell>
          <cell r="Q333" t="str">
            <v>BF2157495</v>
          </cell>
          <cell r="S333" t="str">
            <v>1100004377937</v>
          </cell>
          <cell r="T333">
            <v>39036</v>
          </cell>
          <cell r="U333">
            <v>39066</v>
          </cell>
          <cell r="V333">
            <v>43000261</v>
          </cell>
          <cell r="W333">
            <v>379196</v>
          </cell>
          <cell r="X333">
            <v>2</v>
          </cell>
          <cell r="Y333" t="str">
            <v>Active</v>
          </cell>
          <cell r="AA333">
            <v>12120</v>
          </cell>
        </row>
        <row r="334">
          <cell r="A334">
            <v>127392</v>
          </cell>
          <cell r="B334" t="str">
            <v>Hampton Roy Eye Care LLC / Little Rock / AR</v>
          </cell>
          <cell r="D334">
            <v>1</v>
          </cell>
          <cell r="E334" t="str">
            <v>Hampton Roy Eye Care LLC (127392)</v>
          </cell>
          <cell r="F334" t="str">
            <v>Hampton Roy Eye Care LLC</v>
          </cell>
          <cell r="G334" t="str">
            <v>Little Rock</v>
          </cell>
          <cell r="H334" t="str">
            <v>AR</v>
          </cell>
          <cell r="I334" t="str">
            <v>72205</v>
          </cell>
          <cell r="J334" t="str">
            <v>Little Rock, AR, 72205</v>
          </cell>
          <cell r="K334" t="str">
            <v>1 St. Vincent Circle</v>
          </cell>
          <cell r="L334" t="str">
            <v>Suite 360</v>
          </cell>
          <cell r="M334" t="str">
            <v>501-227-6980</v>
          </cell>
          <cell r="N334" t="str">
            <v>System Member Of</v>
          </cell>
          <cell r="O334" t="str">
            <v>Ambulatory Care</v>
          </cell>
          <cell r="P334" t="str">
            <v>Clinic</v>
          </cell>
          <cell r="Q334" t="str">
            <v>AR4675661</v>
          </cell>
          <cell r="T334">
            <v>39156</v>
          </cell>
          <cell r="V334">
            <v>0</v>
          </cell>
          <cell r="W334">
            <v>0</v>
          </cell>
          <cell r="X334">
            <v>2</v>
          </cell>
          <cell r="Y334" t="str">
            <v>Active</v>
          </cell>
        </row>
        <row r="335">
          <cell r="A335">
            <v>142759</v>
          </cell>
          <cell r="B335" t="str">
            <v>Oahe Medical Imaging / Pierre / SD</v>
          </cell>
          <cell r="D335">
            <v>4</v>
          </cell>
          <cell r="E335" t="str">
            <v>Oahe Medical Imaging (142759)</v>
          </cell>
          <cell r="F335" t="str">
            <v>Oahe Medical Imaging</v>
          </cell>
          <cell r="G335" t="str">
            <v>Pierre</v>
          </cell>
          <cell r="H335" t="str">
            <v>SD</v>
          </cell>
          <cell r="I335" t="str">
            <v>57501</v>
          </cell>
          <cell r="J335" t="str">
            <v>Pierre, SD 57501</v>
          </cell>
          <cell r="K335" t="str">
            <v>1601 N. Harrison,Suite 1 B</v>
          </cell>
          <cell r="M335" t="str">
            <v>605-224-3196</v>
          </cell>
          <cell r="N335" t="str">
            <v>Affiliate Member Of</v>
          </cell>
          <cell r="O335" t="str">
            <v>Ambulatory Care</v>
          </cell>
          <cell r="P335" t="str">
            <v>Diagnostic Imaging Center</v>
          </cell>
          <cell r="R335" t="str">
            <v>ABY7BMN00</v>
          </cell>
          <cell r="S335" t="str">
            <v>1100004093882</v>
          </cell>
          <cell r="T335">
            <v>38640</v>
          </cell>
          <cell r="V335">
            <v>0</v>
          </cell>
          <cell r="W335">
            <v>0</v>
          </cell>
          <cell r="X335">
            <v>59</v>
          </cell>
          <cell r="Y335" t="str">
            <v>Inactive</v>
          </cell>
          <cell r="Z335">
            <v>39343</v>
          </cell>
          <cell r="AA335">
            <v>10878</v>
          </cell>
        </row>
        <row r="336">
          <cell r="A336">
            <v>146269</v>
          </cell>
          <cell r="B336" t="str">
            <v>VNA Home Infusion / Louisville / KY</v>
          </cell>
          <cell r="D336">
            <v>1</v>
          </cell>
          <cell r="E336" t="str">
            <v>VNA Home Infusion (146269)</v>
          </cell>
          <cell r="F336" t="str">
            <v>VNA Home Infusion</v>
          </cell>
          <cell r="G336" t="str">
            <v>Louisville</v>
          </cell>
          <cell r="H336" t="str">
            <v>KY</v>
          </cell>
          <cell r="I336" t="str">
            <v>40229</v>
          </cell>
          <cell r="J336" t="str">
            <v>Louisville, KY 40229</v>
          </cell>
          <cell r="K336" t="str">
            <v>5000 Commerce Crossing Dri., Ste 100A</v>
          </cell>
          <cell r="M336" t="str">
            <v>502-585-7677</v>
          </cell>
          <cell r="N336" t="str">
            <v>Affiliate Member Of</v>
          </cell>
          <cell r="O336" t="str">
            <v>Home Care</v>
          </cell>
          <cell r="P336" t="str">
            <v>Home Infusion Provider</v>
          </cell>
          <cell r="Q336" t="str">
            <v>BJ6708133</v>
          </cell>
          <cell r="R336" t="str">
            <v>6B9P37P00</v>
          </cell>
          <cell r="S336" t="str">
            <v>1100004084071</v>
          </cell>
          <cell r="T336">
            <v>38718</v>
          </cell>
          <cell r="U336">
            <v>38763</v>
          </cell>
          <cell r="V336">
            <v>83001314</v>
          </cell>
          <cell r="W336">
            <v>54178207</v>
          </cell>
          <cell r="X336">
            <v>23</v>
          </cell>
          <cell r="Y336" t="str">
            <v>Active</v>
          </cell>
          <cell r="AA336">
            <v>10954</v>
          </cell>
        </row>
        <row r="337">
          <cell r="A337">
            <v>170288</v>
          </cell>
          <cell r="B337" t="str">
            <v>Ravenna Medical Clinic / Ravenna / NE</v>
          </cell>
          <cell r="D337">
            <v>2</v>
          </cell>
          <cell r="E337" t="str">
            <v>Ravenna Medical Clinic (170288)</v>
          </cell>
          <cell r="F337" t="str">
            <v>Good Samaritan Outreach Services dba Ravenna Medical Clinic</v>
          </cell>
          <cell r="G337" t="str">
            <v>Ravenna</v>
          </cell>
          <cell r="H337" t="str">
            <v>NE</v>
          </cell>
          <cell r="I337" t="str">
            <v>68869</v>
          </cell>
          <cell r="J337" t="str">
            <v>Ravenna, NE 68869</v>
          </cell>
          <cell r="K337" t="str">
            <v>104 W. Seneca</v>
          </cell>
          <cell r="L337" t="str">
            <v>PO Box 107</v>
          </cell>
          <cell r="M337" t="str">
            <v>308-452-3203</v>
          </cell>
          <cell r="N337" t="str">
            <v>System Member Of</v>
          </cell>
          <cell r="O337" t="str">
            <v>Ambulatory Care</v>
          </cell>
          <cell r="P337" t="str">
            <v>Clinic</v>
          </cell>
          <cell r="Q337" t="str">
            <v>BS8394811</v>
          </cell>
          <cell r="R337" t="str">
            <v>DARHGLW00</v>
          </cell>
          <cell r="S337" t="str">
            <v>1100005837232</v>
          </cell>
          <cell r="T337">
            <v>38412</v>
          </cell>
          <cell r="U337">
            <v>38487</v>
          </cell>
          <cell r="V337">
            <v>0</v>
          </cell>
          <cell r="W337">
            <v>0</v>
          </cell>
          <cell r="X337">
            <v>45</v>
          </cell>
          <cell r="Y337" t="str">
            <v>Active</v>
          </cell>
          <cell r="AA337">
            <v>10781</v>
          </cell>
        </row>
        <row r="338">
          <cell r="A338">
            <v>174507</v>
          </cell>
          <cell r="B338" t="str">
            <v>Kellie A. Jolley MD/Mountain Management / Chattanooga / TN</v>
          </cell>
          <cell r="D338">
            <v>1</v>
          </cell>
          <cell r="E338" t="str">
            <v>Kellie A. Jolley MD/Mountain Management (174507)</v>
          </cell>
          <cell r="F338" t="str">
            <v>Kellie A. Jolley MD/Mountain Management</v>
          </cell>
          <cell r="G338" t="str">
            <v>Chattanooga</v>
          </cell>
          <cell r="H338" t="str">
            <v>TN</v>
          </cell>
          <cell r="I338" t="str">
            <v>37404</v>
          </cell>
          <cell r="J338" t="str">
            <v>Chattanooga, TN 37404</v>
          </cell>
          <cell r="K338" t="str">
            <v>725 Glenwood Drive Suite 468</v>
          </cell>
          <cell r="M338" t="str">
            <v>423-495-2660</v>
          </cell>
          <cell r="N338" t="str">
            <v>Affiliate Member Of</v>
          </cell>
          <cell r="O338" t="str">
            <v>Ambulatory Care</v>
          </cell>
          <cell r="P338" t="str">
            <v>Clinic</v>
          </cell>
          <cell r="Q338" t="str">
            <v>BJ5849279</v>
          </cell>
          <cell r="R338" t="str">
            <v>68E039400</v>
          </cell>
          <cell r="S338" t="str">
            <v>1100005682771</v>
          </cell>
          <cell r="T338">
            <v>38443</v>
          </cell>
          <cell r="U338">
            <v>38504</v>
          </cell>
          <cell r="V338">
            <v>43000261</v>
          </cell>
          <cell r="W338">
            <v>379170</v>
          </cell>
          <cell r="X338">
            <v>60</v>
          </cell>
          <cell r="Y338" t="str">
            <v>Active</v>
          </cell>
          <cell r="AA338">
            <v>10793</v>
          </cell>
        </row>
        <row r="339">
          <cell r="A339">
            <v>204983</v>
          </cell>
          <cell r="B339" t="str">
            <v>Dr. C. Michael Orquia/Mountain Management / Ooltewah / TN</v>
          </cell>
          <cell r="D339">
            <v>1</v>
          </cell>
          <cell r="E339" t="str">
            <v>Dr. C. Michael Orquia/Mountain Management (204983)</v>
          </cell>
          <cell r="F339" t="str">
            <v>Dr. C. Michael Orquia/Mountain Management</v>
          </cell>
          <cell r="G339" t="str">
            <v>Ooltewah</v>
          </cell>
          <cell r="H339" t="str">
            <v>TN</v>
          </cell>
          <cell r="I339" t="str">
            <v>37363</v>
          </cell>
          <cell r="J339" t="str">
            <v>Ooltewah, TN 37363</v>
          </cell>
          <cell r="K339" t="str">
            <v>5121 Ooltewah-Ringgold Road</v>
          </cell>
          <cell r="L339" t="str">
            <v>Box 873</v>
          </cell>
          <cell r="M339" t="str">
            <v>423-238-7281</v>
          </cell>
          <cell r="N339" t="str">
            <v>System Member Of</v>
          </cell>
          <cell r="O339" t="str">
            <v>Ambulatory Care</v>
          </cell>
          <cell r="P339" t="str">
            <v>Clinic</v>
          </cell>
          <cell r="Q339" t="str">
            <v>BO6049818</v>
          </cell>
          <cell r="R339" t="str">
            <v>BEDA9TE00</v>
          </cell>
          <cell r="S339" t="str">
            <v>1100002188368</v>
          </cell>
          <cell r="T339">
            <v>38443</v>
          </cell>
          <cell r="U339">
            <v>38487</v>
          </cell>
          <cell r="V339">
            <v>0</v>
          </cell>
          <cell r="W339">
            <v>0</v>
          </cell>
          <cell r="X339">
            <v>60</v>
          </cell>
          <cell r="Y339" t="str">
            <v>Inactive</v>
          </cell>
          <cell r="Z339">
            <v>39318</v>
          </cell>
          <cell r="AA339">
            <v>10792</v>
          </cell>
        </row>
        <row r="340">
          <cell r="A340">
            <v>227382</v>
          </cell>
          <cell r="B340" t="str">
            <v>Franciscan Home Medical Supply / Federal Way / WA</v>
          </cell>
          <cell r="D340">
            <v>3</v>
          </cell>
          <cell r="E340" t="str">
            <v>Franciscan Home Medical Supply (227382)</v>
          </cell>
          <cell r="F340" t="str">
            <v>Franciscan Home Medical Supply</v>
          </cell>
          <cell r="G340" t="str">
            <v>Federal Way</v>
          </cell>
          <cell r="H340" t="str">
            <v>WA</v>
          </cell>
          <cell r="I340" t="str">
            <v>98003</v>
          </cell>
          <cell r="J340" t="str">
            <v>Federal Way, WA 98003</v>
          </cell>
          <cell r="K340" t="str">
            <v>34503 9th Ave. South Suite 110</v>
          </cell>
          <cell r="M340" t="str">
            <v>253-942-4040</v>
          </cell>
          <cell r="N340" t="str">
            <v>System Member Of</v>
          </cell>
          <cell r="O340" t="str">
            <v>Retail</v>
          </cell>
          <cell r="P340" t="str">
            <v>Durable Medical Equipment Dealer (DME)</v>
          </cell>
          <cell r="S340" t="str">
            <v>1100003236846</v>
          </cell>
          <cell r="T340">
            <v>38749</v>
          </cell>
          <cell r="V340">
            <v>43000261</v>
          </cell>
          <cell r="W340">
            <v>1502846</v>
          </cell>
          <cell r="X340">
            <v>63</v>
          </cell>
          <cell r="Y340" t="str">
            <v>Active</v>
          </cell>
          <cell r="AA340">
            <v>10962</v>
          </cell>
        </row>
        <row r="341">
          <cell r="A341">
            <v>241186</v>
          </cell>
          <cell r="B341" t="str">
            <v>Jewish Hospital  / Louisville / KY</v>
          </cell>
          <cell r="D341">
            <v>1</v>
          </cell>
          <cell r="E341" t="str">
            <v>Jewish Hospital (241186)</v>
          </cell>
          <cell r="F341" t="str">
            <v>Jewish Hospital</v>
          </cell>
          <cell r="G341" t="str">
            <v>Louisville</v>
          </cell>
          <cell r="H341" t="str">
            <v>KY</v>
          </cell>
          <cell r="I341" t="str">
            <v>40202</v>
          </cell>
          <cell r="J341" t="str">
            <v>Louisville, KY 40202</v>
          </cell>
          <cell r="K341" t="str">
            <v>200 Abraham Flexner Way</v>
          </cell>
          <cell r="M341" t="str">
            <v>520-587-4011</v>
          </cell>
          <cell r="N341" t="str">
            <v>Affiliate Member Of</v>
          </cell>
          <cell r="O341" t="str">
            <v>Acute Care</v>
          </cell>
          <cell r="P341" t="str">
            <v>Hospital</v>
          </cell>
          <cell r="Q341" t="str">
            <v>AJ3012488</v>
          </cell>
          <cell r="R341" t="str">
            <v>5B309H900</v>
          </cell>
          <cell r="S341" t="str">
            <v>1100004374370</v>
          </cell>
          <cell r="T341">
            <v>38718</v>
          </cell>
          <cell r="U341">
            <v>38763</v>
          </cell>
          <cell r="V341">
            <v>83001314</v>
          </cell>
          <cell r="W341">
            <v>54178207</v>
          </cell>
          <cell r="X341">
            <v>23</v>
          </cell>
          <cell r="Y341" t="str">
            <v>Active</v>
          </cell>
          <cell r="AA341">
            <v>10943</v>
          </cell>
        </row>
        <row r="342">
          <cell r="A342">
            <v>245719</v>
          </cell>
          <cell r="B342" t="str">
            <v>Breckenridge Medical Clinic / Breckenridge / CO</v>
          </cell>
          <cell r="D342">
            <v>5</v>
          </cell>
          <cell r="E342" t="str">
            <v>Breckenridge Medical Clinic (245719)</v>
          </cell>
          <cell r="F342" t="str">
            <v>Breckenridge Medical Center</v>
          </cell>
          <cell r="G342" t="str">
            <v>Breckenridge</v>
          </cell>
          <cell r="H342" t="str">
            <v>CO</v>
          </cell>
          <cell r="I342" t="str">
            <v>80424</v>
          </cell>
          <cell r="J342" t="str">
            <v>Breckenridge, CO 80424</v>
          </cell>
          <cell r="K342" t="str">
            <v>555 South Park Ave Plaza II</v>
          </cell>
          <cell r="L342" t="str">
            <v>P.O. BOX 408</v>
          </cell>
          <cell r="M342" t="str">
            <v>970-453-1010</v>
          </cell>
          <cell r="N342" t="str">
            <v>Affiliate Member Of</v>
          </cell>
          <cell r="O342" t="str">
            <v>Ambulatory Care</v>
          </cell>
          <cell r="P342" t="str">
            <v>Clinic</v>
          </cell>
          <cell r="Q342" t="str">
            <v>AR2948935</v>
          </cell>
          <cell r="R342" t="str">
            <v>K953VB700</v>
          </cell>
          <cell r="S342" t="str">
            <v>1100003655722</v>
          </cell>
          <cell r="T342">
            <v>39052</v>
          </cell>
          <cell r="U342">
            <v>39083</v>
          </cell>
          <cell r="V342">
            <v>43000261</v>
          </cell>
          <cell r="W342">
            <v>102381</v>
          </cell>
          <cell r="X342">
            <v>4</v>
          </cell>
          <cell r="Y342" t="str">
            <v>Active</v>
          </cell>
          <cell r="AA342">
            <v>12126</v>
          </cell>
        </row>
        <row r="343">
          <cell r="A343">
            <v>293251</v>
          </cell>
          <cell r="B343" t="str">
            <v>Beacon Health OB-GYN Hixson / Hixson / TN</v>
          </cell>
          <cell r="D343">
            <v>1</v>
          </cell>
          <cell r="E343" t="str">
            <v>Beacon Health OB-GYN Hixson (293251)</v>
          </cell>
          <cell r="F343" t="str">
            <v>Beacon Health OB/GYN Hixson</v>
          </cell>
          <cell r="G343" t="str">
            <v>Hixson</v>
          </cell>
          <cell r="H343" t="str">
            <v>TN</v>
          </cell>
          <cell r="I343" t="str">
            <v>37343</v>
          </cell>
          <cell r="J343" t="str">
            <v>Hixson, TN 37343</v>
          </cell>
          <cell r="K343" t="str">
            <v>2051-B Hamill Road, Suite 110</v>
          </cell>
          <cell r="M343" t="str">
            <v>423-778-9500</v>
          </cell>
          <cell r="N343" t="str">
            <v>Affiliate Member Of</v>
          </cell>
          <cell r="O343" t="str">
            <v>Ambulatory Care</v>
          </cell>
          <cell r="P343" t="str">
            <v>Clinic</v>
          </cell>
          <cell r="Q343" t="str">
            <v>AM1796816</v>
          </cell>
          <cell r="R343" t="str">
            <v>BW56FPM00</v>
          </cell>
          <cell r="S343" t="str">
            <v>1100005418165</v>
          </cell>
          <cell r="T343">
            <v>38443</v>
          </cell>
          <cell r="U343">
            <v>38487</v>
          </cell>
          <cell r="V343">
            <v>43000261</v>
          </cell>
          <cell r="W343">
            <v>379170</v>
          </cell>
          <cell r="X343">
            <v>60</v>
          </cell>
          <cell r="Y343" t="str">
            <v>Active</v>
          </cell>
          <cell r="AA343">
            <v>10801</v>
          </cell>
        </row>
        <row r="344">
          <cell r="A344">
            <v>304209</v>
          </cell>
          <cell r="B344" t="str">
            <v>Four Courts Senior Center / Louisville / KY</v>
          </cell>
          <cell r="D344">
            <v>1</v>
          </cell>
          <cell r="E344" t="str">
            <v>Four Courts Senior Center (304209)</v>
          </cell>
          <cell r="F344" t="str">
            <v>Four Courts Senior Center</v>
          </cell>
          <cell r="G344" t="str">
            <v>Louisville</v>
          </cell>
          <cell r="H344" t="str">
            <v>KY</v>
          </cell>
          <cell r="I344" t="str">
            <v>40205</v>
          </cell>
          <cell r="J344" t="str">
            <v>Louisville, KY 40205</v>
          </cell>
          <cell r="K344" t="str">
            <v>2100 Millvale Road</v>
          </cell>
          <cell r="M344" t="str">
            <v>502-451-0990</v>
          </cell>
          <cell r="N344" t="str">
            <v>Affiliate Member Of</v>
          </cell>
          <cell r="O344" t="str">
            <v>Acute Care</v>
          </cell>
          <cell r="P344" t="str">
            <v>Rehabilitation Facility</v>
          </cell>
          <cell r="R344" t="str">
            <v>21EEKAP00</v>
          </cell>
          <cell r="S344" t="str">
            <v>1100002346461</v>
          </cell>
          <cell r="T344">
            <v>38718</v>
          </cell>
          <cell r="V344">
            <v>83001314</v>
          </cell>
          <cell r="W344">
            <v>54178207</v>
          </cell>
          <cell r="X344">
            <v>23</v>
          </cell>
          <cell r="Y344" t="str">
            <v>Active</v>
          </cell>
          <cell r="AA344">
            <v>10955</v>
          </cell>
        </row>
        <row r="345">
          <cell r="A345">
            <v>305794</v>
          </cell>
          <cell r="B345" t="str">
            <v>Frazier Rehab and Neuroscience Center / Louisville / KY</v>
          </cell>
          <cell r="D345">
            <v>1</v>
          </cell>
          <cell r="E345" t="str">
            <v>Frazier Rehab and Neuroscience Center (305794)</v>
          </cell>
          <cell r="F345" t="str">
            <v>Frazier Rehab and Neuroscience Center</v>
          </cell>
          <cell r="G345" t="str">
            <v>Louisville</v>
          </cell>
          <cell r="H345" t="str">
            <v>KY</v>
          </cell>
          <cell r="I345" t="str">
            <v>40202</v>
          </cell>
          <cell r="J345" t="str">
            <v>Louisville, KY 40202</v>
          </cell>
          <cell r="K345" t="str">
            <v>220 Abraham Flexner Way</v>
          </cell>
          <cell r="M345" t="str">
            <v>502-582-7400</v>
          </cell>
          <cell r="N345" t="str">
            <v>Affiliate Member Of</v>
          </cell>
          <cell r="O345" t="str">
            <v>Acute Care</v>
          </cell>
          <cell r="P345" t="str">
            <v>Rehabilitation Facility</v>
          </cell>
          <cell r="R345" t="str">
            <v>510810F00</v>
          </cell>
          <cell r="S345" t="str">
            <v>1100005288355</v>
          </cell>
          <cell r="T345">
            <v>38718</v>
          </cell>
          <cell r="V345">
            <v>83001314</v>
          </cell>
          <cell r="W345">
            <v>54178207</v>
          </cell>
          <cell r="X345">
            <v>23</v>
          </cell>
          <cell r="Y345" t="str">
            <v>Active</v>
          </cell>
          <cell r="AA345">
            <v>10956</v>
          </cell>
        </row>
        <row r="346">
          <cell r="A346">
            <v>310194</v>
          </cell>
          <cell r="B346" t="str">
            <v>Jewish Hospital &amp; St. Mary's Healthcare DBA Pharmacy Plus / Louisville / KY</v>
          </cell>
          <cell r="D346">
            <v>1</v>
          </cell>
          <cell r="E346" t="str">
            <v>Jewish Hospital &amp; St. Mary's Healthcare D/B/A Pharmacy Plus (310194)</v>
          </cell>
          <cell r="F346" t="str">
            <v>Jewish Hospital &amp; St. Mary's Healthcare D/B/A Pharmacy Plus</v>
          </cell>
          <cell r="G346" t="str">
            <v>Louisville</v>
          </cell>
          <cell r="H346" t="str">
            <v>KY</v>
          </cell>
          <cell r="I346" t="str">
            <v>40202</v>
          </cell>
          <cell r="J346" t="str">
            <v>Louisville, KY 40202</v>
          </cell>
          <cell r="K346" t="str">
            <v>220 Abraham Flexner Way</v>
          </cell>
          <cell r="M346" t="str">
            <v>502-561-3705</v>
          </cell>
          <cell r="N346" t="str">
            <v>Affiliate Member Of</v>
          </cell>
          <cell r="O346" t="str">
            <v>Acute Care</v>
          </cell>
          <cell r="P346" t="str">
            <v>Hospital Outpatient Pharmacy (Closed-Door)</v>
          </cell>
          <cell r="Q346" t="str">
            <v>FJ0149674</v>
          </cell>
          <cell r="S346" t="str">
            <v>1100004766601</v>
          </cell>
          <cell r="T346">
            <v>39097</v>
          </cell>
          <cell r="U346">
            <v>39114</v>
          </cell>
          <cell r="V346">
            <v>83001314</v>
          </cell>
          <cell r="W346">
            <v>54178207</v>
          </cell>
          <cell r="X346">
            <v>23</v>
          </cell>
          <cell r="Y346" t="str">
            <v>Active</v>
          </cell>
          <cell r="AA346">
            <v>12158</v>
          </cell>
        </row>
        <row r="347">
          <cell r="A347">
            <v>310239</v>
          </cell>
          <cell r="B347" t="str">
            <v>Jewish Hospital Health Center - Meade County / Brandenburg / KY</v>
          </cell>
          <cell r="D347">
            <v>1</v>
          </cell>
          <cell r="E347" t="str">
            <v>Jewish Hospital Health Center - Meade County (310239)</v>
          </cell>
          <cell r="F347" t="str">
            <v>Jewish Hospital Health Center - Meade County</v>
          </cell>
          <cell r="G347" t="str">
            <v>Brandenburg</v>
          </cell>
          <cell r="H347" t="str">
            <v>KY</v>
          </cell>
          <cell r="I347" t="str">
            <v>40108</v>
          </cell>
          <cell r="J347" t="str">
            <v>Brandenburg, KY 40108</v>
          </cell>
          <cell r="K347" t="str">
            <v>534 Fairway Drive</v>
          </cell>
          <cell r="M347" t="str">
            <v>270-422-5000</v>
          </cell>
          <cell r="N347" t="str">
            <v>Affiliate Member Of</v>
          </cell>
          <cell r="O347" t="str">
            <v>Ambulatory Care</v>
          </cell>
          <cell r="P347" t="str">
            <v>Clinic</v>
          </cell>
          <cell r="R347" t="str">
            <v>CF5TEVY00</v>
          </cell>
          <cell r="S347" t="str">
            <v>1100002495787</v>
          </cell>
          <cell r="T347">
            <v>38718</v>
          </cell>
          <cell r="V347">
            <v>83001314</v>
          </cell>
          <cell r="W347">
            <v>54178207</v>
          </cell>
          <cell r="X347">
            <v>23</v>
          </cell>
          <cell r="Y347" t="str">
            <v>Active</v>
          </cell>
          <cell r="AA347">
            <v>10942</v>
          </cell>
        </row>
        <row r="348">
          <cell r="A348">
            <v>331120</v>
          </cell>
          <cell r="B348" t="str">
            <v>JHSMH Family Practice Assoc. South / Shepherdsville / KY</v>
          </cell>
          <cell r="D348">
            <v>1</v>
          </cell>
          <cell r="E348" t="str">
            <v>JHSMH Family Practice Assoc. South (331120)</v>
          </cell>
          <cell r="F348" t="str">
            <v>JHSMH Family Practice Assoc. South</v>
          </cell>
          <cell r="G348" t="str">
            <v>Shepherdsville</v>
          </cell>
          <cell r="H348" t="str">
            <v>KY</v>
          </cell>
          <cell r="I348" t="str">
            <v>40165</v>
          </cell>
          <cell r="J348" t="str">
            <v>Shepherdsville, KY 40165</v>
          </cell>
          <cell r="K348" t="str">
            <v>187 Adam Shepherd Pkwy., Ste. 1</v>
          </cell>
          <cell r="M348" t="str">
            <v>502-543-4119</v>
          </cell>
          <cell r="N348" t="str">
            <v>Affiliate Member Of</v>
          </cell>
          <cell r="O348" t="str">
            <v>Ambulatory Care</v>
          </cell>
          <cell r="P348" t="str">
            <v>Clinic</v>
          </cell>
          <cell r="Q348" t="str">
            <v>BN9737935</v>
          </cell>
          <cell r="S348" t="str">
            <v>1100003276385</v>
          </cell>
          <cell r="T348">
            <v>38930</v>
          </cell>
          <cell r="U348">
            <v>38961</v>
          </cell>
          <cell r="V348">
            <v>83001314</v>
          </cell>
          <cell r="W348">
            <v>54178207</v>
          </cell>
          <cell r="X348">
            <v>23</v>
          </cell>
          <cell r="Y348" t="str">
            <v>Active</v>
          </cell>
          <cell r="AA348">
            <v>11980</v>
          </cell>
        </row>
        <row r="349">
          <cell r="A349">
            <v>347183</v>
          </cell>
          <cell r="B349" t="str">
            <v>Saint Joseph Mount Sterling / Mount Sterling / KY</v>
          </cell>
          <cell r="D349">
            <v>1</v>
          </cell>
          <cell r="E349" t="str">
            <v>Saint Joseph Mount Sterling (347183)</v>
          </cell>
          <cell r="F349" t="str">
            <v>Saint Joseph Mount Sterling</v>
          </cell>
          <cell r="G349" t="str">
            <v>Mount Sterling</v>
          </cell>
          <cell r="H349" t="str">
            <v>KY</v>
          </cell>
          <cell r="I349" t="str">
            <v>40353</v>
          </cell>
          <cell r="J349" t="str">
            <v>Mount Sterling, KY 40353</v>
          </cell>
          <cell r="K349" t="str">
            <v>50 Sterling Avenue</v>
          </cell>
          <cell r="M349" t="str">
            <v>859-497-7758</v>
          </cell>
          <cell r="N349" t="str">
            <v>System Member Of</v>
          </cell>
          <cell r="O349" t="str">
            <v>Acute Care</v>
          </cell>
          <cell r="P349" t="str">
            <v>Hospital</v>
          </cell>
          <cell r="Q349" t="str">
            <v>AM3022251</v>
          </cell>
          <cell r="T349">
            <v>39356</v>
          </cell>
          <cell r="U349">
            <v>39356</v>
          </cell>
          <cell r="V349">
            <v>43000261</v>
          </cell>
          <cell r="W349">
            <v>379209</v>
          </cell>
          <cell r="Y349" t="str">
            <v>Active</v>
          </cell>
        </row>
        <row r="350">
          <cell r="A350">
            <v>377333</v>
          </cell>
          <cell r="B350" t="str">
            <v>Memorial North Shore Health Center/Mountain Management / Chattanooga / TN</v>
          </cell>
          <cell r="D350">
            <v>1</v>
          </cell>
          <cell r="E350" t="str">
            <v>Memorial North Shore Health Center/Mountain Management (377333)</v>
          </cell>
          <cell r="F350" t="str">
            <v>Memorial North Shore Health Center/Mountain Management</v>
          </cell>
          <cell r="G350" t="str">
            <v>Chattanooga</v>
          </cell>
          <cell r="H350" t="str">
            <v>TN</v>
          </cell>
          <cell r="I350" t="str">
            <v>37405</v>
          </cell>
          <cell r="J350" t="str">
            <v>Chattanooga, TN 37405</v>
          </cell>
          <cell r="K350" t="str">
            <v>208 Minor Street</v>
          </cell>
          <cell r="M350" t="str">
            <v>423-756-1506</v>
          </cell>
          <cell r="N350" t="str">
            <v>System Member Of</v>
          </cell>
          <cell r="O350" t="str">
            <v>Ambulatory Care</v>
          </cell>
          <cell r="P350" t="str">
            <v>Clinic</v>
          </cell>
          <cell r="Q350" t="str">
            <v>AD0409931</v>
          </cell>
          <cell r="R350" t="str">
            <v>JFDY77N00</v>
          </cell>
          <cell r="S350" t="str">
            <v>1100002760670</v>
          </cell>
          <cell r="T350">
            <v>38443</v>
          </cell>
          <cell r="U350">
            <v>38487</v>
          </cell>
          <cell r="V350">
            <v>43000261</v>
          </cell>
          <cell r="W350">
            <v>379170</v>
          </cell>
          <cell r="X350">
            <v>60</v>
          </cell>
          <cell r="Y350" t="str">
            <v>Active</v>
          </cell>
          <cell r="AA350">
            <v>10794</v>
          </cell>
        </row>
        <row r="351">
          <cell r="A351">
            <v>386085</v>
          </cell>
          <cell r="B351" t="str">
            <v>Memorial Westside Health Center / Chattanooga / TN</v>
          </cell>
          <cell r="D351">
            <v>1</v>
          </cell>
          <cell r="E351" t="str">
            <v>Memorial Westside Health Center (386085)</v>
          </cell>
          <cell r="F351" t="str">
            <v>Memorial Westside Health Center</v>
          </cell>
          <cell r="G351" t="str">
            <v>Chattanooga</v>
          </cell>
          <cell r="H351" t="str">
            <v>TN</v>
          </cell>
          <cell r="I351" t="str">
            <v>37402</v>
          </cell>
          <cell r="J351" t="str">
            <v>Chattanooga, TN 37402</v>
          </cell>
          <cell r="K351" t="str">
            <v>1200 Grove Street</v>
          </cell>
          <cell r="M351" t="str">
            <v>423-634-0225</v>
          </cell>
          <cell r="N351" t="str">
            <v>System Member Of</v>
          </cell>
          <cell r="O351" t="str">
            <v>Ambulatory Care</v>
          </cell>
          <cell r="P351" t="str">
            <v>Clinic</v>
          </cell>
          <cell r="Q351" t="str">
            <v>MS0444783</v>
          </cell>
          <cell r="R351" t="str">
            <v>LAHAGEG00</v>
          </cell>
          <cell r="S351" t="str">
            <v>1100002174613</v>
          </cell>
          <cell r="T351">
            <v>38443</v>
          </cell>
          <cell r="U351">
            <v>38504</v>
          </cell>
          <cell r="V351">
            <v>43000261</v>
          </cell>
          <cell r="W351">
            <v>379170</v>
          </cell>
          <cell r="X351">
            <v>60</v>
          </cell>
          <cell r="Y351" t="str">
            <v>Active</v>
          </cell>
          <cell r="AA351">
            <v>10796</v>
          </cell>
        </row>
        <row r="352">
          <cell r="A352">
            <v>402084</v>
          </cell>
          <cell r="B352" t="str">
            <v>CHI Clinical Engineering / Erlanger / KY</v>
          </cell>
          <cell r="D352">
            <v>1</v>
          </cell>
          <cell r="E352" t="str">
            <v>CHI Clinical Engineering (402084)</v>
          </cell>
          <cell r="F352" t="str">
            <v>CHI Clinical Engineering</v>
          </cell>
          <cell r="G352" t="str">
            <v>Erlanger</v>
          </cell>
          <cell r="H352" t="str">
            <v>KY</v>
          </cell>
          <cell r="I352" t="str">
            <v>41018</v>
          </cell>
          <cell r="J352" t="str">
            <v>Erlanger, KY 41018</v>
          </cell>
          <cell r="K352" t="str">
            <v>3900 Olympic Blvd. Suite 400</v>
          </cell>
          <cell r="M352" t="str">
            <v>859-594-3000</v>
          </cell>
          <cell r="N352" t="str">
            <v>System Member Of</v>
          </cell>
          <cell r="O352" t="str">
            <v>Other</v>
          </cell>
          <cell r="P352" t="str">
            <v>Health Care System/IDN - Office</v>
          </cell>
          <cell r="S352" t="str">
            <v>1100002563455</v>
          </cell>
          <cell r="T352">
            <v>39052</v>
          </cell>
          <cell r="V352">
            <v>0</v>
          </cell>
          <cell r="W352">
            <v>0</v>
          </cell>
          <cell r="X352">
            <v>91</v>
          </cell>
          <cell r="Y352" t="str">
            <v>Active</v>
          </cell>
          <cell r="AA352">
            <v>12148</v>
          </cell>
        </row>
        <row r="353">
          <cell r="A353">
            <v>404402</v>
          </cell>
          <cell r="B353" t="str">
            <v>Clark Memorial Hospital / Jeffersonville / IN</v>
          </cell>
          <cell r="D353">
            <v>1</v>
          </cell>
          <cell r="E353" t="str">
            <v>Clark Memorial Hospital (404402)</v>
          </cell>
          <cell r="F353" t="str">
            <v>Clark Memorial Hospital</v>
          </cell>
          <cell r="G353" t="str">
            <v>Jeffersonville</v>
          </cell>
          <cell r="H353" t="str">
            <v>IN</v>
          </cell>
          <cell r="I353" t="str">
            <v>47130</v>
          </cell>
          <cell r="J353" t="str">
            <v>Jeffersonville, IN 47130</v>
          </cell>
          <cell r="K353" t="str">
            <v>1220 Missouri Avenue</v>
          </cell>
          <cell r="M353" t="str">
            <v>812-282-6631</v>
          </cell>
          <cell r="N353" t="str">
            <v>Affiliate Member Of</v>
          </cell>
          <cell r="O353" t="str">
            <v>Acute Care</v>
          </cell>
          <cell r="P353" t="str">
            <v>Hospital</v>
          </cell>
          <cell r="Q353" t="str">
            <v>AC3507211</v>
          </cell>
          <cell r="R353" t="str">
            <v>420790M00</v>
          </cell>
          <cell r="S353" t="str">
            <v>1100004116369</v>
          </cell>
          <cell r="T353">
            <v>38718</v>
          </cell>
          <cell r="U353">
            <v>38763</v>
          </cell>
          <cell r="V353">
            <v>83001314</v>
          </cell>
          <cell r="W353">
            <v>54178207</v>
          </cell>
          <cell r="X353">
            <v>23</v>
          </cell>
          <cell r="Y353" t="str">
            <v>Active</v>
          </cell>
          <cell r="AA353">
            <v>10941</v>
          </cell>
        </row>
        <row r="354">
          <cell r="A354">
            <v>436227</v>
          </cell>
          <cell r="B354" t="str">
            <v>JHSMH Cardiovascular at Owensboro Health Medical Center / Owensboro / KY</v>
          </cell>
          <cell r="D354">
            <v>1</v>
          </cell>
          <cell r="E354" t="str">
            <v>JHSMH Cardiovascular at Owensboro Health Medical Center (436227)</v>
          </cell>
          <cell r="F354" t="str">
            <v>JHSMH Cardiovascular at Owensboro Health Medical Center</v>
          </cell>
          <cell r="G354" t="str">
            <v>Owensboro</v>
          </cell>
          <cell r="H354" t="str">
            <v>KY</v>
          </cell>
          <cell r="I354" t="str">
            <v>42303</v>
          </cell>
          <cell r="J354" t="str">
            <v>Owensboro, KY 42303</v>
          </cell>
          <cell r="K354" t="str">
            <v>811 E. Parrish Ave.</v>
          </cell>
          <cell r="M354" t="str">
            <v>502-968-2889</v>
          </cell>
          <cell r="N354" t="str">
            <v>Affiliate Member Of</v>
          </cell>
          <cell r="O354" t="str">
            <v>Acute Care</v>
          </cell>
          <cell r="P354" t="str">
            <v>Hospital</v>
          </cell>
          <cell r="S354" t="str">
            <v>1100003276323</v>
          </cell>
          <cell r="T354">
            <v>38944</v>
          </cell>
          <cell r="V354">
            <v>83001314</v>
          </cell>
          <cell r="W354">
            <v>54178207</v>
          </cell>
          <cell r="X354">
            <v>23</v>
          </cell>
          <cell r="Y354" t="str">
            <v>Active</v>
          </cell>
          <cell r="AA354">
            <v>11984</v>
          </cell>
        </row>
        <row r="355">
          <cell r="A355">
            <v>439769</v>
          </cell>
          <cell r="B355" t="str">
            <v>Endoscopy Center of Arkansas / Little Rock / AR</v>
          </cell>
          <cell r="D355">
            <v>1</v>
          </cell>
          <cell r="E355" t="str">
            <v>Endoscopy Center of Arkansas (439769)</v>
          </cell>
          <cell r="F355" t="str">
            <v>Endoscopy Center of Arkansas</v>
          </cell>
          <cell r="G355" t="str">
            <v>Little Rock</v>
          </cell>
          <cell r="H355" t="str">
            <v>AR</v>
          </cell>
          <cell r="I355" t="str">
            <v>72207</v>
          </cell>
          <cell r="J355" t="str">
            <v>Little Rock, AR 72207</v>
          </cell>
          <cell r="K355" t="str">
            <v>1024 North University</v>
          </cell>
          <cell r="M355" t="str">
            <v>501-537-0900</v>
          </cell>
          <cell r="N355" t="str">
            <v>Affiliate Member Of</v>
          </cell>
          <cell r="O355" t="str">
            <v>Ambulatory Care</v>
          </cell>
          <cell r="P355" t="str">
            <v>Clinic</v>
          </cell>
          <cell r="R355" t="str">
            <v>B9388MP00</v>
          </cell>
          <cell r="S355" t="str">
            <v>1100005957671</v>
          </cell>
          <cell r="T355">
            <v>38504</v>
          </cell>
          <cell r="V355">
            <v>0</v>
          </cell>
          <cell r="W355">
            <v>0</v>
          </cell>
          <cell r="X355">
            <v>2</v>
          </cell>
          <cell r="Y355" t="str">
            <v>Active</v>
          </cell>
          <cell r="AA355">
            <v>10822</v>
          </cell>
        </row>
        <row r="356">
          <cell r="A356">
            <v>500959</v>
          </cell>
          <cell r="B356" t="str">
            <v>Taylor Regional Hospital Medical Oncology Pharmacy / Campbellsville / KY</v>
          </cell>
          <cell r="D356">
            <v>1</v>
          </cell>
          <cell r="E356" t="str">
            <v>Taylor Regional Hospital Medical Oncology Pharmacy (500959)</v>
          </cell>
          <cell r="F356" t="str">
            <v>Taylor Regional Hospital Medical Oncology Pharmacy</v>
          </cell>
          <cell r="G356" t="str">
            <v>Campbellsville</v>
          </cell>
          <cell r="H356" t="str">
            <v>KY</v>
          </cell>
          <cell r="I356" t="str">
            <v>42718</v>
          </cell>
          <cell r="J356" t="str">
            <v>Campbellsville, KY 42718</v>
          </cell>
          <cell r="K356" t="str">
            <v>125 Greenbriar Drive</v>
          </cell>
          <cell r="M356" t="str">
            <v>270-789-5825</v>
          </cell>
          <cell r="N356" t="str">
            <v>Affiliate Member Of</v>
          </cell>
          <cell r="O356" t="str">
            <v>Acute Care</v>
          </cell>
          <cell r="P356" t="str">
            <v>Hospital Outpatient Pharmacy (Closed-Door)</v>
          </cell>
          <cell r="Q356" t="str">
            <v>BT9098511</v>
          </cell>
          <cell r="R356" t="str">
            <v>8B7N3VBF2</v>
          </cell>
          <cell r="S356" t="str">
            <v>1100005040922</v>
          </cell>
          <cell r="T356">
            <v>38883</v>
          </cell>
          <cell r="U356">
            <v>38899</v>
          </cell>
          <cell r="V356">
            <v>83001314</v>
          </cell>
          <cell r="W356">
            <v>54178207</v>
          </cell>
          <cell r="X356">
            <v>23</v>
          </cell>
          <cell r="Y356" t="str">
            <v>Active</v>
          </cell>
          <cell r="AA356">
            <v>11928</v>
          </cell>
        </row>
        <row r="357">
          <cell r="A357">
            <v>510107</v>
          </cell>
          <cell r="B357" t="str">
            <v>JHSMH Family Practice Assoc. North / Louisville  / KY</v>
          </cell>
          <cell r="D357">
            <v>1</v>
          </cell>
          <cell r="E357" t="str">
            <v>JHSMH Family Practice Assoc. North (510107)</v>
          </cell>
          <cell r="F357" t="str">
            <v>JHSMH Family Practice Assoc. North</v>
          </cell>
          <cell r="G357" t="str">
            <v xml:space="preserve">Louisville </v>
          </cell>
          <cell r="H357" t="str">
            <v>KY</v>
          </cell>
          <cell r="I357" t="str">
            <v>40219</v>
          </cell>
          <cell r="J357" t="str">
            <v>Louisville , KY 40219</v>
          </cell>
          <cell r="K357" t="str">
            <v>7612 Shepherdsville Rd.</v>
          </cell>
          <cell r="M357" t="str">
            <v>502-968-6226</v>
          </cell>
          <cell r="N357" t="str">
            <v>Affiliate Member Of</v>
          </cell>
          <cell r="O357" t="str">
            <v>Ambulatory Care</v>
          </cell>
          <cell r="P357" t="str">
            <v>Clinic</v>
          </cell>
          <cell r="Q357" t="str">
            <v>AN6788066</v>
          </cell>
          <cell r="R357" t="str">
            <v>NCG1TGP00</v>
          </cell>
          <cell r="S357" t="str">
            <v>1100003859564</v>
          </cell>
          <cell r="T357">
            <v>38930</v>
          </cell>
          <cell r="U357">
            <v>38961</v>
          </cell>
          <cell r="V357">
            <v>83001314</v>
          </cell>
          <cell r="W357">
            <v>54178207</v>
          </cell>
          <cell r="X357">
            <v>23</v>
          </cell>
          <cell r="Y357" t="str">
            <v>Active</v>
          </cell>
          <cell r="AA357">
            <v>11979</v>
          </cell>
        </row>
        <row r="358">
          <cell r="A358">
            <v>564869</v>
          </cell>
          <cell r="B358" t="str">
            <v>Mercy North Pharmacy / Ankeny / IA</v>
          </cell>
          <cell r="D358">
            <v>2</v>
          </cell>
          <cell r="E358" t="str">
            <v>Mercy North Pharmacy (564869)</v>
          </cell>
          <cell r="F358" t="str">
            <v>Mercy North Pharmacy</v>
          </cell>
          <cell r="G358" t="str">
            <v>Ankeny</v>
          </cell>
          <cell r="H358" t="str">
            <v>IA</v>
          </cell>
          <cell r="I358" t="str">
            <v>50021</v>
          </cell>
          <cell r="J358" t="str">
            <v>Ankeny, IA 50021</v>
          </cell>
          <cell r="K358" t="str">
            <v>800 E. 1st St., Suite 1800</v>
          </cell>
          <cell r="M358" t="str">
            <v>515-643-7590</v>
          </cell>
          <cell r="N358" t="str">
            <v>System Member Of</v>
          </cell>
          <cell r="O358" t="str">
            <v>Retail</v>
          </cell>
          <cell r="P358" t="str">
            <v>Hospital Outpatient Retail Pharmacy</v>
          </cell>
          <cell r="Q358" t="str">
            <v>BM9049063</v>
          </cell>
          <cell r="R358" t="str">
            <v>J52WL9G00</v>
          </cell>
          <cell r="S358" t="str">
            <v>1100002612078</v>
          </cell>
          <cell r="T358">
            <v>38548</v>
          </cell>
          <cell r="U358">
            <v>38596</v>
          </cell>
          <cell r="V358">
            <v>43000261</v>
          </cell>
          <cell r="W358">
            <v>374766</v>
          </cell>
          <cell r="X358">
            <v>15</v>
          </cell>
          <cell r="Y358" t="str">
            <v>Active</v>
          </cell>
          <cell r="AA358">
            <v>10849</v>
          </cell>
        </row>
        <row r="359">
          <cell r="A359">
            <v>573847</v>
          </cell>
          <cell r="B359" t="str">
            <v>Southern Indiana Rehab Hospital / New Albany / IN</v>
          </cell>
          <cell r="D359">
            <v>1</v>
          </cell>
          <cell r="E359" t="str">
            <v>Southern Indiana Rehab Hospital (573847)</v>
          </cell>
          <cell r="F359" t="str">
            <v>Southern Indiana Rehab Hospital</v>
          </cell>
          <cell r="G359" t="str">
            <v>New Albany</v>
          </cell>
          <cell r="H359" t="str">
            <v>IN</v>
          </cell>
          <cell r="I359" t="str">
            <v>47150</v>
          </cell>
          <cell r="J359" t="str">
            <v>New Albany, IN 47150</v>
          </cell>
          <cell r="K359" t="str">
            <v>3104 Blackiston Boulevard</v>
          </cell>
          <cell r="M359" t="str">
            <v>812-941-8300</v>
          </cell>
          <cell r="N359" t="str">
            <v>Affiliate Member Of</v>
          </cell>
          <cell r="O359" t="str">
            <v>Acute Care</v>
          </cell>
          <cell r="P359" t="str">
            <v>Rehabilitation Facility</v>
          </cell>
          <cell r="Q359" t="str">
            <v>BS3906673</v>
          </cell>
          <cell r="R359" t="str">
            <v>WX3W9EF00</v>
          </cell>
          <cell r="S359" t="str">
            <v>1100002449674</v>
          </cell>
          <cell r="T359">
            <v>38718</v>
          </cell>
          <cell r="U359">
            <v>38838</v>
          </cell>
          <cell r="V359">
            <v>83001314</v>
          </cell>
          <cell r="W359">
            <v>54178207</v>
          </cell>
          <cell r="X359">
            <v>23</v>
          </cell>
          <cell r="Y359" t="str">
            <v>Active</v>
          </cell>
          <cell r="AA359">
            <v>10947</v>
          </cell>
        </row>
        <row r="360">
          <cell r="A360">
            <v>581622</v>
          </cell>
          <cell r="B360" t="str">
            <v>Franciscan Home Medical Supply / Tacoma / WA</v>
          </cell>
          <cell r="D360">
            <v>3</v>
          </cell>
          <cell r="E360" t="str">
            <v>Franciscan Home Medical Supply (581622)</v>
          </cell>
          <cell r="F360" t="str">
            <v>Franciscan Home Medical Supply</v>
          </cell>
          <cell r="G360" t="str">
            <v>Tacoma</v>
          </cell>
          <cell r="H360" t="str">
            <v>WA</v>
          </cell>
          <cell r="I360" t="str">
            <v>98405</v>
          </cell>
          <cell r="J360" t="str">
            <v>Tacoma, WA 98405</v>
          </cell>
          <cell r="K360" t="str">
            <v>1708 S. Yakima, Suite 201</v>
          </cell>
          <cell r="M360" t="str">
            <v>253-426-6912</v>
          </cell>
          <cell r="N360" t="str">
            <v>System Member Of</v>
          </cell>
          <cell r="O360" t="str">
            <v>Retail</v>
          </cell>
          <cell r="P360" t="str">
            <v>Durable Medical Equipment Dealer (DME)</v>
          </cell>
          <cell r="R360" t="str">
            <v>L158WKF00</v>
          </cell>
          <cell r="S360" t="str">
            <v>1100003020582</v>
          </cell>
          <cell r="T360">
            <v>38596</v>
          </cell>
          <cell r="V360">
            <v>43000261</v>
          </cell>
          <cell r="W360">
            <v>960546</v>
          </cell>
          <cell r="X360">
            <v>64</v>
          </cell>
          <cell r="Y360" t="str">
            <v>Active</v>
          </cell>
          <cell r="AA360">
            <v>10867</v>
          </cell>
        </row>
        <row r="361">
          <cell r="A361">
            <v>592871</v>
          </cell>
          <cell r="B361" t="str">
            <v>Mercy Mayo Family Medicine Residency Program / Des Moines / IA</v>
          </cell>
          <cell r="D361">
            <v>2</v>
          </cell>
          <cell r="E361" t="str">
            <v>Mercy Mayo Family Medicine Residency Program (592871)</v>
          </cell>
          <cell r="F361" t="str">
            <v>Mercy Mayo Family Medicine Residency Program</v>
          </cell>
          <cell r="G361" t="str">
            <v>Des Moines</v>
          </cell>
          <cell r="H361" t="str">
            <v>IA</v>
          </cell>
          <cell r="I361" t="str">
            <v>50314</v>
          </cell>
          <cell r="J361" t="str">
            <v>Des Moines, IA 50314</v>
          </cell>
          <cell r="K361" t="str">
            <v>250 Laurel St.</v>
          </cell>
          <cell r="M361" t="str">
            <v>515-643-4610</v>
          </cell>
          <cell r="N361" t="str">
            <v>Affiliate Member Of</v>
          </cell>
          <cell r="O361" t="str">
            <v>Ambulatory Care</v>
          </cell>
          <cell r="P361" t="str">
            <v>Clinic</v>
          </cell>
          <cell r="Q361" t="str">
            <v>AK2336039</v>
          </cell>
          <cell r="R361" t="str">
            <v>75CBAPY00</v>
          </cell>
          <cell r="S361" t="str">
            <v>1100003884955</v>
          </cell>
          <cell r="T361">
            <v>38565</v>
          </cell>
          <cell r="U361">
            <v>38596</v>
          </cell>
          <cell r="V361">
            <v>43000261</v>
          </cell>
          <cell r="W361">
            <v>374766</v>
          </cell>
          <cell r="X361">
            <v>15</v>
          </cell>
          <cell r="Y361" t="str">
            <v>Active</v>
          </cell>
          <cell r="AA361">
            <v>10855</v>
          </cell>
        </row>
        <row r="362">
          <cell r="A362">
            <v>598945</v>
          </cell>
          <cell r="B362" t="str">
            <v>Jewish Hospital &amp; St. Mary's Healthcare dba Pharmacy Plus 2 / Louisville / KY</v>
          </cell>
          <cell r="D362">
            <v>1</v>
          </cell>
          <cell r="E362" t="str">
            <v>Jewish Hospital &amp; St. Mary's Healthcare dba Pharmacy Plus 2 (598945)</v>
          </cell>
          <cell r="F362" t="str">
            <v>Hospital &amp; St. Mary's Healthcare D/B/A Pharmacy Plus 2</v>
          </cell>
          <cell r="G362" t="str">
            <v>Louisville</v>
          </cell>
          <cell r="H362" t="str">
            <v>KY</v>
          </cell>
          <cell r="I362" t="str">
            <v>40215</v>
          </cell>
          <cell r="J362" t="str">
            <v>Louisville, KY 40215</v>
          </cell>
          <cell r="K362" t="str">
            <v>1850 Bluegrass Ave.</v>
          </cell>
          <cell r="M362" t="str">
            <v>502-363-3791</v>
          </cell>
          <cell r="N362" t="str">
            <v>Affiliate Member Of</v>
          </cell>
          <cell r="O362" t="str">
            <v>Acute Care</v>
          </cell>
          <cell r="Q362" t="str">
            <v>FJ0360913</v>
          </cell>
          <cell r="T362">
            <v>39264</v>
          </cell>
          <cell r="U362">
            <v>39309</v>
          </cell>
          <cell r="V362">
            <v>83001314</v>
          </cell>
          <cell r="W362">
            <v>54178207</v>
          </cell>
          <cell r="Y362" t="str">
            <v>Active</v>
          </cell>
        </row>
        <row r="363">
          <cell r="A363">
            <v>601771</v>
          </cell>
          <cell r="B363" t="str">
            <v>Summit View Surgery Center / Littleton / CO</v>
          </cell>
          <cell r="D363">
            <v>5</v>
          </cell>
          <cell r="E363" t="str">
            <v>Summit View Surgery Center (601771)</v>
          </cell>
          <cell r="F363" t="str">
            <v>Summit View Surgery Center</v>
          </cell>
          <cell r="G363" t="str">
            <v>Littleton</v>
          </cell>
          <cell r="H363" t="str">
            <v>CO</v>
          </cell>
          <cell r="I363" t="str">
            <v>80122</v>
          </cell>
          <cell r="J363" t="str">
            <v>Littleton, CO 80122</v>
          </cell>
          <cell r="K363" t="str">
            <v>7730 South Broadway</v>
          </cell>
          <cell r="M363" t="str">
            <v>303-730-2376</v>
          </cell>
          <cell r="N363" t="str">
            <v>Affiliate Member Of</v>
          </cell>
          <cell r="O363" t="str">
            <v>Acute Care</v>
          </cell>
          <cell r="P363" t="str">
            <v>Surgery Center</v>
          </cell>
          <cell r="Q363" t="str">
            <v>AK2642052</v>
          </cell>
          <cell r="R363" t="str">
            <v>HG6ETW600</v>
          </cell>
          <cell r="T363">
            <v>39387</v>
          </cell>
          <cell r="U363">
            <v>39539</v>
          </cell>
          <cell r="V363">
            <v>0</v>
          </cell>
          <cell r="W363">
            <v>0</v>
          </cell>
          <cell r="Y363" t="str">
            <v>Active</v>
          </cell>
        </row>
        <row r="364">
          <cell r="A364">
            <v>603492</v>
          </cell>
          <cell r="B364" t="str">
            <v>Enumclaw Regional Hospital / Enumclaw / WA</v>
          </cell>
          <cell r="D364">
            <v>3</v>
          </cell>
          <cell r="E364" t="str">
            <v>Enumclaw Regional Hospital (603492)</v>
          </cell>
          <cell r="F364" t="str">
            <v>Enumclaw Regional Hospital</v>
          </cell>
          <cell r="G364" t="str">
            <v>Enumclaw</v>
          </cell>
          <cell r="H364" t="str">
            <v>WA</v>
          </cell>
          <cell r="I364" t="str">
            <v>98022</v>
          </cell>
          <cell r="J364" t="str">
            <v>Enumclaw, WA 98022</v>
          </cell>
          <cell r="K364" t="str">
            <v>1450 Battersby Ave.</v>
          </cell>
          <cell r="M364" t="str">
            <v>360-825-2505</v>
          </cell>
          <cell r="N364" t="str">
            <v>System Member Of</v>
          </cell>
          <cell r="O364" t="str">
            <v>Acute Care</v>
          </cell>
          <cell r="P364" t="str">
            <v>Hospital</v>
          </cell>
          <cell r="Q364" t="str">
            <v>AC1000998</v>
          </cell>
          <cell r="T364">
            <v>39387</v>
          </cell>
          <cell r="U364">
            <v>39448</v>
          </cell>
          <cell r="V364">
            <v>43000261</v>
          </cell>
          <cell r="W364">
            <v>264410</v>
          </cell>
          <cell r="Y364" t="str">
            <v>Active</v>
          </cell>
        </row>
        <row r="365">
          <cell r="A365">
            <v>606541</v>
          </cell>
          <cell r="B365" t="str">
            <v>Mercy Behavioral Health Center / Roseburg / OR</v>
          </cell>
          <cell r="D365">
            <v>3</v>
          </cell>
          <cell r="E365" t="str">
            <v>Mercy Behavioral Health Center (606541)</v>
          </cell>
          <cell r="F365" t="str">
            <v>Mercy Behavioral Health Center</v>
          </cell>
          <cell r="G365" t="str">
            <v>Roseburg</v>
          </cell>
          <cell r="H365" t="str">
            <v>OR</v>
          </cell>
          <cell r="I365" t="str">
            <v>97470</v>
          </cell>
          <cell r="J365" t="str">
            <v>Roseburg, OR 97470</v>
          </cell>
          <cell r="K365" t="str">
            <v>2700 NW Stewart Parkway</v>
          </cell>
          <cell r="M365" t="str">
            <v>541-677-6588</v>
          </cell>
          <cell r="N365" t="str">
            <v>System Member Of</v>
          </cell>
          <cell r="O365" t="str">
            <v>Acute Care</v>
          </cell>
          <cell r="P365" t="str">
            <v>Hospital</v>
          </cell>
          <cell r="S365" t="str">
            <v>1100004929273</v>
          </cell>
          <cell r="T365">
            <v>38579</v>
          </cell>
          <cell r="V365">
            <v>0</v>
          </cell>
          <cell r="W365">
            <v>0</v>
          </cell>
          <cell r="X365">
            <v>54</v>
          </cell>
          <cell r="Y365" t="str">
            <v>Inactive</v>
          </cell>
          <cell r="Z365">
            <v>39378</v>
          </cell>
          <cell r="AA365">
            <v>10861</v>
          </cell>
        </row>
        <row r="366">
          <cell r="A366">
            <v>608790</v>
          </cell>
          <cell r="B366" t="str">
            <v>Kearney Endoscopy Center LLC / Kearney / NE</v>
          </cell>
          <cell r="D366">
            <v>2</v>
          </cell>
          <cell r="E366" t="str">
            <v>Kearney Endoscopy Center LLC (608790)</v>
          </cell>
          <cell r="F366" t="str">
            <v xml:space="preserve">Kearney Endoscopy Center LLC </v>
          </cell>
          <cell r="G366" t="str">
            <v>Kearney</v>
          </cell>
          <cell r="H366" t="str">
            <v>NE</v>
          </cell>
          <cell r="I366" t="str">
            <v>68847</v>
          </cell>
          <cell r="J366" t="str">
            <v>Kearney, NE 68847</v>
          </cell>
          <cell r="K366" t="str">
            <v>3500 Central Ave., Suite C</v>
          </cell>
          <cell r="M366" t="str">
            <v>308-865-2505</v>
          </cell>
          <cell r="N366" t="str">
            <v>Affiliate Member Of</v>
          </cell>
          <cell r="O366" t="str">
            <v>Acute Care</v>
          </cell>
          <cell r="T366">
            <v>39248</v>
          </cell>
          <cell r="V366">
            <v>0</v>
          </cell>
          <cell r="W366">
            <v>0</v>
          </cell>
          <cell r="Y366" t="str">
            <v>Active</v>
          </cell>
        </row>
        <row r="367">
          <cell r="A367">
            <v>609544</v>
          </cell>
          <cell r="B367" t="str">
            <v>Jewish Hospital Outpatient Care Center / Louisville / KY</v>
          </cell>
          <cell r="D367">
            <v>1</v>
          </cell>
          <cell r="E367" t="str">
            <v>Jewish Hospital Outpatient Care Center (609544)</v>
          </cell>
          <cell r="F367" t="str">
            <v>Jewish Hospital Outpatient Care Center</v>
          </cell>
          <cell r="G367" t="str">
            <v>Louisville</v>
          </cell>
          <cell r="H367" t="str">
            <v>KY</v>
          </cell>
          <cell r="I367" t="str">
            <v>40202</v>
          </cell>
          <cell r="J367" t="str">
            <v>Louisville, KY 40202</v>
          </cell>
          <cell r="K367" t="str">
            <v>225 Abraham Flexner Way</v>
          </cell>
          <cell r="M367" t="str">
            <v>502-587-4010</v>
          </cell>
          <cell r="N367" t="str">
            <v>Affiliate Member Of</v>
          </cell>
          <cell r="O367" t="str">
            <v>Ambulatory Care</v>
          </cell>
          <cell r="P367" t="str">
            <v>Clinic</v>
          </cell>
          <cell r="R367" t="str">
            <v>514K4A800</v>
          </cell>
          <cell r="S367" t="str">
            <v>1100002890902</v>
          </cell>
          <cell r="T367">
            <v>38718</v>
          </cell>
          <cell r="V367">
            <v>83001314</v>
          </cell>
          <cell r="W367">
            <v>54178207</v>
          </cell>
          <cell r="X367">
            <v>23</v>
          </cell>
          <cell r="Y367" t="str">
            <v>Active</v>
          </cell>
          <cell r="AA367">
            <v>10959</v>
          </cell>
        </row>
        <row r="368">
          <cell r="A368">
            <v>661441</v>
          </cell>
          <cell r="B368" t="str">
            <v>Healthcare Plus / Des Arc / AR</v>
          </cell>
          <cell r="D368">
            <v>1</v>
          </cell>
          <cell r="E368" t="str">
            <v>Healthcare Plus (661441)</v>
          </cell>
          <cell r="F368" t="str">
            <v>Healthcare Plus</v>
          </cell>
          <cell r="G368" t="str">
            <v>Des Arc</v>
          </cell>
          <cell r="H368" t="str">
            <v>AR</v>
          </cell>
          <cell r="I368" t="str">
            <v>72040</v>
          </cell>
          <cell r="J368" t="str">
            <v>Des Arc, AR 72040</v>
          </cell>
          <cell r="K368" t="str">
            <v>102 Hamilton St.</v>
          </cell>
          <cell r="L368" t="str">
            <v>PO Box 715</v>
          </cell>
          <cell r="M368" t="str">
            <v>870-256-1220</v>
          </cell>
          <cell r="N368" t="str">
            <v>System Member Of</v>
          </cell>
          <cell r="O368" t="str">
            <v>Ambulatory Care</v>
          </cell>
          <cell r="P368" t="str">
            <v>Clinic</v>
          </cell>
          <cell r="Q368" t="str">
            <v>MP1300982</v>
          </cell>
          <cell r="R368" t="str">
            <v>2GRTV7400</v>
          </cell>
          <cell r="S368" t="str">
            <v>1100004664433</v>
          </cell>
          <cell r="T368">
            <v>39052</v>
          </cell>
          <cell r="U368">
            <v>38718</v>
          </cell>
          <cell r="V368">
            <v>43000261</v>
          </cell>
          <cell r="W368">
            <v>379196</v>
          </cell>
          <cell r="X368">
            <v>2</v>
          </cell>
          <cell r="Y368" t="str">
            <v>Active</v>
          </cell>
          <cell r="AA368">
            <v>12127</v>
          </cell>
        </row>
        <row r="369">
          <cell r="A369">
            <v>688743</v>
          </cell>
          <cell r="B369" t="str">
            <v>Memorial East Lake Salvation Army Health Center / Chattanooga / TN</v>
          </cell>
          <cell r="D369">
            <v>1</v>
          </cell>
          <cell r="E369" t="str">
            <v>Memorial East Lake Salvation Army Health Center (688743)</v>
          </cell>
          <cell r="F369" t="str">
            <v>Memorial East Lake Salvation Army Health Center</v>
          </cell>
          <cell r="G369" t="str">
            <v>Chattanooga</v>
          </cell>
          <cell r="H369" t="str">
            <v>TN</v>
          </cell>
          <cell r="I369" t="str">
            <v>37407</v>
          </cell>
          <cell r="J369" t="str">
            <v>Chattanooga, TN 37407</v>
          </cell>
          <cell r="K369" t="str">
            <v>2140 E. 28th St.</v>
          </cell>
          <cell r="M369" t="str">
            <v>423-698-4234</v>
          </cell>
          <cell r="N369" t="str">
            <v>System Member Of</v>
          </cell>
          <cell r="O369" t="str">
            <v>Ambulatory Care</v>
          </cell>
          <cell r="P369" t="str">
            <v>Clinic</v>
          </cell>
          <cell r="R369" t="str">
            <v>58GXEAE00</v>
          </cell>
          <cell r="S369" t="str">
            <v>1100003818264</v>
          </cell>
          <cell r="T369">
            <v>38443</v>
          </cell>
          <cell r="V369">
            <v>0</v>
          </cell>
          <cell r="W369">
            <v>0</v>
          </cell>
          <cell r="X369">
            <v>60</v>
          </cell>
          <cell r="Y369" t="str">
            <v>Inactive</v>
          </cell>
          <cell r="Z369">
            <v>39331</v>
          </cell>
          <cell r="AA369">
            <v>10795</v>
          </cell>
        </row>
        <row r="370">
          <cell r="A370">
            <v>702021</v>
          </cell>
          <cell r="B370" t="str">
            <v>Unity Family Healthcare dba St. Gabriels Hospital / Little Falls / MN</v>
          </cell>
          <cell r="D370">
            <v>4</v>
          </cell>
          <cell r="E370" t="str">
            <v>Unity Family Healthcare dba St. Gabriels Hospital (702021)</v>
          </cell>
          <cell r="F370" t="str">
            <v>Unity Family Healthcare Outpatient Pharmacy</v>
          </cell>
          <cell r="G370" t="str">
            <v>Little Falls</v>
          </cell>
          <cell r="H370" t="str">
            <v>MN</v>
          </cell>
          <cell r="I370" t="str">
            <v>56345</v>
          </cell>
          <cell r="J370" t="str">
            <v>Little Falls, MN 56345</v>
          </cell>
          <cell r="K370" t="str">
            <v>815 2nd Street SE</v>
          </cell>
          <cell r="M370" t="str">
            <v>320-632-1172</v>
          </cell>
          <cell r="N370" t="str">
            <v>System Member Of</v>
          </cell>
          <cell r="O370" t="str">
            <v>Retail</v>
          </cell>
          <cell r="P370" t="str">
            <v>Hospital Outpatient Retail Pharmacy</v>
          </cell>
          <cell r="Q370" t="str">
            <v>FU0457956</v>
          </cell>
          <cell r="R370" t="str">
            <v>610810GF0</v>
          </cell>
          <cell r="T370">
            <v>39356</v>
          </cell>
          <cell r="U370">
            <v>39401</v>
          </cell>
          <cell r="V370">
            <v>0</v>
          </cell>
          <cell r="W370">
            <v>0</v>
          </cell>
          <cell r="Y370" t="str">
            <v>Active</v>
          </cell>
        </row>
        <row r="371">
          <cell r="A371">
            <v>720009</v>
          </cell>
          <cell r="B371" t="str">
            <v>Jewish Hospital Shelbyville / Shelbyville / KY</v>
          </cell>
          <cell r="D371">
            <v>1</v>
          </cell>
          <cell r="E371" t="str">
            <v>Jewish Hospital Shelbyville (720009)</v>
          </cell>
          <cell r="F371" t="str">
            <v>Jewish Hospital Shelbyville</v>
          </cell>
          <cell r="G371" t="str">
            <v>Shelbyville</v>
          </cell>
          <cell r="H371" t="str">
            <v>KY</v>
          </cell>
          <cell r="I371" t="str">
            <v>40065</v>
          </cell>
          <cell r="J371" t="str">
            <v>Shelbyville, KY 40065</v>
          </cell>
          <cell r="K371" t="str">
            <v>727 Hospital Drive</v>
          </cell>
          <cell r="M371" t="str">
            <v>502-647-4000</v>
          </cell>
          <cell r="N371" t="str">
            <v>Affiliate Member Of</v>
          </cell>
          <cell r="O371" t="str">
            <v>Acute Care</v>
          </cell>
          <cell r="P371" t="str">
            <v>Hospital</v>
          </cell>
          <cell r="Q371" t="str">
            <v>BJ3059145</v>
          </cell>
          <cell r="R371" t="str">
            <v>511300A00</v>
          </cell>
          <cell r="S371" t="str">
            <v>1100003682827</v>
          </cell>
          <cell r="T371">
            <v>38718</v>
          </cell>
          <cell r="U371">
            <v>38763</v>
          </cell>
          <cell r="V371">
            <v>83001314</v>
          </cell>
          <cell r="W371">
            <v>54178207</v>
          </cell>
          <cell r="X371">
            <v>23</v>
          </cell>
          <cell r="Y371" t="str">
            <v>Active</v>
          </cell>
          <cell r="AA371">
            <v>10944</v>
          </cell>
        </row>
        <row r="372">
          <cell r="A372">
            <v>722607</v>
          </cell>
          <cell r="B372" t="str">
            <v>Jewish Hospital Medical Center East / Louisville / KY</v>
          </cell>
          <cell r="D372">
            <v>1</v>
          </cell>
          <cell r="E372" t="str">
            <v>Jewish Hospital Medical Center East (722607)</v>
          </cell>
          <cell r="F372" t="str">
            <v>Jewish Hospital Medical Center East</v>
          </cell>
          <cell r="G372" t="str">
            <v>Louisville</v>
          </cell>
          <cell r="H372" t="str">
            <v>KY</v>
          </cell>
          <cell r="I372" t="str">
            <v>40207</v>
          </cell>
          <cell r="J372" t="str">
            <v>Louisville, KY 40207</v>
          </cell>
          <cell r="K372" t="str">
            <v>3920 Dutchmans Lane</v>
          </cell>
          <cell r="M372" t="str">
            <v>502-259-6000</v>
          </cell>
          <cell r="N372" t="str">
            <v>Affiliate Member Of</v>
          </cell>
          <cell r="O372" t="str">
            <v>Acute Care</v>
          </cell>
          <cell r="P372" t="str">
            <v>Hospital</v>
          </cell>
          <cell r="R372" t="str">
            <v>44Q0FW900</v>
          </cell>
          <cell r="S372" t="str">
            <v>1100005936966</v>
          </cell>
          <cell r="T372">
            <v>38718</v>
          </cell>
          <cell r="V372">
            <v>83001314</v>
          </cell>
          <cell r="W372">
            <v>54178207</v>
          </cell>
          <cell r="X372">
            <v>23</v>
          </cell>
          <cell r="Y372" t="str">
            <v>Active</v>
          </cell>
          <cell r="AA372">
            <v>10958</v>
          </cell>
        </row>
        <row r="373">
          <cell r="A373">
            <v>730741</v>
          </cell>
          <cell r="B373" t="str">
            <v>Mercy Van Oort Medical Clinic / Ankeny / IA</v>
          </cell>
          <cell r="D373">
            <v>2</v>
          </cell>
          <cell r="E373" t="str">
            <v>Mercy Van Oort Medical Clinic (730741)</v>
          </cell>
          <cell r="F373" t="str">
            <v>Mercy Van Oort Medical Clinic</v>
          </cell>
          <cell r="G373" t="str">
            <v>Ankeny</v>
          </cell>
          <cell r="H373" t="str">
            <v>IA</v>
          </cell>
          <cell r="I373" t="str">
            <v>50021</v>
          </cell>
          <cell r="J373" t="str">
            <v>Ankeny,  IA  50021</v>
          </cell>
          <cell r="K373" t="str">
            <v>302 South Walnut Street</v>
          </cell>
          <cell r="N373" t="str">
            <v>System Member Of</v>
          </cell>
          <cell r="O373" t="str">
            <v>Ambulatory Care</v>
          </cell>
          <cell r="P373" t="str">
            <v>Clinic</v>
          </cell>
          <cell r="R373" t="str">
            <v>AV8258750</v>
          </cell>
          <cell r="T373">
            <v>39539</v>
          </cell>
          <cell r="U373">
            <v>39539</v>
          </cell>
          <cell r="V373">
            <v>0</v>
          </cell>
          <cell r="W373">
            <v>0</v>
          </cell>
          <cell r="Y373" t="str">
            <v>Active</v>
          </cell>
          <cell r="Z373">
            <v>2958465</v>
          </cell>
          <cell r="AA373">
            <v>14940</v>
          </cell>
        </row>
        <row r="374">
          <cell r="A374">
            <v>753500</v>
          </cell>
          <cell r="B374" t="str">
            <v>CHI Central Business Data Center / Fargo / ND</v>
          </cell>
          <cell r="D374">
            <v>4</v>
          </cell>
          <cell r="E374" t="str">
            <v>CHI Central Business Data Center (753500)</v>
          </cell>
          <cell r="F374" t="str">
            <v>CHI Central Business Data Center</v>
          </cell>
          <cell r="G374" t="str">
            <v>Fargo</v>
          </cell>
          <cell r="H374" t="str">
            <v>ND</v>
          </cell>
          <cell r="I374" t="str">
            <v>58104</v>
          </cell>
          <cell r="J374" t="str">
            <v>Fargo, ND 58104</v>
          </cell>
          <cell r="K374" t="str">
            <v>4816 Amber Valley Parkway</v>
          </cell>
          <cell r="M374" t="str">
            <v>999-999-9999</v>
          </cell>
          <cell r="N374" t="str">
            <v>System Member Of</v>
          </cell>
          <cell r="O374" t="str">
            <v>Other</v>
          </cell>
          <cell r="P374" t="str">
            <v>Health Care System/IDN - Office</v>
          </cell>
          <cell r="S374" t="str">
            <v>1100005336230</v>
          </cell>
          <cell r="T374">
            <v>39052</v>
          </cell>
          <cell r="V374">
            <v>0</v>
          </cell>
          <cell r="W374">
            <v>0</v>
          </cell>
          <cell r="X374">
            <v>91</v>
          </cell>
          <cell r="Y374" t="str">
            <v>Active</v>
          </cell>
          <cell r="AA374">
            <v>12136</v>
          </cell>
        </row>
        <row r="375">
          <cell r="A375">
            <v>785246</v>
          </cell>
          <cell r="B375" t="str">
            <v>St. Anthony Keystone Medical Clinic / Keystone / CO</v>
          </cell>
          <cell r="D375">
            <v>5</v>
          </cell>
          <cell r="E375" t="str">
            <v>St. Anthony Keystone Medical Clinic (785246)</v>
          </cell>
          <cell r="F375" t="str">
            <v>St. Anthony Keystone Medical Clinic</v>
          </cell>
          <cell r="G375" t="str">
            <v>Keystone</v>
          </cell>
          <cell r="H375" t="str">
            <v>CO</v>
          </cell>
          <cell r="I375" t="str">
            <v>80435</v>
          </cell>
          <cell r="J375" t="str">
            <v>Keystone, CO 80435</v>
          </cell>
          <cell r="K375" t="str">
            <v>1252 County Road 8</v>
          </cell>
          <cell r="M375" t="str">
            <v>970-468-6677</v>
          </cell>
          <cell r="N375" t="str">
            <v>Affiliate Member Of</v>
          </cell>
          <cell r="O375" t="str">
            <v>Ambulatory Care</v>
          </cell>
          <cell r="P375" t="str">
            <v>Clinic</v>
          </cell>
          <cell r="Q375" t="str">
            <v>BP0757611</v>
          </cell>
          <cell r="S375" t="str">
            <v>1100004069177</v>
          </cell>
          <cell r="T375">
            <v>39066</v>
          </cell>
          <cell r="U375">
            <v>39114</v>
          </cell>
          <cell r="V375">
            <v>43000261</v>
          </cell>
          <cell r="W375">
            <v>102381</v>
          </cell>
          <cell r="X375">
            <v>4</v>
          </cell>
          <cell r="Y375" t="str">
            <v>Active</v>
          </cell>
          <cell r="AA375">
            <v>12145</v>
          </cell>
        </row>
        <row r="376">
          <cell r="A376">
            <v>800019</v>
          </cell>
          <cell r="B376" t="str">
            <v>Mercy Panora Medical Clinic / Panora / IA</v>
          </cell>
          <cell r="D376">
            <v>2</v>
          </cell>
          <cell r="E376" t="str">
            <v>Mercy Panora Medical Clinic (800019)</v>
          </cell>
          <cell r="F376" t="str">
            <v>Mercy Panora Medical Clinic</v>
          </cell>
          <cell r="G376" t="str">
            <v>Panora</v>
          </cell>
          <cell r="H376" t="str">
            <v>IA</v>
          </cell>
          <cell r="I376" t="str">
            <v>50216</v>
          </cell>
          <cell r="J376" t="str">
            <v>Panora,  IA  50216</v>
          </cell>
          <cell r="K376" t="str">
            <v>319 E. Main</v>
          </cell>
          <cell r="N376" t="str">
            <v>System Member Of</v>
          </cell>
          <cell r="O376" t="str">
            <v>Ambulatory Care</v>
          </cell>
          <cell r="P376" t="str">
            <v>Clinic</v>
          </cell>
          <cell r="R376" t="str">
            <v>BH6642157</v>
          </cell>
          <cell r="T376">
            <v>39539</v>
          </cell>
          <cell r="U376">
            <v>39539</v>
          </cell>
          <cell r="V376">
            <v>0</v>
          </cell>
          <cell r="W376">
            <v>0</v>
          </cell>
          <cell r="Y376" t="str">
            <v>Active</v>
          </cell>
          <cell r="Z376">
            <v>2958465</v>
          </cell>
          <cell r="AA376">
            <v>14936</v>
          </cell>
        </row>
        <row r="377">
          <cell r="A377">
            <v>805564</v>
          </cell>
          <cell r="B377" t="str">
            <v>Bluegrass Regional Imaging East / Lexington / KY</v>
          </cell>
          <cell r="D377">
            <v>1</v>
          </cell>
          <cell r="E377" t="str">
            <v>Bluegrass Regional Imaging East (805564)</v>
          </cell>
          <cell r="F377" t="str">
            <v>Bluegrass Regional Imaging East</v>
          </cell>
          <cell r="G377" t="str">
            <v>Lexington</v>
          </cell>
          <cell r="H377" t="str">
            <v>KY</v>
          </cell>
          <cell r="I377" t="str">
            <v>40509</v>
          </cell>
          <cell r="J377" t="str">
            <v>Lexington, KY 40509</v>
          </cell>
          <cell r="K377" t="str">
            <v>160 N. Eagle Creek Dr. Ste 106</v>
          </cell>
          <cell r="M377" t="str">
            <v>859-263-1721</v>
          </cell>
          <cell r="N377" t="str">
            <v>Affiliate Member Of</v>
          </cell>
          <cell r="O377" t="str">
            <v>Ambulatory Care</v>
          </cell>
          <cell r="P377" t="str">
            <v>Diagnostic Imaging Center</v>
          </cell>
          <cell r="R377" t="str">
            <v>D3BTEGE00</v>
          </cell>
          <cell r="S377" t="str">
            <v>1100003941450</v>
          </cell>
          <cell r="T377">
            <v>38412</v>
          </cell>
          <cell r="V377">
            <v>43000261</v>
          </cell>
          <cell r="W377">
            <v>379209</v>
          </cell>
          <cell r="X377">
            <v>26</v>
          </cell>
          <cell r="Y377" t="str">
            <v>Active</v>
          </cell>
          <cell r="AA377">
            <v>10784</v>
          </cell>
        </row>
        <row r="378">
          <cell r="A378">
            <v>824284</v>
          </cell>
          <cell r="B378" t="str">
            <v>Chattanooga Primary Care/Memorial Health Partners Foundation / Hixson / TN</v>
          </cell>
          <cell r="D378">
            <v>1</v>
          </cell>
          <cell r="E378" t="str">
            <v>Chattanooga Primary Care/Memorial Health Partners Foundation (824284)</v>
          </cell>
          <cell r="F378" t="str">
            <v>Chattanooga Primary Care/Memorial Health Partners Foundation</v>
          </cell>
          <cell r="G378" t="str">
            <v>Hixson</v>
          </cell>
          <cell r="H378" t="str">
            <v>TN</v>
          </cell>
          <cell r="I378" t="str">
            <v>3733</v>
          </cell>
          <cell r="J378" t="str">
            <v>Hixson,  TN  3733</v>
          </cell>
          <cell r="K378" t="str">
            <v>1017 Executive Drive, Suite 101</v>
          </cell>
          <cell r="N378" t="str">
            <v>Affiliate Member Of</v>
          </cell>
          <cell r="O378" t="str">
            <v>Ambulatory Care</v>
          </cell>
          <cell r="P378" t="str">
            <v>Primary Care Physician Practice</v>
          </cell>
          <cell r="R378" t="str">
            <v>MC0333550</v>
          </cell>
          <cell r="T378">
            <v>39508</v>
          </cell>
          <cell r="U378">
            <v>39508</v>
          </cell>
          <cell r="V378">
            <v>0</v>
          </cell>
          <cell r="W378">
            <v>0</v>
          </cell>
          <cell r="Y378" t="str">
            <v>Active</v>
          </cell>
          <cell r="Z378">
            <v>2958465</v>
          </cell>
          <cell r="AA378">
            <v>15327</v>
          </cell>
        </row>
        <row r="379">
          <cell r="A379">
            <v>834331</v>
          </cell>
          <cell r="B379" t="str">
            <v>The Breast Center of Chattanooga/Memorial Health Partners Foundation / Chattanooga / TN</v>
          </cell>
          <cell r="D379">
            <v>1</v>
          </cell>
          <cell r="E379" t="str">
            <v>The Breast Center of Chattanooga/Memorial Health Partners Foundation (834331)</v>
          </cell>
          <cell r="F379" t="str">
            <v>The Breast Center of Chattanooga/Memorial Health Partners Foundation</v>
          </cell>
          <cell r="G379" t="str">
            <v>Chattanooga</v>
          </cell>
          <cell r="H379" t="str">
            <v>TN</v>
          </cell>
          <cell r="I379" t="str">
            <v>37404</v>
          </cell>
          <cell r="J379" t="str">
            <v>Chattanooga,  TN  37404</v>
          </cell>
          <cell r="K379" t="str">
            <v>605 Glenwood Drive, Suite 103</v>
          </cell>
          <cell r="N379" t="str">
            <v>Affiliate Member Of</v>
          </cell>
          <cell r="O379" t="str">
            <v>Ambulatory Care</v>
          </cell>
          <cell r="P379" t="str">
            <v>Primary Care Physician Practice</v>
          </cell>
          <cell r="R379" t="str">
            <v>AR7340588</v>
          </cell>
          <cell r="T379">
            <v>39508</v>
          </cell>
          <cell r="U379">
            <v>39508</v>
          </cell>
          <cell r="V379">
            <v>0</v>
          </cell>
          <cell r="W379">
            <v>0</v>
          </cell>
          <cell r="Y379" t="str">
            <v>Active</v>
          </cell>
          <cell r="Z379">
            <v>2958465</v>
          </cell>
          <cell r="AA379">
            <v>15326</v>
          </cell>
        </row>
        <row r="380">
          <cell r="A380">
            <v>838447</v>
          </cell>
          <cell r="B380" t="str">
            <v>CHI Central Business Data Center / Nampa / ID</v>
          </cell>
          <cell r="D380">
            <v>3</v>
          </cell>
          <cell r="E380" t="str">
            <v>CHI Central Business Data Center (838447)</v>
          </cell>
          <cell r="F380" t="str">
            <v>CHI Central Business Data Center</v>
          </cell>
          <cell r="G380" t="str">
            <v>Nampa</v>
          </cell>
          <cell r="H380" t="str">
            <v>ID</v>
          </cell>
          <cell r="I380" t="str">
            <v>83686-6014</v>
          </cell>
          <cell r="J380" t="str">
            <v>Nampa, ID 83686-6014</v>
          </cell>
          <cell r="K380" t="str">
            <v>401 E. Hawaii Ave.</v>
          </cell>
          <cell r="M380" t="str">
            <v>208-463-5670</v>
          </cell>
          <cell r="N380" t="str">
            <v>System Member Of</v>
          </cell>
          <cell r="O380" t="str">
            <v>Other</v>
          </cell>
          <cell r="P380" t="str">
            <v>Health Care System/IDN - Office</v>
          </cell>
          <cell r="S380" t="str">
            <v>1100005705289</v>
          </cell>
          <cell r="T380">
            <v>39052</v>
          </cell>
          <cell r="V380">
            <v>0</v>
          </cell>
          <cell r="W380">
            <v>0</v>
          </cell>
          <cell r="X380">
            <v>91</v>
          </cell>
          <cell r="Y380" t="str">
            <v>Active</v>
          </cell>
          <cell r="AA380">
            <v>12137</v>
          </cell>
        </row>
        <row r="381">
          <cell r="A381">
            <v>839628</v>
          </cell>
          <cell r="B381" t="str">
            <v>Jewish Hospital Medical Center South / Hillview / KY</v>
          </cell>
          <cell r="D381">
            <v>1</v>
          </cell>
          <cell r="E381" t="str">
            <v>Jewish Hospital Medical Center South (839628)</v>
          </cell>
          <cell r="F381" t="str">
            <v>Jewish Hospital Medical Center South</v>
          </cell>
          <cell r="G381" t="str">
            <v>Hillview</v>
          </cell>
          <cell r="H381" t="str">
            <v>KY</v>
          </cell>
          <cell r="I381" t="str">
            <v>40165</v>
          </cell>
          <cell r="J381" t="str">
            <v>Hillview, KY 40165</v>
          </cell>
          <cell r="K381" t="str">
            <v>1903 West Hebron Lane</v>
          </cell>
          <cell r="M381" t="str">
            <v>502-587-4011</v>
          </cell>
          <cell r="N381" t="str">
            <v>Affiliate Member Of</v>
          </cell>
          <cell r="O381" t="str">
            <v>Acute Care</v>
          </cell>
          <cell r="P381" t="str">
            <v>Hospital</v>
          </cell>
          <cell r="R381" t="str">
            <v>A1D3FPV00</v>
          </cell>
          <cell r="S381" t="str">
            <v>1100003038921</v>
          </cell>
          <cell r="T381">
            <v>38718</v>
          </cell>
          <cell r="V381">
            <v>83001314</v>
          </cell>
          <cell r="W381">
            <v>54178207</v>
          </cell>
          <cell r="X381">
            <v>23</v>
          </cell>
          <cell r="Y381" t="str">
            <v>Active</v>
          </cell>
          <cell r="AA381">
            <v>10957</v>
          </cell>
        </row>
        <row r="382">
          <cell r="A382">
            <v>854232</v>
          </cell>
          <cell r="B382" t="str">
            <v>Mercy North Pediatric Clinic / Ankeny / IA</v>
          </cell>
          <cell r="D382">
            <v>2</v>
          </cell>
          <cell r="E382" t="str">
            <v>Mercy North Pediatric Clinic (854232)</v>
          </cell>
          <cell r="F382" t="str">
            <v>Mercy North Pediatric Clinic</v>
          </cell>
          <cell r="G382" t="str">
            <v>Ankeny</v>
          </cell>
          <cell r="H382" t="str">
            <v>IA</v>
          </cell>
          <cell r="I382" t="str">
            <v>50021</v>
          </cell>
          <cell r="J382" t="str">
            <v>Ankeny, IA 50021</v>
          </cell>
          <cell r="K382" t="str">
            <v>800 E. 1st St., Suite 1200</v>
          </cell>
          <cell r="M382" t="str">
            <v>515-643-9000</v>
          </cell>
          <cell r="N382" t="str">
            <v>System Member Of</v>
          </cell>
          <cell r="O382" t="str">
            <v>Ambulatory Care</v>
          </cell>
          <cell r="P382" t="str">
            <v>Clinic</v>
          </cell>
          <cell r="Q382" t="str">
            <v>BS2317926</v>
          </cell>
          <cell r="R382" t="str">
            <v>FDB8PLL00</v>
          </cell>
          <cell r="S382" t="str">
            <v>1100005803312</v>
          </cell>
          <cell r="T382">
            <v>38749</v>
          </cell>
          <cell r="U382">
            <v>38791</v>
          </cell>
          <cell r="V382">
            <v>43000261</v>
          </cell>
          <cell r="W382">
            <v>374766</v>
          </cell>
          <cell r="X382">
            <v>15</v>
          </cell>
          <cell r="Y382" t="str">
            <v>Active</v>
          </cell>
          <cell r="AA382">
            <v>10964</v>
          </cell>
        </row>
        <row r="383">
          <cell r="A383">
            <v>895136</v>
          </cell>
          <cell r="B383" t="str">
            <v>Jewish Hospital Regional Service Center / Louisville / KY</v>
          </cell>
          <cell r="C383" t="str">
            <v>MBO98</v>
          </cell>
          <cell r="D383">
            <v>1</v>
          </cell>
          <cell r="E383" t="str">
            <v>Jewish Hospital Regional Service Center (895136)</v>
          </cell>
          <cell r="F383" t="str">
            <v>Jewish Hospital Regional Service Center</v>
          </cell>
          <cell r="G383" t="str">
            <v>Louisville</v>
          </cell>
          <cell r="H383" t="str">
            <v>KY</v>
          </cell>
          <cell r="I383" t="str">
            <v>40229</v>
          </cell>
          <cell r="J383" t="str">
            <v>Louisville, KY 40229</v>
          </cell>
          <cell r="K383" t="str">
            <v>5000 Commerce Crossing, Suite 100</v>
          </cell>
          <cell r="M383" t="str">
            <v>502-962-6349</v>
          </cell>
          <cell r="N383" t="str">
            <v>Affiliate Member Of</v>
          </cell>
          <cell r="O383" t="str">
            <v>Acute Care</v>
          </cell>
          <cell r="P383" t="str">
            <v>Hospital Distribution Center</v>
          </cell>
          <cell r="R383" t="str">
            <v>C00PQVM00</v>
          </cell>
          <cell r="S383" t="str">
            <v>1100004333230</v>
          </cell>
          <cell r="T383">
            <v>38718</v>
          </cell>
          <cell r="V383">
            <v>83001314</v>
          </cell>
          <cell r="W383">
            <v>54178207</v>
          </cell>
          <cell r="X383">
            <v>23</v>
          </cell>
          <cell r="Y383" t="str">
            <v>Active</v>
          </cell>
          <cell r="AA383">
            <v>10940</v>
          </cell>
        </row>
        <row r="384">
          <cell r="A384">
            <v>902539</v>
          </cell>
          <cell r="B384" t="str">
            <v>Scott Memorial Hospital / Scottsburg / IN</v>
          </cell>
          <cell r="D384">
            <v>1</v>
          </cell>
          <cell r="E384" t="str">
            <v>Scott Memorial Hospital (902539)</v>
          </cell>
          <cell r="F384" t="str">
            <v>Scott Memorial Hospital</v>
          </cell>
          <cell r="G384" t="str">
            <v>Scottsburg</v>
          </cell>
          <cell r="H384" t="str">
            <v>IN</v>
          </cell>
          <cell r="I384" t="str">
            <v>47170</v>
          </cell>
          <cell r="J384" t="str">
            <v>Scottsburg, IN 47170</v>
          </cell>
          <cell r="K384" t="str">
            <v xml:space="preserve">1451 N. Gardner </v>
          </cell>
          <cell r="L384" t="str">
            <v>P.O. Box 430</v>
          </cell>
          <cell r="M384" t="str">
            <v>812-752-3456</v>
          </cell>
          <cell r="N384" t="str">
            <v>Affiliate Member Of</v>
          </cell>
          <cell r="O384" t="str">
            <v>Acute Care</v>
          </cell>
          <cell r="P384" t="str">
            <v>Hospital</v>
          </cell>
          <cell r="Q384" t="str">
            <v>AS7021126</v>
          </cell>
          <cell r="R384" t="str">
            <v>421290I00</v>
          </cell>
          <cell r="S384" t="str">
            <v>1100003938528</v>
          </cell>
          <cell r="T384">
            <v>38718</v>
          </cell>
          <cell r="U384">
            <v>38763</v>
          </cell>
          <cell r="V384">
            <v>83001314</v>
          </cell>
          <cell r="W384">
            <v>54178207</v>
          </cell>
          <cell r="X384">
            <v>23</v>
          </cell>
          <cell r="Y384" t="str">
            <v>Active</v>
          </cell>
          <cell r="AA384">
            <v>10946</v>
          </cell>
        </row>
        <row r="385">
          <cell r="A385">
            <v>918020</v>
          </cell>
          <cell r="B385" t="str">
            <v>Mercy West Pharmacy / Clive / IA</v>
          </cell>
          <cell r="D385">
            <v>2</v>
          </cell>
          <cell r="E385" t="str">
            <v>Mercy West Pharmacy (918020)</v>
          </cell>
          <cell r="F385" t="str">
            <v>Mercy West Pharmacy</v>
          </cell>
          <cell r="G385" t="str">
            <v>Clive</v>
          </cell>
          <cell r="H385" t="str">
            <v>IA</v>
          </cell>
          <cell r="I385" t="str">
            <v>50325</v>
          </cell>
          <cell r="J385" t="str">
            <v>Clive, IA 50325</v>
          </cell>
          <cell r="K385" t="str">
            <v>1601 NW 114th St., Suite 224</v>
          </cell>
          <cell r="M385" t="str">
            <v>515-222-7979</v>
          </cell>
          <cell r="N385" t="str">
            <v>System Member Of</v>
          </cell>
          <cell r="O385" t="str">
            <v>Retail</v>
          </cell>
          <cell r="P385" t="str">
            <v>Hospital Outpatient Retail Pharmacy</v>
          </cell>
          <cell r="Q385" t="str">
            <v>BM7986411</v>
          </cell>
          <cell r="R385" t="str">
            <v>5V2PVM800</v>
          </cell>
          <cell r="S385" t="str">
            <v>1100003693137</v>
          </cell>
          <cell r="T385">
            <v>38548</v>
          </cell>
          <cell r="U385">
            <v>38596</v>
          </cell>
          <cell r="V385">
            <v>43000261</v>
          </cell>
          <cell r="W385">
            <v>374766</v>
          </cell>
          <cell r="X385">
            <v>15</v>
          </cell>
          <cell r="Y385" t="str">
            <v>Active</v>
          </cell>
          <cell r="AA385">
            <v>10848</v>
          </cell>
        </row>
        <row r="386">
          <cell r="A386">
            <v>941408</v>
          </cell>
          <cell r="B386" t="str">
            <v>Good Samaritan Outreach Services dba High Plains Family Medicine / Holdrege / NE</v>
          </cell>
          <cell r="D386">
            <v>2</v>
          </cell>
          <cell r="E386" t="str">
            <v>Good Samaritan Outreach Services dba High Plains Family Medicine (941408)</v>
          </cell>
          <cell r="F386" t="str">
            <v>Good Samaritan Outreach Services dba High Plains Family Medicine</v>
          </cell>
          <cell r="G386" t="str">
            <v>Holdrege</v>
          </cell>
          <cell r="H386" t="str">
            <v>NE</v>
          </cell>
          <cell r="I386" t="str">
            <v>68949</v>
          </cell>
          <cell r="J386" t="str">
            <v>Holdrege, NE 68949</v>
          </cell>
          <cell r="K386" t="str">
            <v>1315 Tibbals St.</v>
          </cell>
          <cell r="M386" t="str">
            <v>308-995-6111</v>
          </cell>
          <cell r="N386" t="str">
            <v>System Member Of</v>
          </cell>
          <cell r="O386" t="str">
            <v>Ambulatory Care</v>
          </cell>
          <cell r="P386" t="str">
            <v>Clinic</v>
          </cell>
          <cell r="Q386" t="str">
            <v>AR8690465</v>
          </cell>
          <cell r="R386" t="str">
            <v>DDYQG1V00</v>
          </cell>
          <cell r="S386" t="str">
            <v>1100003514708</v>
          </cell>
          <cell r="T386">
            <v>38412</v>
          </cell>
          <cell r="U386">
            <v>38487</v>
          </cell>
          <cell r="V386">
            <v>0</v>
          </cell>
          <cell r="W386">
            <v>0</v>
          </cell>
          <cell r="X386">
            <v>45</v>
          </cell>
          <cell r="Y386" t="str">
            <v>Inactive</v>
          </cell>
          <cell r="Z386">
            <v>39344</v>
          </cell>
          <cell r="AA386">
            <v>10782</v>
          </cell>
        </row>
        <row r="387">
          <cell r="A387">
            <v>958439</v>
          </cell>
          <cell r="B387" t="str">
            <v>St. Joseph's Hospital / Huntingburg / IN</v>
          </cell>
          <cell r="D387">
            <v>1</v>
          </cell>
          <cell r="E387" t="str">
            <v>St. Joseph's Hospital (958439)</v>
          </cell>
          <cell r="F387" t="str">
            <v>St. Joseph's Hospital</v>
          </cell>
          <cell r="G387" t="str">
            <v>Huntingburg</v>
          </cell>
          <cell r="H387" t="str">
            <v>IN</v>
          </cell>
          <cell r="I387" t="str">
            <v>47542</v>
          </cell>
          <cell r="J387" t="str">
            <v>Huntingburg, IN 47542</v>
          </cell>
          <cell r="K387" t="str">
            <v>1900 Medical Arts Drive</v>
          </cell>
          <cell r="M387" t="str">
            <v>812-683-2121</v>
          </cell>
          <cell r="N387" t="str">
            <v>Affiliate Member Of</v>
          </cell>
          <cell r="O387" t="str">
            <v>Acute Care</v>
          </cell>
          <cell r="P387" t="str">
            <v>Hospital</v>
          </cell>
          <cell r="R387" t="str">
            <v>420600C00</v>
          </cell>
          <cell r="S387" t="str">
            <v>1100005364301</v>
          </cell>
          <cell r="T387">
            <v>38718</v>
          </cell>
          <cell r="V387">
            <v>83001314</v>
          </cell>
          <cell r="W387">
            <v>54178207</v>
          </cell>
          <cell r="X387">
            <v>23</v>
          </cell>
          <cell r="Y387" t="str">
            <v>Inactive</v>
          </cell>
          <cell r="Z387">
            <v>39097</v>
          </cell>
          <cell r="AA387">
            <v>10945</v>
          </cell>
        </row>
        <row r="388">
          <cell r="A388">
            <v>974965</v>
          </cell>
          <cell r="B388" t="str">
            <v>Dakota Plains Radiology / Williston / ND</v>
          </cell>
          <cell r="D388">
            <v>4</v>
          </cell>
          <cell r="E388" t="str">
            <v>Dakota Plains Radiology (974965)</v>
          </cell>
          <cell r="F388" t="str">
            <v>Dakota Plains Radiology</v>
          </cell>
          <cell r="G388" t="str">
            <v>Williston</v>
          </cell>
          <cell r="H388" t="str">
            <v>ND</v>
          </cell>
          <cell r="I388" t="str">
            <v>58801</v>
          </cell>
          <cell r="J388" t="str">
            <v>Williston, ND 58801</v>
          </cell>
          <cell r="K388" t="str">
            <v xml:space="preserve">1301 15th Ave West </v>
          </cell>
          <cell r="M388" t="str">
            <v>701-774-7435</v>
          </cell>
          <cell r="N388" t="str">
            <v>Affiliate Member Of</v>
          </cell>
          <cell r="O388" t="str">
            <v>Ambulatory Care</v>
          </cell>
          <cell r="P388" t="str">
            <v>Diagnostic Imaging Center</v>
          </cell>
          <cell r="R388" t="str">
            <v>94Y7QFN00</v>
          </cell>
          <cell r="S388" t="str">
            <v>1100003294877</v>
          </cell>
          <cell r="T388">
            <v>38640</v>
          </cell>
          <cell r="V388">
            <v>0</v>
          </cell>
          <cell r="W388">
            <v>0</v>
          </cell>
          <cell r="X388">
            <v>41</v>
          </cell>
          <cell r="Y388" t="str">
            <v>Inactive</v>
          </cell>
          <cell r="Z388">
            <v>39343</v>
          </cell>
          <cell r="AA388">
            <v>10877</v>
          </cell>
        </row>
        <row r="389">
          <cell r="A389">
            <v>980000</v>
          </cell>
          <cell r="B389" t="str">
            <v xml:space="preserve">CHP St. Elizabeth / Boardman / OH  </v>
          </cell>
          <cell r="D389">
            <v>0</v>
          </cell>
          <cell r="E389" t="str">
            <v>**CHP St. Elizabeth - Boardman</v>
          </cell>
          <cell r="F389" t="str">
            <v>**CHP St. Elizabeth - Boardman</v>
          </cell>
          <cell r="G389" t="str">
            <v>Boardman</v>
          </cell>
          <cell r="H389" t="str">
            <v>OH</v>
          </cell>
          <cell r="J389" t="str">
            <v>Boardman, OH</v>
          </cell>
          <cell r="V389">
            <v>0</v>
          </cell>
          <cell r="W389">
            <v>0</v>
          </cell>
          <cell r="X389">
            <v>92</v>
          </cell>
          <cell r="Y389" t="str">
            <v>Active</v>
          </cell>
        </row>
        <row r="390">
          <cell r="A390">
            <v>980001</v>
          </cell>
          <cell r="B390" t="str">
            <v xml:space="preserve">CHP St. Elizabeth / Youngstown / OH </v>
          </cell>
          <cell r="D390">
            <v>0</v>
          </cell>
          <cell r="E390" t="str">
            <v>**CHP St. Elizabeth - Youngstown</v>
          </cell>
          <cell r="F390" t="str">
            <v>**CHP St. Elizabeth - Youngstown</v>
          </cell>
          <cell r="G390" t="str">
            <v>Youngstown</v>
          </cell>
          <cell r="H390" t="str">
            <v>OH</v>
          </cell>
          <cell r="J390" t="str">
            <v>Youngstown, OH</v>
          </cell>
          <cell r="V390">
            <v>0</v>
          </cell>
          <cell r="W390">
            <v>0</v>
          </cell>
          <cell r="X390">
            <v>92</v>
          </cell>
          <cell r="Y390" t="str">
            <v>Active</v>
          </cell>
        </row>
        <row r="391">
          <cell r="A391">
            <v>980002</v>
          </cell>
          <cell r="B391" t="str">
            <v xml:space="preserve">CHP St. Joseph / Warren / OH  </v>
          </cell>
          <cell r="D391">
            <v>0</v>
          </cell>
          <cell r="E391" t="str">
            <v>**CHP St. Joseph - Warren</v>
          </cell>
          <cell r="F391" t="str">
            <v>**CHP St. Joseph - Warren</v>
          </cell>
          <cell r="G391" t="str">
            <v>Warren</v>
          </cell>
          <cell r="H391" t="str">
            <v>OH</v>
          </cell>
          <cell r="J391" t="str">
            <v>Warren, OH</v>
          </cell>
          <cell r="V391">
            <v>0</v>
          </cell>
          <cell r="W391">
            <v>0</v>
          </cell>
          <cell r="X391">
            <v>92</v>
          </cell>
          <cell r="Y391" t="str">
            <v>Active</v>
          </cell>
        </row>
        <row r="392">
          <cell r="A392">
            <v>999991</v>
          </cell>
          <cell r="B392" t="str">
            <v>Alegent Health / Omaha / NE</v>
          </cell>
          <cell r="D392">
            <v>0</v>
          </cell>
          <cell r="E392" t="str">
            <v>**Alegent Health</v>
          </cell>
          <cell r="F392" t="str">
            <v>**Alegent Health</v>
          </cell>
          <cell r="G392" t="str">
            <v>Omaha</v>
          </cell>
          <cell r="H392" t="str">
            <v>NE</v>
          </cell>
          <cell r="J392" t="str">
            <v>Omaha, NE</v>
          </cell>
          <cell r="V392">
            <v>0</v>
          </cell>
          <cell r="W392">
            <v>0</v>
          </cell>
          <cell r="X392">
            <v>44</v>
          </cell>
          <cell r="Y392" t="str">
            <v>Active</v>
          </cell>
        </row>
        <row r="393">
          <cell r="A393">
            <v>999992</v>
          </cell>
          <cell r="B393" t="str">
            <v>Good Samaritan Hospital / Cincinnati / OH</v>
          </cell>
          <cell r="D393">
            <v>0</v>
          </cell>
          <cell r="E393" t="str">
            <v>**Good Samaritan Hospital - Cincinnati</v>
          </cell>
          <cell r="F393" t="str">
            <v>**Good Samaritan Hospital - Cincinnati</v>
          </cell>
          <cell r="G393" t="str">
            <v>Cincinnati</v>
          </cell>
          <cell r="H393" t="str">
            <v>OH</v>
          </cell>
          <cell r="J393" t="str">
            <v>Cincinnati, OH</v>
          </cell>
          <cell r="V393">
            <v>0</v>
          </cell>
          <cell r="W393">
            <v>0</v>
          </cell>
          <cell r="X393">
            <v>50</v>
          </cell>
          <cell r="Y393" t="str">
            <v>Active</v>
          </cell>
        </row>
        <row r="394">
          <cell r="A394">
            <v>999993</v>
          </cell>
          <cell r="B394" t="str">
            <v>Bethesda North / Dayton / OH</v>
          </cell>
          <cell r="D394">
            <v>0</v>
          </cell>
          <cell r="E394" t="str">
            <v>**Bethesda North</v>
          </cell>
          <cell r="F394" t="str">
            <v>**Bethesda North</v>
          </cell>
          <cell r="G394" t="str">
            <v>Dayton</v>
          </cell>
          <cell r="H394" t="str">
            <v>OH</v>
          </cell>
          <cell r="J394" t="str">
            <v>Dayton, OH</v>
          </cell>
          <cell r="V394">
            <v>0</v>
          </cell>
          <cell r="W394">
            <v>0</v>
          </cell>
          <cell r="X394">
            <v>49</v>
          </cell>
          <cell r="Y394" t="str">
            <v>Active</v>
          </cell>
        </row>
        <row r="395">
          <cell r="A395">
            <v>999994</v>
          </cell>
          <cell r="B395" t="str">
            <v>Good Samaritan Hospital / Dayton / OH</v>
          </cell>
          <cell r="D395">
            <v>0</v>
          </cell>
          <cell r="E395" t="str">
            <v>**Good Samaritan Hospital - Dayton</v>
          </cell>
          <cell r="F395" t="str">
            <v>**Good Samaritan Hospital - Dayton</v>
          </cell>
          <cell r="G395" t="str">
            <v>Dayton</v>
          </cell>
          <cell r="H395" t="str">
            <v>OH</v>
          </cell>
          <cell r="J395" t="str">
            <v>Dayton, OH</v>
          </cell>
          <cell r="V395">
            <v>0</v>
          </cell>
          <cell r="W395">
            <v>0</v>
          </cell>
          <cell r="X395">
            <v>51</v>
          </cell>
          <cell r="Y395" t="str">
            <v>Active</v>
          </cell>
        </row>
        <row r="396">
          <cell r="A396">
            <v>999995</v>
          </cell>
          <cell r="B396" t="str">
            <v xml:space="preserve">Miami Valley / Dayton / OH </v>
          </cell>
          <cell r="D396">
            <v>0</v>
          </cell>
          <cell r="E396" t="str">
            <v xml:space="preserve">**Miami Valley </v>
          </cell>
          <cell r="F396" t="str">
            <v xml:space="preserve">**Miami Valley </v>
          </cell>
          <cell r="G396" t="str">
            <v>Dayton</v>
          </cell>
          <cell r="H396" t="str">
            <v>OH</v>
          </cell>
          <cell r="J396" t="str">
            <v>Dayton, OH</v>
          </cell>
          <cell r="V396">
            <v>0</v>
          </cell>
          <cell r="W396">
            <v>0</v>
          </cell>
          <cell r="X396">
            <v>52</v>
          </cell>
          <cell r="Y396" t="str">
            <v>Active</v>
          </cell>
        </row>
        <row r="397">
          <cell r="A397">
            <v>999996</v>
          </cell>
          <cell r="B397" t="str">
            <v>St Joseph Hospital / Larned / KS</v>
          </cell>
          <cell r="D397">
            <v>0</v>
          </cell>
          <cell r="E397" t="str">
            <v>**St Joseph Hospital Larned</v>
          </cell>
          <cell r="F397" t="str">
            <v>**St Joseph Hospital Larned</v>
          </cell>
          <cell r="G397" t="str">
            <v>Larned</v>
          </cell>
          <cell r="H397" t="str">
            <v>KS</v>
          </cell>
          <cell r="J397" t="str">
            <v>Larned, KS</v>
          </cell>
          <cell r="V397">
            <v>0</v>
          </cell>
          <cell r="W397">
            <v>0</v>
          </cell>
          <cell r="X397">
            <v>20</v>
          </cell>
          <cell r="Y397" t="str">
            <v>Active</v>
          </cell>
        </row>
        <row r="398">
          <cell r="A398">
            <v>999999</v>
          </cell>
          <cell r="B398" t="str">
            <v>Across Multiple Facilities</v>
          </cell>
          <cell r="D398">
            <v>0</v>
          </cell>
          <cell r="E398" t="str">
            <v>Across Multiple Facilities</v>
          </cell>
          <cell r="F398" t="str">
            <v>Across Multiple Facilities</v>
          </cell>
          <cell r="V398">
            <v>0</v>
          </cell>
          <cell r="W398">
            <v>0</v>
          </cell>
          <cell r="X398">
            <v>90</v>
          </cell>
          <cell r="Y398" t="str">
            <v>Active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Acctg Units"/>
      <sheetName val="Recon"/>
      <sheetName val="IMPLEMENTATION"/>
      <sheetName val="6180820"/>
      <sheetName val="6150820"/>
      <sheetName val="6621820"/>
      <sheetName val="6826820"/>
      <sheetName val="2970820"/>
      <sheetName val="6622820"/>
      <sheetName val="6624820"/>
      <sheetName val="218800593"/>
      <sheetName val="6626820"/>
      <sheetName val="6625820"/>
      <sheetName val="Support Centers"/>
      <sheetName val="Sheet4"/>
      <sheetName val="1000830"/>
      <sheetName val="6165830"/>
      <sheetName val="6630830"/>
      <sheetName val="6670830"/>
      <sheetName val="6800830"/>
      <sheetName val="6810830"/>
      <sheetName val="6830830"/>
      <sheetName val="6870830"/>
      <sheetName val="6905830"/>
      <sheetName val="Savini Totals"/>
      <sheetName val="CBO Adj"/>
      <sheetName val="Fargo"/>
      <sheetName val="6502820"/>
      <sheetName val="6510820"/>
      <sheetName val="6520820"/>
      <sheetName val="6530820"/>
      <sheetName val="6535820"/>
      <sheetName val="6536820"/>
      <sheetName val="6538820"/>
      <sheetName val="LawsonDrillInfo"/>
      <sheetName val="6511820"/>
      <sheetName val="6501820"/>
      <sheetName val="6631820"/>
      <sheetName val="7200820"/>
      <sheetName val="Shell"/>
      <sheetName val="6781820"/>
      <sheetName val="Shell2"/>
      <sheetName val="Shell 5"/>
      <sheetName val="Data"/>
      <sheetName val="desc"/>
      <sheetName val="9999999"/>
      <sheetName val="Shell Revised"/>
      <sheetName val="Implement Combined"/>
      <sheetName val="Implement"/>
      <sheetName val="Shell1"/>
      <sheetName val="Export"/>
      <sheetName val="Code1"/>
      <sheetName val="Sheet2"/>
      <sheetName val="GL Data"/>
      <sheetName val="AP Data"/>
      <sheetName val="AP Merge"/>
      <sheetName val="AP1"/>
      <sheetName val="AccountInfo"/>
      <sheetName val="Sheet1"/>
      <sheetName val="Summary"/>
      <sheetName val="GL1"/>
      <sheetName val="Variance"/>
      <sheetName val="VarRpt"/>
      <sheetName val="Recon (2)"/>
      <sheetName val="Sheet3"/>
    </sheetNames>
    <sheetDataSet>
      <sheetData sheetId="0">
        <row r="2">
          <cell r="A2">
            <v>2</v>
          </cell>
        </row>
        <row r="26">
          <cell r="H26" t="str">
            <v>0310</v>
          </cell>
        </row>
        <row r="27">
          <cell r="H27" t="str">
            <v>0410</v>
          </cell>
        </row>
        <row r="28">
          <cell r="H28" t="str">
            <v>0510</v>
          </cell>
        </row>
        <row r="29">
          <cell r="H29" t="str">
            <v>0610</v>
          </cell>
        </row>
        <row r="30">
          <cell r="H30" t="str">
            <v>0710</v>
          </cell>
        </row>
        <row r="31">
          <cell r="H31" t="str">
            <v>0810</v>
          </cell>
        </row>
        <row r="32">
          <cell r="H32" t="str">
            <v>0910</v>
          </cell>
        </row>
        <row r="33">
          <cell r="H33" t="str">
            <v>1010</v>
          </cell>
        </row>
        <row r="34">
          <cell r="H34" t="str">
            <v>1110</v>
          </cell>
        </row>
        <row r="35">
          <cell r="H35" t="str">
            <v>1210</v>
          </cell>
        </row>
        <row r="36">
          <cell r="H36" t="str">
            <v>0111</v>
          </cell>
        </row>
        <row r="37">
          <cell r="H37" t="str">
            <v>0211</v>
          </cell>
        </row>
        <row r="38">
          <cell r="H38" t="str">
            <v>0311</v>
          </cell>
        </row>
        <row r="39">
          <cell r="H39" t="str">
            <v>0411</v>
          </cell>
        </row>
        <row r="40">
          <cell r="H40" t="str">
            <v>0511</v>
          </cell>
        </row>
        <row r="41">
          <cell r="H41" t="str">
            <v>0611</v>
          </cell>
        </row>
        <row r="42">
          <cell r="H42" t="str">
            <v>0711</v>
          </cell>
        </row>
        <row r="43">
          <cell r="H43" t="str">
            <v>0811</v>
          </cell>
        </row>
        <row r="44">
          <cell r="H44" t="str">
            <v>0911</v>
          </cell>
        </row>
        <row r="45">
          <cell r="H45" t="str">
            <v>1011</v>
          </cell>
        </row>
        <row r="46">
          <cell r="H46" t="str">
            <v>1111</v>
          </cell>
        </row>
        <row r="47">
          <cell r="H47" t="str">
            <v>1211</v>
          </cell>
        </row>
        <row r="48">
          <cell r="H48" t="str">
            <v>0112</v>
          </cell>
        </row>
        <row r="49">
          <cell r="H49" t="str">
            <v>0212</v>
          </cell>
        </row>
        <row r="50">
          <cell r="H50" t="str">
            <v>0312</v>
          </cell>
        </row>
        <row r="51">
          <cell r="H51" t="str">
            <v>0412</v>
          </cell>
        </row>
        <row r="52">
          <cell r="H52" t="str">
            <v>0512</v>
          </cell>
        </row>
        <row r="53">
          <cell r="H53" t="str">
            <v>0612</v>
          </cell>
        </row>
        <row r="54">
          <cell r="H54" t="str">
            <v>0712</v>
          </cell>
        </row>
        <row r="55">
          <cell r="H55" t="str">
            <v>0812</v>
          </cell>
        </row>
        <row r="56">
          <cell r="H56" t="str">
            <v>0912</v>
          </cell>
        </row>
        <row r="57">
          <cell r="H57" t="str">
            <v>1012</v>
          </cell>
        </row>
        <row r="58">
          <cell r="H58" t="str">
            <v>1112</v>
          </cell>
        </row>
        <row r="59">
          <cell r="H59" t="str">
            <v>1212</v>
          </cell>
        </row>
        <row r="60">
          <cell r="H60" t="str">
            <v>0113</v>
          </cell>
        </row>
        <row r="61">
          <cell r="H61" t="str">
            <v>0213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06 worksheet"/>
      <sheetName val="Sheet1"/>
      <sheetName val="ca"/>
      <sheetName val="rev"/>
      <sheetName val="MC"/>
      <sheetName val="03-0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JournalEntry"/>
      <sheetName val="Tables"/>
      <sheetName val="4399501 - JEs"/>
      <sheetName val="5100FSS-PT ADMIN FY15"/>
      <sheetName val="FY15 email"/>
    </sheetNames>
    <sheetDataSet>
      <sheetData sheetId="0"/>
      <sheetData sheetId="1"/>
      <sheetData sheetId="2">
        <row r="5">
          <cell r="B5" t="str">
            <v>J</v>
          </cell>
          <cell r="E5" t="str">
            <v>N</v>
          </cell>
          <cell r="H5" t="str">
            <v>N</v>
          </cell>
        </row>
        <row r="6">
          <cell r="B6" t="str">
            <v>P</v>
          </cell>
          <cell r="E6" t="str">
            <v>Y</v>
          </cell>
          <cell r="H6" t="str">
            <v>I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1" t="s">
        <v>1259</v>
      </c>
    </row>
    <row r="17" spans="1:6" ht="12.75" customHeight="1" x14ac:dyDescent="0.25">
      <c r="A17" s="180" t="s">
        <v>1230</v>
      </c>
      <c r="C17" s="281" t="s">
        <v>1259</v>
      </c>
    </row>
    <row r="18" spans="1:6" ht="12.75" customHeight="1" x14ac:dyDescent="0.25">
      <c r="A18" s="227"/>
      <c r="C18" s="235"/>
    </row>
    <row r="19" spans="1:6" ht="12.75" customHeight="1" x14ac:dyDescent="0.25">
      <c r="C19" s="235"/>
    </row>
    <row r="20" spans="1:6" ht="12.75" customHeight="1" x14ac:dyDescent="0.2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f>'SJ Data'!I64</f>
        <v>55147027.710000001</v>
      </c>
      <c r="C47" s="292">
        <f>IF(ISERR(VLOOKUP(VALUE(C$44),'SJ Data'!$A$4:$AC$58,9,0)="TRUE"),0,VLOOKUP(VALUE(C$44),'SJ Data'!$A$4:$AC$58,9,0))</f>
        <v>3928891.4499999997</v>
      </c>
      <c r="D47" s="292">
        <f>IF(ISERR(VLOOKUP(VALUE(D$44),'SJ Data'!$A$4:$AC$58,9,0)="TRUE"),0,VLOOKUP(VALUE(D$44),'SJ Data'!$A$4:$AC$58,9,0))</f>
        <v>0</v>
      </c>
      <c r="E47" s="292">
        <f>IF(ISERR(VLOOKUP(VALUE(E$44),'SJ Data'!$A$4:$AC$58,9,0)="TRUE"),0,VLOOKUP(VALUE(E$44),'SJ Data'!$A$4:$AC$58,9,0))</f>
        <v>8122528.04</v>
      </c>
      <c r="F47" s="292">
        <f>IF(ISERR(VLOOKUP(VALUE(F$44),'SJ Data'!$A$4:$AC$58,9,0)="TRUE"),0,VLOOKUP(VALUE(F$44),'SJ Data'!$A$4:$AC$58,9,0))</f>
        <v>0</v>
      </c>
      <c r="G47" s="292">
        <f>IF(ISERR(VLOOKUP(VALUE(G$44),'SJ Data'!$A$4:$AC$58,9,0)="TRUE"),0,VLOOKUP(VALUE(G$44),'SJ Data'!$A$4:$AC$58,9,0))</f>
        <v>841966.14</v>
      </c>
      <c r="H47" s="292">
        <f>IF(ISERR(VLOOKUP(VALUE(H$44),'SJ Data'!$A$4:$AC$58,9,0)="TRUE"),0,VLOOKUP(VALUE(H$44),'SJ Data'!$A$4:$AC$58,9,0))</f>
        <v>1011615.66</v>
      </c>
      <c r="I47" s="292">
        <f>IF(ISERR(VLOOKUP(VALUE(I$44),'SJ Data'!$A$4:$AC$58,9,0)="TRUE"),0,VLOOKUP(VALUE(I$44),'SJ Data'!$A$4:$AC$58,9,0))</f>
        <v>0</v>
      </c>
      <c r="J47" s="292">
        <f>IF(ISERR(VLOOKUP(VALUE(J$44),'SJ Data'!$A$4:$AC$58,9,0)="TRUE"),0,VLOOKUP(VALUE(J$44),'SJ Data'!$A$4:$AC$58,9,0))</f>
        <v>1175046.77</v>
      </c>
      <c r="K47" s="292">
        <f>IF(ISERR(VLOOKUP(VALUE(K$44),'SJ Data'!$A$4:$AC$58,9,0)="TRUE"),0,VLOOKUP(VALUE(K$44),'SJ Data'!$A$4:$AC$58,9,0))</f>
        <v>0</v>
      </c>
      <c r="L47" s="292">
        <f>IF(ISERR(VLOOKUP(VALUE(L$44),'SJ Data'!$A$4:$AC$58,9,0)="TRUE"),0,VLOOKUP(VALUE(L$44),'SJ Data'!$A$4:$AC$58,9,0))</f>
        <v>0</v>
      </c>
      <c r="M47" s="292">
        <f>IF(ISERR(VLOOKUP(VALUE(M$44),'SJ Data'!$A$4:$AC$58,9,0)="TRUE"),0,VLOOKUP(VALUE(M$44),'SJ Data'!$A$4:$AC$58,9,0))</f>
        <v>0</v>
      </c>
      <c r="N47" s="292">
        <f>IF(ISERR(VLOOKUP(VALUE(N$44),'SJ Data'!$A$4:$AC$58,9,0)="TRUE"),0,VLOOKUP(VALUE(N$44),'SJ Data'!$A$4:$AC$58,9,0))</f>
        <v>0</v>
      </c>
      <c r="O47" s="292">
        <f>IF(ISERR(VLOOKUP(VALUE(O$44),'SJ Data'!$A$4:$AC$58,9,0)="TRUE"),0,VLOOKUP(VALUE(O$44),'SJ Data'!$A$4:$AC$58,9,0))</f>
        <v>3097922.14</v>
      </c>
      <c r="P47" s="292">
        <f>IF(ISERR(VLOOKUP(VALUE(P$44),'SJ Data'!$A$4:$AC$58,9,0)="TRUE"),0,VLOOKUP(VALUE(P$44),'SJ Data'!$A$4:$AC$58,9,0))</f>
        <v>4361568</v>
      </c>
      <c r="Q47" s="292">
        <f>IF(ISERR(VLOOKUP(VALUE(Q$44),'SJ Data'!$A$4:$AC$58,9,0)="TRUE"),0,VLOOKUP(VALUE(Q$44),'SJ Data'!$A$4:$AC$58,9,0))</f>
        <v>486072.8</v>
      </c>
      <c r="R47" s="292">
        <f>IF(ISERR(VLOOKUP(VALUE(R$44),'SJ Data'!$A$4:$AC$58,9,0)="TRUE"),0,VLOOKUP(VALUE(R$44),'SJ Data'!$A$4:$AC$58,9,0))</f>
        <v>0</v>
      </c>
      <c r="S47" s="292">
        <f>IF(ISERR(VLOOKUP(VALUE(S$44),'SJ Data'!$A$4:$AC$58,9,0)="TRUE"),0,VLOOKUP(VALUE(S$44),'SJ Data'!$A$4:$AC$58,9,0))</f>
        <v>1072821.77</v>
      </c>
      <c r="T47" s="292">
        <f>IF(ISERR(VLOOKUP(VALUE(T$44),'SJ Data'!$A$4:$AC$58,9,0)="TRUE"),0,VLOOKUP(VALUE(T$44),'SJ Data'!$A$4:$AC$58,9,0))</f>
        <v>372732.85</v>
      </c>
      <c r="U47" s="292">
        <f>IF(ISERR(VLOOKUP(VALUE(U$44),'SJ Data'!$A$4:$AC$58,9,0)="TRUE"),0,VLOOKUP(VALUE(U$44),'SJ Data'!$A$4:$AC$58,9,0))</f>
        <v>3518884.94</v>
      </c>
      <c r="V47" s="292">
        <f>IF(ISERR(VLOOKUP(VALUE(V$44),'SJ Data'!$A$4:$AC$58,9,0)="TRUE"),0,VLOOKUP(VALUE(V$44),'SJ Data'!$A$4:$AC$58,9,0))</f>
        <v>137606.6</v>
      </c>
      <c r="W47" s="292">
        <f>IF(ISERR(VLOOKUP(VALUE(W$44),'SJ Data'!$A$4:$AC$58,9,0)="TRUE"),0,VLOOKUP(VALUE(W$44),'SJ Data'!$A$4:$AC$58,9,0))</f>
        <v>0</v>
      </c>
      <c r="X47" s="292">
        <f>IF(ISERR(VLOOKUP(VALUE(X$44),'SJ Data'!$A$4:$AC$58,9,0)="TRUE"),0,VLOOKUP(VALUE(X$44),'SJ Data'!$A$4:$AC$58,9,0))</f>
        <v>209508.16</v>
      </c>
      <c r="Y47" s="292">
        <f>IF(ISERR(VLOOKUP(VALUE(Y$44),'SJ Data'!$A$4:$AC$58,9,0)="TRUE"),0,VLOOKUP(VALUE(Y$44),'SJ Data'!$A$4:$AC$58,9,0))</f>
        <v>1466557.78</v>
      </c>
      <c r="Z47" s="292">
        <f>IF(ISERR(VLOOKUP(VALUE(Z$44),'SJ Data'!$A$4:$AC$58,9,0)="TRUE"),0,VLOOKUP(VALUE(Z$44),'SJ Data'!$A$4:$AC$58,9,0))</f>
        <v>0</v>
      </c>
      <c r="AA47" s="292">
        <f>IF(ISERR(VLOOKUP(VALUE(AA$44),'SJ Data'!$A$4:$AC$58,9,0)="TRUE"),0,VLOOKUP(VALUE(AA$44),'SJ Data'!$A$4:$AC$58,9,0))</f>
        <v>134126.51</v>
      </c>
      <c r="AB47" s="292">
        <f>IF(ISERR(VLOOKUP(VALUE(AB$44),'SJ Data'!$A$4:$AC$58,9,0)="TRUE"),0,VLOOKUP(VALUE(AB$44),'SJ Data'!$A$4:$AC$58,9,0))</f>
        <v>2196460.5699999998</v>
      </c>
      <c r="AC47" s="292">
        <f>IF(ISERR(VLOOKUP(VALUE(AC$44),'SJ Data'!$A$4:$AC$58,9,0)="TRUE"),0,VLOOKUP(VALUE(AC$44),'SJ Data'!$A$4:$AC$58,9,0))</f>
        <v>664070.37</v>
      </c>
      <c r="AD47" s="292">
        <f>IF(ISERR(VLOOKUP(VALUE(AD$44),'SJ Data'!$A$4:$AC$58,9,0)="TRUE"),0,VLOOKUP(VALUE(AD$44),'SJ Data'!$A$4:$AC$58,9,0))</f>
        <v>30555.42</v>
      </c>
      <c r="AE47" s="292">
        <f>IF(ISERR(VLOOKUP(VALUE(AE$44),'SJ Data'!$A$4:$AC$58,9,0)="TRUE"),0,VLOOKUP(VALUE(AE$44),'SJ Data'!$A$4:$AC$58,9,0))</f>
        <v>949242.70000000007</v>
      </c>
      <c r="AF47" s="292">
        <f>IF(ISERR(VLOOKUP(VALUE(AF$44),'SJ Data'!$A$4:$AC$58,9,0)="TRUE"),0,VLOOKUP(VALUE(AF$44),'SJ Data'!$A$4:$AC$58,9,0))</f>
        <v>0</v>
      </c>
      <c r="AG47" s="292">
        <f>IF(ISERR(VLOOKUP(VALUE(AG$44),'SJ Data'!$A$4:$AC$58,9,0)="TRUE"),0,VLOOKUP(VALUE(AG$44),'SJ Data'!$A$4:$AC$58,9,0))</f>
        <v>2268822.9899999998</v>
      </c>
      <c r="AH47" s="292">
        <f>IF(ISERR(VLOOKUP(VALUE(AH$44),'SJ Data'!$A$4:$AC$58,9,0)="TRUE"),0,VLOOKUP(VALUE(AH$44),'SJ Data'!$A$4:$AC$58,9,0))</f>
        <v>0</v>
      </c>
      <c r="AI47" s="292">
        <f>IF(ISERR(VLOOKUP(VALUE(AI$44),'SJ Data'!$A$4:$AC$58,9,0)="TRUE"),0,VLOOKUP(VALUE(AI$44),'SJ Data'!$A$4:$AC$58,9,0))</f>
        <v>2974660.7199999997</v>
      </c>
      <c r="AJ47" s="292">
        <f>IF(ISERR(VLOOKUP(VALUE(AJ$44),'SJ Data'!$A$4:$AC$58,9,0)="TRUE"),0,VLOOKUP(VALUE(AJ$44),'SJ Data'!$A$4:$AC$58,9,0))</f>
        <v>884109.18</v>
      </c>
      <c r="AK47" s="292">
        <f>IF(ISERR(VLOOKUP(VALUE(AK$44),'SJ Data'!$A$4:$AC$58,9,0)="TRUE"),0,VLOOKUP(VALUE(AK$44),'SJ Data'!$A$4:$AC$58,9,0))</f>
        <v>465666.99</v>
      </c>
      <c r="AL47" s="292">
        <f>IF(ISERR(VLOOKUP(VALUE(AL$44),'SJ Data'!$A$4:$AC$58,9,0)="TRUE"),0,VLOOKUP(VALUE(AL$44),'SJ Data'!$A$4:$AC$58,9,0))</f>
        <v>128711.48999999999</v>
      </c>
      <c r="AM47" s="292">
        <f>IF(ISERR(VLOOKUP(VALUE(AM$44),'SJ Data'!$A$4:$AC$58,9,0)="TRUE"),0,VLOOKUP(VALUE(AM$44),'SJ Data'!$A$4:$AC$58,9,0))</f>
        <v>0</v>
      </c>
      <c r="AN47" s="292">
        <f>IF(ISERR(VLOOKUP(VALUE(AN$44),'SJ Data'!$A$4:$AC$58,9,0)="TRUE"),0,VLOOKUP(VALUE(AN$44),'SJ Data'!$A$4:$AC$58,9,0))</f>
        <v>0</v>
      </c>
      <c r="AO47" s="292">
        <f>IF(ISERR(VLOOKUP(VALUE(AO$44),'SJ Data'!$A$4:$AC$58,9,0)="TRUE"),0,VLOOKUP(VALUE(AO$44),'SJ Data'!$A$4:$AC$58,9,0))</f>
        <v>0</v>
      </c>
      <c r="AP47" s="292">
        <f>IF(ISERR(VLOOKUP(VALUE(AP$44),'SJ Data'!$A$4:$AC$58,9,0)="TRUE"),0,VLOOKUP(VALUE(AP$44),'SJ Data'!$A$4:$AC$58,9,0))</f>
        <v>70823.38</v>
      </c>
      <c r="AQ47" s="292">
        <f>IF(ISERR(VLOOKUP(VALUE(AQ$44),'SJ Data'!$A$4:$AC$58,9,0)="TRUE"),0,VLOOKUP(VALUE(AQ$44),'SJ Data'!$A$4:$AC$58,9,0))</f>
        <v>0</v>
      </c>
      <c r="AR47" s="292">
        <f>IF(ISERR(VLOOKUP(VALUE(AR$44),'SJ Data'!$A$4:$AC$58,9,0)="TRUE"),0,VLOOKUP(VALUE(AR$44),'SJ Data'!$A$4:$AC$58,9,0))</f>
        <v>7068820.2699999996</v>
      </c>
      <c r="AS47" s="292">
        <f>IF(ISERR(VLOOKUP(VALUE(AS$44),'SJ Data'!$A$4:$AC$58,9,0)="TRUE"),0,VLOOKUP(VALUE(AS$44),'SJ Data'!$A$4:$AC$58,9,0))</f>
        <v>0</v>
      </c>
      <c r="AT47" s="292">
        <f>IF(ISERR(VLOOKUP(VALUE(AT$44),'SJ Data'!$A$4:$AC$58,9,0)="TRUE"),0,VLOOKUP(VALUE(AT$44),'SJ Data'!$A$4:$AC$58,9,0))</f>
        <v>0</v>
      </c>
      <c r="AU47" s="292">
        <f>IF(ISERR(VLOOKUP(VALUE(AU$44),'SJ Data'!$A$4:$AC$58,9,0)="TRUE"),0,VLOOKUP(VALUE(AU$44),'SJ Data'!$A$4:$AC$58,9,0))</f>
        <v>0</v>
      </c>
      <c r="AV47" s="292">
        <f>IF(ISERR(VLOOKUP(VALUE(AV$44),'SJ Data'!$A$4:$AC$58,9,0)="TRUE"),0,VLOOKUP(VALUE(AV$44),'SJ Data'!$A$4:$AC$58,9,0))</f>
        <v>697991.58000000007</v>
      </c>
      <c r="AW47" s="292">
        <f>IF(ISERR(VLOOKUP(VALUE(AW$44),'SJ Data'!$A$4:$AC$58,9,0)="TRUE"),0,VLOOKUP(VALUE(AW$44),'SJ Data'!$A$4:$AC$58,9,0))</f>
        <v>0</v>
      </c>
      <c r="AX47" s="292">
        <f>IF(ISERR(VLOOKUP(VALUE(AX$44),'SJ Data'!$A$4:$AC$58,9,0)="TRUE"),0,VLOOKUP(VALUE(AX$44),'SJ Data'!$A$4:$AC$58,9,0))</f>
        <v>0</v>
      </c>
      <c r="AY47" s="292">
        <f>IF(ISERR(VLOOKUP(VALUE(AY$44),'SJ Data'!$A$4:$AC$58,9,0)="TRUE"),0,VLOOKUP(VALUE(AY$44),'SJ Data'!$A$4:$AC$58,9,0))</f>
        <v>0</v>
      </c>
      <c r="AZ47" s="292">
        <f>IF(ISERR(VLOOKUP(VALUE(AZ$44),'SJ Data'!$A$4:$AC$58,9,0)="TRUE"),0,VLOOKUP(VALUE(AZ$44),'SJ Data'!$A$4:$AC$58,9,0))</f>
        <v>1973853.99</v>
      </c>
      <c r="BA47" s="292">
        <f>IF(ISERR(VLOOKUP(VALUE(BA$44),'SJ Data'!$A$4:$AC$58,9,0)="TRUE"),0,VLOOKUP(VALUE(BA$44),'SJ Data'!$A$4:$AC$58,9,0))</f>
        <v>67915.92</v>
      </c>
      <c r="BB47" s="292">
        <f>IF(ISERR(VLOOKUP(VALUE(BB$44),'SJ Data'!$A$4:$AC$58,9,0)="TRUE"),0,VLOOKUP(VALUE(BB$44),'SJ Data'!$A$4:$AC$58,9,0))</f>
        <v>0</v>
      </c>
      <c r="BC47" s="292">
        <f>IF(ISERR(VLOOKUP(VALUE(BC$44),'SJ Data'!$A$4:$AC$58,9,0)="TRUE"),0,VLOOKUP(VALUE(BC$44),'SJ Data'!$A$4:$AC$58,9,0))</f>
        <v>433487.64</v>
      </c>
      <c r="BD47" s="292">
        <f>IF(ISERR(VLOOKUP(VALUE(BD$44),'SJ Data'!$A$4:$AC$58,9,0)="TRUE"),0,VLOOKUP(VALUE(BD$44),'SJ Data'!$A$4:$AC$58,9,0))</f>
        <v>0</v>
      </c>
      <c r="BE47" s="292">
        <f>IF(ISERR(VLOOKUP(VALUE(BE$44),'SJ Data'!$A$4:$AC$58,9,0)="TRUE"),0,VLOOKUP(VALUE(BE$44),'SJ Data'!$A$4:$AC$58,9,0))</f>
        <v>391564.62</v>
      </c>
      <c r="BF47" s="292">
        <f>IF(ISERR(VLOOKUP(VALUE(BF$44),'SJ Data'!$A$4:$AC$58,9,0)="TRUE"),0,VLOOKUP(VALUE(BF$44),'SJ Data'!$A$4:$AC$58,9,0))</f>
        <v>1465667.6</v>
      </c>
      <c r="BG47" s="292">
        <f>IF(ISERR(VLOOKUP(VALUE(BG$44),'SJ Data'!$A$4:$AC$58,9,0)="TRUE"),0,VLOOKUP(VALUE(BG$44),'SJ Data'!$A$4:$AC$58,9,0))</f>
        <v>0</v>
      </c>
      <c r="BH47" s="292">
        <f>IF(ISERR(VLOOKUP(VALUE(BH$44),'SJ Data'!$A$4:$AC$58,9,0)="TRUE"),0,VLOOKUP(VALUE(BH$44),'SJ Data'!$A$4:$AC$58,9,0))</f>
        <v>0</v>
      </c>
      <c r="BI47" s="292">
        <f>IF(ISERR(VLOOKUP(VALUE(BI$44),'SJ Data'!$A$4:$AC$58,9,0)="TRUE"),0,VLOOKUP(VALUE(BI$44),'SJ Data'!$A$4:$AC$58,9,0))</f>
        <v>48024.44</v>
      </c>
      <c r="BJ47" s="292">
        <f>IF(ISERR(VLOOKUP(VALUE(BJ$44),'SJ Data'!$A$4:$AC$58,9,0)="TRUE"),0,VLOOKUP(VALUE(BJ$44),'SJ Data'!$A$4:$AC$58,9,0))</f>
        <v>0</v>
      </c>
      <c r="BK47" s="292">
        <f>IF(ISERR(VLOOKUP(VALUE(BK$44),'SJ Data'!$A$4:$AC$58,9,0)="TRUE"),0,VLOOKUP(VALUE(BK$44),'SJ Data'!$A$4:$AC$58,9,0))</f>
        <v>0</v>
      </c>
      <c r="BL47" s="292">
        <f>IF(ISERR(VLOOKUP(VALUE(BL$44),'SJ Data'!$A$4:$AC$58,9,0)="TRUE"),0,VLOOKUP(VALUE(BL$44),'SJ Data'!$A$4:$AC$58,9,0))</f>
        <v>0</v>
      </c>
      <c r="BM47" s="292">
        <f>IF(ISERR(VLOOKUP(VALUE(BM$44),'SJ Data'!$A$4:$AC$58,9,0)="TRUE"),0,VLOOKUP(VALUE(BM$44),'SJ Data'!$A$4:$AC$58,9,0))</f>
        <v>0</v>
      </c>
      <c r="BN47" s="292">
        <f>IF(ISERR(VLOOKUP(VALUE(BN$44),'SJ Data'!$A$4:$AC$58,9,0)="TRUE"),0,VLOOKUP(VALUE(BN$44),'SJ Data'!$A$4:$AC$58,9,0))</f>
        <v>1371019.9100000001</v>
      </c>
      <c r="BO47" s="292">
        <f>IF(ISERR(VLOOKUP(VALUE(BO$44),'SJ Data'!$A$4:$AC$58,9,0)="TRUE"),0,VLOOKUP(VALUE(BO$44),'SJ Data'!$A$4:$AC$58,9,0))</f>
        <v>0</v>
      </c>
      <c r="BP47" s="292">
        <f>IF(ISERR(VLOOKUP(VALUE(BP$44),'SJ Data'!$A$4:$AC$58,9,0)="TRUE"),0,VLOOKUP(VALUE(BP$44),'SJ Data'!$A$4:$AC$58,9,0))</f>
        <v>0</v>
      </c>
      <c r="BQ47" s="292">
        <f>IF(ISERR(VLOOKUP(VALUE(BQ$44),'SJ Data'!$A$4:$AC$58,9,0)="TRUE"),0,VLOOKUP(VALUE(BQ$44),'SJ Data'!$A$4:$AC$58,9,0))</f>
        <v>0</v>
      </c>
      <c r="BR47" s="292">
        <f>IF(ISERR(VLOOKUP(VALUE(BR$44),'SJ Data'!$A$4:$AC$58,9,0)="TRUE"),0,VLOOKUP(VALUE(BR$44),'SJ Data'!$A$4:$AC$58,9,0))</f>
        <v>13.159999996190891</v>
      </c>
      <c r="BS47" s="292">
        <f>IF(ISERR(VLOOKUP(VALUE(BS$44),'SJ Data'!$A$4:$AC$58,9,0)="TRUE"),0,VLOOKUP(VALUE(BS$44),'SJ Data'!$A$4:$AC$58,9,0))</f>
        <v>0</v>
      </c>
      <c r="BT47" s="292">
        <f>IF(ISERR(VLOOKUP(VALUE(BT$44),'SJ Data'!$A$4:$AC$58,9,0)="TRUE"),0,VLOOKUP(VALUE(BT$44),'SJ Data'!$A$4:$AC$58,9,0))</f>
        <v>71137.430000000008</v>
      </c>
      <c r="BU47" s="292">
        <f>IF(ISERR(VLOOKUP(VALUE(BU$44),'SJ Data'!$A$4:$AC$58,9,0)="TRUE"),0,VLOOKUP(VALUE(BU$44),'SJ Data'!$A$4:$AC$58,9,0))</f>
        <v>0</v>
      </c>
      <c r="BV47" s="292">
        <f>IF(ISERR(VLOOKUP(VALUE(BV$44),'SJ Data'!$A$4:$AC$58,9,0)="TRUE"),0,VLOOKUP(VALUE(BV$44),'SJ Data'!$A$4:$AC$58,9,0))</f>
        <v>0</v>
      </c>
      <c r="BW47" s="292">
        <f>IF(ISERR(VLOOKUP(VALUE(BW$44),'SJ Data'!$A$4:$AC$58,9,0)="TRUE"),0,VLOOKUP(VALUE(BW$44),'SJ Data'!$A$4:$AC$58,9,0))</f>
        <v>0</v>
      </c>
      <c r="BX47" s="292">
        <f>IF(ISERR(VLOOKUP(VALUE(BX$44),'SJ Data'!$A$4:$AC$58,9,0)="TRUE"),0,VLOOKUP(VALUE(BX$44),'SJ Data'!$A$4:$AC$58,9,0))</f>
        <v>0</v>
      </c>
      <c r="BY47" s="292">
        <f>IF(ISERR(VLOOKUP(VALUE(BY$44),'SJ Data'!$A$4:$AC$58,9,0)="TRUE"),0,VLOOKUP(VALUE(BY$44),'SJ Data'!$A$4:$AC$58,9,0))</f>
        <v>928071.16999999993</v>
      </c>
      <c r="BZ47" s="292">
        <f>IF(ISERR(VLOOKUP(VALUE(BZ$44),'SJ Data'!$A$4:$AC$58,9,0)="TRUE"),0,VLOOKUP(VALUE(BZ$44),'SJ Data'!$A$4:$AC$58,9,0))</f>
        <v>0</v>
      </c>
      <c r="CA47" s="292">
        <f>IF(ISERR(VLOOKUP(VALUE(CA$44),'SJ Data'!$A$4:$AC$58,9,0)="TRUE"),0,VLOOKUP(VALUE(CA$44),'SJ Data'!$A$4:$AC$58,9,0))</f>
        <v>162869.93</v>
      </c>
      <c r="CB47" s="292">
        <f>IF(ISERR(VLOOKUP(VALUE(CB$44),'SJ Data'!$A$4:$AC$58,9,0)="TRUE"),0,VLOOKUP(VALUE(CB$44),'SJ Data'!$A$4:$AC$58,9,0))</f>
        <v>24742.3</v>
      </c>
      <c r="CC47" s="292">
        <f>IF(ISERR(VLOOKUP(VALUE(CC$44),'SJ Data'!$A$4:$AC$58,9,0)="TRUE"),0,VLOOKUP(VALUE(CC$44),'SJ Data'!$A$4:$AC$58,9,0))+'SJ Data'!I56</f>
        <v>-129125.67000000001</v>
      </c>
      <c r="CD47" s="195"/>
      <c r="CE47" s="195">
        <f>SUM(C47:CC47)</f>
        <v>55147027.710000008</v>
      </c>
    </row>
    <row r="48" spans="1:83" ht="12.6" customHeight="1" x14ac:dyDescent="0.25">
      <c r="A48" s="175" t="s">
        <v>205</v>
      </c>
      <c r="B48" s="183"/>
      <c r="C48" s="244">
        <f>ROUND(((B48/CE61)*C61),0)</f>
        <v>0</v>
      </c>
      <c r="D48" s="244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55147027.710000001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292">
        <f>'SJ Data'!O64-3</f>
        <v>25742696.100000001</v>
      </c>
      <c r="C51" s="292">
        <f>IF(ISERR(VLOOKUP(VALUE(C$44),'SJ Data'!$A$4:$AC$58,15,0)="TRUE"),0,VLOOKUP(VALUE(C$44),'SJ Data'!$A$4:$AC$58,15,0))</f>
        <v>416549.85000000003</v>
      </c>
      <c r="D51" s="292">
        <f>IF(ISERR(VLOOKUP(VALUE(D$44),'SJ Data'!$A$4:$AC$58,15,0)="TRUE"),0,VLOOKUP(VALUE(D$44),'SJ Data'!$A$4:$AC$58,15,0))</f>
        <v>0</v>
      </c>
      <c r="E51" s="292">
        <f>IF(ISERR(VLOOKUP(VALUE(E$44),'SJ Data'!$A$4:$AC$58,15,0)="TRUE"),0,VLOOKUP(VALUE(E$44),'SJ Data'!$A$4:$AC$58,15,0))</f>
        <v>1159205.31</v>
      </c>
      <c r="F51" s="292">
        <f>IF(ISERR(VLOOKUP(VALUE(F$44),'SJ Data'!$A$4:$AC$58,15,0)="TRUE"),0,VLOOKUP(VALUE(F$44),'SJ Data'!$A$4:$AC$58,15,0))</f>
        <v>0</v>
      </c>
      <c r="G51" s="292">
        <f>IF(ISERR(VLOOKUP(VALUE(G$44),'SJ Data'!$A$4:$AC$58,15,0)="TRUE"),0,VLOOKUP(VALUE(G$44),'SJ Data'!$A$4:$AC$58,15,0))</f>
        <v>66498.179999999993</v>
      </c>
      <c r="H51" s="292">
        <f>IF(ISERR(VLOOKUP(VALUE(H$44),'SJ Data'!$A$4:$AC$58,15,0)="TRUE"),0,VLOOKUP(VALUE(H$44),'SJ Data'!$A$4:$AC$58,15,0))</f>
        <v>155966.28</v>
      </c>
      <c r="I51" s="292">
        <f>IF(ISERR(VLOOKUP(VALUE(I$44),'SJ Data'!$A$4:$AC$58,15,0)="TRUE"),0,VLOOKUP(VALUE(I$44),'SJ Data'!$A$4:$AC$58,15,0))</f>
        <v>0</v>
      </c>
      <c r="J51" s="292">
        <f>IF(ISERR(VLOOKUP(VALUE(J$44),'SJ Data'!$A$4:$AC$58,15,0)="TRUE"),0,VLOOKUP(VALUE(J$44),'SJ Data'!$A$4:$AC$58,15,0))</f>
        <v>181705.84</v>
      </c>
      <c r="K51" s="292">
        <f>IF(ISERR(VLOOKUP(VALUE(K$44),'SJ Data'!$A$4:$AC$58,15,0)="TRUE"),0,VLOOKUP(VALUE(K$44),'SJ Data'!$A$4:$AC$58,15,0))</f>
        <v>0</v>
      </c>
      <c r="L51" s="292">
        <f>IF(ISERR(VLOOKUP(VALUE(L$44),'SJ Data'!$A$4:$AC$58,15,0)="TRUE"),0,VLOOKUP(VALUE(L$44),'SJ Data'!$A$4:$AC$58,15,0))</f>
        <v>0</v>
      </c>
      <c r="M51" s="292">
        <f>IF(ISERR(VLOOKUP(VALUE(M$44),'SJ Data'!$A$4:$AC$58,15,0)="TRUE"),0,VLOOKUP(VALUE(M$44),'SJ Data'!$A$4:$AC$58,15,0))</f>
        <v>0</v>
      </c>
      <c r="N51" s="292">
        <f>IF(ISERR(VLOOKUP(VALUE(N$44),'SJ Data'!$A$4:$AC$58,15,0)="TRUE"),0,VLOOKUP(VALUE(N$44),'SJ Data'!$A$4:$AC$58,15,0))</f>
        <v>0</v>
      </c>
      <c r="O51" s="292">
        <f>IF(ISERR(VLOOKUP(VALUE(O$44),'SJ Data'!$A$4:$AC$58,15,0)="TRUE"),0,VLOOKUP(VALUE(O$44),'SJ Data'!$A$4:$AC$58,15,0))</f>
        <v>466960.95</v>
      </c>
      <c r="P51" s="292">
        <f>IF(ISERR(VLOOKUP(VALUE(P$44),'SJ Data'!$A$4:$AC$58,15,0)="TRUE"),0,VLOOKUP(VALUE(P$44),'SJ Data'!$A$4:$AC$58,15,0))</f>
        <v>7285355.0800000001</v>
      </c>
      <c r="Q51" s="292">
        <f>IF(ISERR(VLOOKUP(VALUE(Q$44),'SJ Data'!$A$4:$AC$58,15,0)="TRUE"),0,VLOOKUP(VALUE(Q$44),'SJ Data'!$A$4:$AC$58,15,0))</f>
        <v>31322.959999999999</v>
      </c>
      <c r="R51" s="292">
        <f>IF(ISERR(VLOOKUP(VALUE(R$44),'SJ Data'!$A$4:$AC$58,15,0)="TRUE"),0,VLOOKUP(VALUE(R$44),'SJ Data'!$A$4:$AC$58,15,0))</f>
        <v>0</v>
      </c>
      <c r="S51" s="292">
        <f>IF(ISERR(VLOOKUP(VALUE(S$44),'SJ Data'!$A$4:$AC$58,15,0)="TRUE"),0,VLOOKUP(VALUE(S$44),'SJ Data'!$A$4:$AC$58,15,0))</f>
        <v>92679.510000000009</v>
      </c>
      <c r="T51" s="292">
        <f>IF(ISERR(VLOOKUP(VALUE(T$44),'SJ Data'!$A$4:$AC$58,15,0)="TRUE"),0,VLOOKUP(VALUE(T$44),'SJ Data'!$A$4:$AC$58,15,0))</f>
        <v>16083.83</v>
      </c>
      <c r="U51" s="292">
        <f>IF(ISERR(VLOOKUP(VALUE(U$44),'SJ Data'!$A$4:$AC$58,15,0)="TRUE"),0,VLOOKUP(VALUE(U$44),'SJ Data'!$A$4:$AC$58,15,0))</f>
        <v>315306.96000000002</v>
      </c>
      <c r="V51" s="292">
        <f>IF(ISERR(VLOOKUP(VALUE(V$44),'SJ Data'!$A$4:$AC$58,15,0)="TRUE"),0,VLOOKUP(VALUE(V$44),'SJ Data'!$A$4:$AC$58,15,0))</f>
        <v>159591.91999999998</v>
      </c>
      <c r="W51" s="292">
        <f>IF(ISERR(VLOOKUP(VALUE(W$44),'SJ Data'!$A$4:$AC$58,15,0)="TRUE"),0,VLOOKUP(VALUE(W$44),'SJ Data'!$A$4:$AC$58,15,0))</f>
        <v>0</v>
      </c>
      <c r="X51" s="292">
        <f>IF(ISERR(VLOOKUP(VALUE(X$44),'SJ Data'!$A$4:$AC$58,15,0)="TRUE"),0,VLOOKUP(VALUE(X$44),'SJ Data'!$A$4:$AC$58,15,0))</f>
        <v>4648.8599999999997</v>
      </c>
      <c r="Y51" s="292">
        <f>IF(ISERR(VLOOKUP(VALUE(Y$44),'SJ Data'!$A$4:$AC$58,15,0)="TRUE"),0,VLOOKUP(VALUE(Y$44),'SJ Data'!$A$4:$AC$58,15,0))</f>
        <v>346960.97999999992</v>
      </c>
      <c r="Z51" s="292">
        <f>IF(ISERR(VLOOKUP(VALUE(Z$44),'SJ Data'!$A$4:$AC$58,15,0)="TRUE"),0,VLOOKUP(VALUE(Z$44),'SJ Data'!$A$4:$AC$58,15,0))</f>
        <v>0</v>
      </c>
      <c r="AA51" s="292">
        <f>IF(ISERR(VLOOKUP(VALUE(AA$44),'SJ Data'!$A$4:$AC$58,15,0)="TRUE"),0,VLOOKUP(VALUE(AA$44),'SJ Data'!$A$4:$AC$58,15,0))</f>
        <v>3950.91</v>
      </c>
      <c r="AB51" s="292">
        <f>IF(ISERR(VLOOKUP(VALUE(AB$44),'SJ Data'!$A$4:$AC$58,15,0)="TRUE"),0,VLOOKUP(VALUE(AB$44),'SJ Data'!$A$4:$AC$58,15,0))</f>
        <v>551299.18000000017</v>
      </c>
      <c r="AC51" s="292">
        <f>IF(ISERR(VLOOKUP(VALUE(AC$44),'SJ Data'!$A$4:$AC$58,15,0)="TRUE"),0,VLOOKUP(VALUE(AC$44),'SJ Data'!$A$4:$AC$58,15,0))</f>
        <v>140061.01999999999</v>
      </c>
      <c r="AD51" s="292">
        <f>IF(ISERR(VLOOKUP(VALUE(AD$44),'SJ Data'!$A$4:$AC$58,15,0)="TRUE"),0,VLOOKUP(VALUE(AD$44),'SJ Data'!$A$4:$AC$58,15,0))</f>
        <v>328.93</v>
      </c>
      <c r="AE51" s="292">
        <f>IF(ISERR(VLOOKUP(VALUE(AE$44),'SJ Data'!$A$4:$AC$58,15,0)="TRUE"),0,VLOOKUP(VALUE(AE$44),'SJ Data'!$A$4:$AC$58,15,0))</f>
        <v>17672.96</v>
      </c>
      <c r="AF51" s="292">
        <f>IF(ISERR(VLOOKUP(VALUE(AF$44),'SJ Data'!$A$4:$AC$58,15,0)="TRUE"),0,VLOOKUP(VALUE(AF$44),'SJ Data'!$A$4:$AC$58,15,0))</f>
        <v>0</v>
      </c>
      <c r="AG51" s="292">
        <f>IF(ISERR(VLOOKUP(VALUE(AG$44),'SJ Data'!$A$4:$AC$58,15,0)="TRUE"),0,VLOOKUP(VALUE(AG$44),'SJ Data'!$A$4:$AC$58,15,0))</f>
        <v>405605.26</v>
      </c>
      <c r="AH51" s="292">
        <f>IF(ISERR(VLOOKUP(VALUE(AH$44),'SJ Data'!$A$4:$AC$58,15,0)="TRUE"),0,VLOOKUP(VALUE(AH$44),'SJ Data'!$A$4:$AC$58,15,0))</f>
        <v>0</v>
      </c>
      <c r="AI51" s="292">
        <f>IF(ISERR(VLOOKUP(VALUE(AI$44),'SJ Data'!$A$4:$AC$58,15,0)="TRUE"),0,VLOOKUP(VALUE(AI$44),'SJ Data'!$A$4:$AC$58,15,0))</f>
        <v>25317.87</v>
      </c>
      <c r="AJ51" s="292">
        <f>IF(ISERR(VLOOKUP(VALUE(AJ$44),'SJ Data'!$A$4:$AC$58,15,0)="TRUE"),0,VLOOKUP(VALUE(AJ$44),'SJ Data'!$A$4:$AC$58,15,0))</f>
        <v>154727.11000000002</v>
      </c>
      <c r="AK51" s="292">
        <f>IF(ISERR(VLOOKUP(VALUE(AK$44),'SJ Data'!$A$4:$AC$58,15,0)="TRUE"),0,VLOOKUP(VALUE(AK$44),'SJ Data'!$A$4:$AC$58,15,0))</f>
        <v>4944.8100000000004</v>
      </c>
      <c r="AL51" s="292">
        <f>IF(ISERR(VLOOKUP(VALUE(AL$44),'SJ Data'!$A$4:$AC$58,15,0)="TRUE"),0,VLOOKUP(VALUE(AL$44),'SJ Data'!$A$4:$AC$58,15,0))</f>
        <v>0</v>
      </c>
      <c r="AM51" s="292">
        <f>IF(ISERR(VLOOKUP(VALUE(AM$44),'SJ Data'!$A$4:$AC$58,15,0)="TRUE"),0,VLOOKUP(VALUE(AM$44),'SJ Data'!$A$4:$AC$58,15,0))</f>
        <v>0</v>
      </c>
      <c r="AN51" s="292">
        <f>IF(ISERR(VLOOKUP(VALUE(AN$44),'SJ Data'!$A$4:$AC$58,15,0)="TRUE"),0,VLOOKUP(VALUE(AN$44),'SJ Data'!$A$4:$AC$58,15,0))</f>
        <v>0</v>
      </c>
      <c r="AO51" s="292">
        <f>IF(ISERR(VLOOKUP(VALUE(AO$44),'SJ Data'!$A$4:$AC$58,15,0)="TRUE"),0,VLOOKUP(VALUE(AO$44),'SJ Data'!$A$4:$AC$58,15,0))</f>
        <v>0</v>
      </c>
      <c r="AP51" s="292">
        <f>IF(ISERR(VLOOKUP(VALUE(AP$44),'SJ Data'!$A$4:$AC$58,15,0)="TRUE"),0,VLOOKUP(VALUE(AP$44),'SJ Data'!$A$4:$AC$58,15,0))</f>
        <v>195.73</v>
      </c>
      <c r="AQ51" s="292">
        <f>IF(ISERR(VLOOKUP(VALUE(AQ$44),'SJ Data'!$A$4:$AC$58,15,0)="TRUE"),0,VLOOKUP(VALUE(AQ$44),'SJ Data'!$A$4:$AC$58,15,0))</f>
        <v>0</v>
      </c>
      <c r="AR51" s="292">
        <f>IF(ISERR(VLOOKUP(VALUE(AR$44),'SJ Data'!$A$4:$AC$58,15,0)="TRUE"),0,VLOOKUP(VALUE(AR$44),'SJ Data'!$A$4:$AC$58,15,0))</f>
        <v>257012.12000000002</v>
      </c>
      <c r="AS51" s="292">
        <f>IF(ISERR(VLOOKUP(VALUE(AS$44),'SJ Data'!$A$4:$AC$58,15,0)="TRUE"),0,VLOOKUP(VALUE(AS$44),'SJ Data'!$A$4:$AC$58,15,0))</f>
        <v>0</v>
      </c>
      <c r="AT51" s="292">
        <f>IF(ISERR(VLOOKUP(VALUE(AT$44),'SJ Data'!$A$4:$AC$58,15,0)="TRUE"),0,VLOOKUP(VALUE(AT$44),'SJ Data'!$A$4:$AC$58,15,0))</f>
        <v>0</v>
      </c>
      <c r="AU51" s="292">
        <f>IF(ISERR(VLOOKUP(VALUE(AU$44),'SJ Data'!$A$4:$AC$58,15,0)="TRUE"),0,VLOOKUP(VALUE(AU$44),'SJ Data'!$A$4:$AC$58,15,0))</f>
        <v>0</v>
      </c>
      <c r="AV51" s="292">
        <f>IF(ISERR(VLOOKUP(VALUE(AV$44),'SJ Data'!$A$4:$AC$58,15,0)="TRUE"),0,VLOOKUP(VALUE(AV$44),'SJ Data'!$A$4:$AC$58,15,0))</f>
        <v>36185.279999999999</v>
      </c>
      <c r="AW51" s="292">
        <f>IF(ISERR(VLOOKUP(VALUE(AW$44),'SJ Data'!$A$4:$AC$58,15,0)="TRUE"),0,VLOOKUP(VALUE(AW$44),'SJ Data'!$A$4:$AC$58,15,0))</f>
        <v>0</v>
      </c>
      <c r="AX51" s="292">
        <f>IF(ISERR(VLOOKUP(VALUE(AX$44),'SJ Data'!$A$4:$AC$58,15,0)="TRUE"),0,VLOOKUP(VALUE(AX$44),'SJ Data'!$A$4:$AC$58,15,0))</f>
        <v>0</v>
      </c>
      <c r="AY51" s="292">
        <f>IF(ISERR(VLOOKUP(VALUE(AY$44),'SJ Data'!$A$4:$AC$58,15,0)="TRUE"),0,VLOOKUP(VALUE(AY$44),'SJ Data'!$A$4:$AC$58,15,0))</f>
        <v>0</v>
      </c>
      <c r="AZ51" s="292">
        <f>IF(ISERR(VLOOKUP(VALUE(AZ$44),'SJ Data'!$A$4:$AC$58,15,0)="TRUE"),0,VLOOKUP(VALUE(AZ$44),'SJ Data'!$A$4:$AC$58,15,0))</f>
        <v>261102.84999999998</v>
      </c>
      <c r="BA51" s="292">
        <f>IF(ISERR(VLOOKUP(VALUE(BA$44),'SJ Data'!$A$4:$AC$58,15,0)="TRUE"),0,VLOOKUP(VALUE(BA$44),'SJ Data'!$A$4:$AC$58,15,0))</f>
        <v>0</v>
      </c>
      <c r="BB51" s="292">
        <f>IF(ISERR(VLOOKUP(VALUE(BB$44),'SJ Data'!$A$4:$AC$58,15,0)="TRUE"),0,VLOOKUP(VALUE(BB$44),'SJ Data'!$A$4:$AC$58,15,0))</f>
        <v>0</v>
      </c>
      <c r="BC51" s="292">
        <f>IF(ISERR(VLOOKUP(VALUE(BC$44),'SJ Data'!$A$4:$AC$58,15,0)="TRUE"),0,VLOOKUP(VALUE(BC$44),'SJ Data'!$A$4:$AC$58,15,0))</f>
        <v>0</v>
      </c>
      <c r="BD51" s="292">
        <f>IF(ISERR(VLOOKUP(VALUE(BD$44),'SJ Data'!$A$4:$AC$58,15,0)="TRUE"),0,VLOOKUP(VALUE(BD$44),'SJ Data'!$A$4:$AC$58,15,0))</f>
        <v>0</v>
      </c>
      <c r="BE51" s="292">
        <f>IF(ISERR(VLOOKUP(VALUE(BE$44),'SJ Data'!$A$4:$AC$58,15,0)="TRUE"),0,VLOOKUP(VALUE(BE$44),'SJ Data'!$A$4:$AC$58,15,0))</f>
        <v>1021670.98</v>
      </c>
      <c r="BF51" s="292">
        <f>IF(ISERR(VLOOKUP(VALUE(BF$44),'SJ Data'!$A$4:$AC$58,15,0)="TRUE"),0,VLOOKUP(VALUE(BF$44),'SJ Data'!$A$4:$AC$58,15,0))</f>
        <v>35905.56</v>
      </c>
      <c r="BG51" s="292">
        <f>IF(ISERR(VLOOKUP(VALUE(BG$44),'SJ Data'!$A$4:$AC$58,15,0)="TRUE"),0,VLOOKUP(VALUE(BG$44),'SJ Data'!$A$4:$AC$58,15,0))</f>
        <v>0</v>
      </c>
      <c r="BH51" s="292">
        <f>IF(ISERR(VLOOKUP(VALUE(BH$44),'SJ Data'!$A$4:$AC$58,15,0)="TRUE"),0,VLOOKUP(VALUE(BH$44),'SJ Data'!$A$4:$AC$58,15,0))</f>
        <v>0</v>
      </c>
      <c r="BI51" s="292">
        <f>IF(ISERR(VLOOKUP(VALUE(BI$44),'SJ Data'!$A$4:$AC$58,15,0)="TRUE"),0,VLOOKUP(VALUE(BI$44),'SJ Data'!$A$4:$AC$58,15,0))</f>
        <v>71.650000000000006</v>
      </c>
      <c r="BJ51" s="292">
        <f>IF(ISERR(VLOOKUP(VALUE(BJ$44),'SJ Data'!$A$4:$AC$58,15,0)="TRUE"),0,VLOOKUP(VALUE(BJ$44),'SJ Data'!$A$4:$AC$58,15,0))</f>
        <v>0</v>
      </c>
      <c r="BK51" s="292">
        <f>IF(ISERR(VLOOKUP(VALUE(BK$44),'SJ Data'!$A$4:$AC$58,15,0)="TRUE"),0,VLOOKUP(VALUE(BK$44),'SJ Data'!$A$4:$AC$58,15,0))</f>
        <v>0</v>
      </c>
      <c r="BL51" s="292">
        <f>IF(ISERR(VLOOKUP(VALUE(BL$44),'SJ Data'!$A$4:$AC$58,15,0)="TRUE"),0,VLOOKUP(VALUE(BL$44),'SJ Data'!$A$4:$AC$58,15,0))</f>
        <v>241.48</v>
      </c>
      <c r="BM51" s="292">
        <f>IF(ISERR(VLOOKUP(VALUE(BM$44),'SJ Data'!$A$4:$AC$58,15,0)="TRUE"),0,VLOOKUP(VALUE(BM$44),'SJ Data'!$A$4:$AC$58,15,0))</f>
        <v>0</v>
      </c>
      <c r="BN51" s="292">
        <f>IF(ISERR(VLOOKUP(VALUE(BN$44),'SJ Data'!$A$4:$AC$58,15,0)="TRUE"),0,VLOOKUP(VALUE(BN$44),'SJ Data'!$A$4:$AC$58,15,0))</f>
        <v>22252.84</v>
      </c>
      <c r="BO51" s="292">
        <f>IF(ISERR(VLOOKUP(VALUE(BO$44),'SJ Data'!$A$4:$AC$58,15,0)="TRUE"),0,VLOOKUP(VALUE(BO$44),'SJ Data'!$A$4:$AC$58,15,0))</f>
        <v>0</v>
      </c>
      <c r="BP51" s="292">
        <f>IF(ISERR(VLOOKUP(VALUE(BP$44),'SJ Data'!$A$4:$AC$58,15,0)="TRUE"),0,VLOOKUP(VALUE(BP$44),'SJ Data'!$A$4:$AC$58,15,0))</f>
        <v>0</v>
      </c>
      <c r="BQ51" s="292">
        <f>IF(ISERR(VLOOKUP(VALUE(BQ$44),'SJ Data'!$A$4:$AC$58,15,0)="TRUE"),0,VLOOKUP(VALUE(BQ$44),'SJ Data'!$A$4:$AC$58,15,0))</f>
        <v>0</v>
      </c>
      <c r="BR51" s="292">
        <f>IF(ISERR(VLOOKUP(VALUE(BR$44),'SJ Data'!$A$4:$AC$58,15,0)="TRUE"),0,VLOOKUP(VALUE(BR$44),'SJ Data'!$A$4:$AC$58,15,0))</f>
        <v>0</v>
      </c>
      <c r="BS51" s="292">
        <f>IF(ISERR(VLOOKUP(VALUE(BS$44),'SJ Data'!$A$4:$AC$58,15,0)="TRUE"),0,VLOOKUP(VALUE(BS$44),'SJ Data'!$A$4:$AC$58,15,0))</f>
        <v>0</v>
      </c>
      <c r="BT51" s="292">
        <f>IF(ISERR(VLOOKUP(VALUE(BT$44),'SJ Data'!$A$4:$AC$58,15,0)="TRUE"),0,VLOOKUP(VALUE(BT$44),'SJ Data'!$A$4:$AC$58,15,0))</f>
        <v>0</v>
      </c>
      <c r="BU51" s="292">
        <f>IF(ISERR(VLOOKUP(VALUE(BU$44),'SJ Data'!$A$4:$AC$58,15,0)="TRUE"),0,VLOOKUP(VALUE(BU$44),'SJ Data'!$A$4:$AC$58,15,0))</f>
        <v>0</v>
      </c>
      <c r="BV51" s="292">
        <f>IF(ISERR(VLOOKUP(VALUE(BV$44),'SJ Data'!$A$4:$AC$58,15,0)="TRUE"),0,VLOOKUP(VALUE(BV$44),'SJ Data'!$A$4:$AC$58,15,0))</f>
        <v>0</v>
      </c>
      <c r="BW51" s="292">
        <f>IF(ISERR(VLOOKUP(VALUE(BW$44),'SJ Data'!$A$4:$AC$58,15,0)="TRUE"),0,VLOOKUP(VALUE(BW$44),'SJ Data'!$A$4:$AC$58,15,0))</f>
        <v>0</v>
      </c>
      <c r="BX51" s="292">
        <f>IF(ISERR(VLOOKUP(VALUE(BX$44),'SJ Data'!$A$4:$AC$58,15,0)="TRUE"),0,VLOOKUP(VALUE(BX$44),'SJ Data'!$A$4:$AC$58,15,0))</f>
        <v>0</v>
      </c>
      <c r="BY51" s="292">
        <f>IF(ISERR(VLOOKUP(VALUE(BY$44),'SJ Data'!$A$4:$AC$58,15,0)="TRUE"),0,VLOOKUP(VALUE(BY$44),'SJ Data'!$A$4:$AC$58,15,0))</f>
        <v>123446.44</v>
      </c>
      <c r="BZ51" s="292">
        <f>IF(ISERR(VLOOKUP(VALUE(BZ$44),'SJ Data'!$A$4:$AC$58,15,0)="TRUE"),0,VLOOKUP(VALUE(BZ$44),'SJ Data'!$A$4:$AC$58,15,0))</f>
        <v>0</v>
      </c>
      <c r="CA51" s="292">
        <f>IF(ISERR(VLOOKUP(VALUE(CA$44),'SJ Data'!$A$4:$AC$58,15,0)="TRUE"),0,VLOOKUP(VALUE(CA$44),'SJ Data'!$A$4:$AC$58,15,0))</f>
        <v>0</v>
      </c>
      <c r="CB51" s="292">
        <f>IF(ISERR(VLOOKUP(VALUE(CB$44),'SJ Data'!$A$4:$AC$58,15,0)="TRUE"),0,VLOOKUP(VALUE(CB$44),'SJ Data'!$A$4:$AC$58,15,0))</f>
        <v>0</v>
      </c>
      <c r="CC51" s="292">
        <f>IF(ISERR(VLOOKUP(VALUE(CC$44),'SJ Data'!$A$4:$AC$58,15,0)="TRUE"),0,VLOOKUP(VALUE(CC$44),'SJ Data'!$A$4:$AC$58,15,0))</f>
        <v>0</v>
      </c>
      <c r="CD51" s="195"/>
      <c r="CE51" s="195">
        <f>SUM(C51:CD51)</f>
        <v>13760829.49</v>
      </c>
    </row>
    <row r="52" spans="1:84" ht="12.6" customHeight="1" x14ac:dyDescent="0.25">
      <c r="A52" s="171" t="s">
        <v>208</v>
      </c>
      <c r="B52" s="292">
        <f>'SJ Data'!O56</f>
        <v>11981869.610000001</v>
      </c>
      <c r="C52" s="195">
        <f>ROUND((B52/(CE76+CF76)*C76),0)</f>
        <v>280706</v>
      </c>
      <c r="D52" s="195">
        <f>ROUND((B52/(CE76+CF76)*D76),0)</f>
        <v>0</v>
      </c>
      <c r="E52" s="195">
        <f>ROUND((B52/(CE76+CF76)*E76),0)</f>
        <v>1266595</v>
      </c>
      <c r="F52" s="195">
        <f>ROUND((B52/(CE76+CF76)*F76),0)</f>
        <v>0</v>
      </c>
      <c r="G52" s="195">
        <f>ROUND((B52/(CE76+CF76)*G76),0)</f>
        <v>273617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33992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237469</v>
      </c>
      <c r="P52" s="195">
        <f>ROUND((B52/(CE76+CF76)*P76),0)</f>
        <v>1186360</v>
      </c>
      <c r="Q52" s="195">
        <f>ROUND((B52/(CE76+CF76)*Q76),0)</f>
        <v>31929</v>
      </c>
      <c r="R52" s="195">
        <f>ROUND((B52/(CE76+CF76)*R76),0)</f>
        <v>0</v>
      </c>
      <c r="S52" s="195">
        <f>ROUND((B52/(CE76+CF76)*S76),0)</f>
        <v>235070</v>
      </c>
      <c r="T52" s="195">
        <f>ROUND((B52/(CE76+CF76)*T76),0)</f>
        <v>0</v>
      </c>
      <c r="U52" s="195">
        <f>ROUND((B52/(CE76+CF76)*U76),0)</f>
        <v>253845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626781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258643</v>
      </c>
      <c r="AC52" s="195">
        <f>ROUND((B52/(CE76+CF76)*AC76),0)</f>
        <v>13222</v>
      </c>
      <c r="AD52" s="195">
        <f>ROUND((B52/(CE76+CF76)*AD76),0)</f>
        <v>542125</v>
      </c>
      <c r="AE52" s="195">
        <f>ROUND((B52/(CE76+CF76)*AE76),0)</f>
        <v>175133</v>
      </c>
      <c r="AF52" s="195">
        <f>ROUND((B52/(CE76+CF76)*AF76),0)</f>
        <v>0</v>
      </c>
      <c r="AG52" s="195">
        <f>ROUND((B52/(CE76+CF76)*AG76),0)</f>
        <v>272013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283294</v>
      </c>
      <c r="AK52" s="195">
        <f>ROUND((B52/(CE76+CF76)*AK76),0)</f>
        <v>78375</v>
      </c>
      <c r="AL52" s="195">
        <f>ROUND((B52/(CE76+CF76)*AL76),0)</f>
        <v>56217</v>
      </c>
      <c r="AM52" s="195">
        <f>ROUND((B52/(CE76+CF76)*AM76),0)</f>
        <v>0</v>
      </c>
      <c r="AN52" s="195">
        <f>ROUND((B52/(CE76+CF76)*AN76),0)</f>
        <v>44612</v>
      </c>
      <c r="AO52" s="195">
        <f>ROUND((B52/(CE76+CF76)*AO76),0)</f>
        <v>0</v>
      </c>
      <c r="AP52" s="195">
        <f>ROUND((B52/(CE76+CF76)*AP76),0)</f>
        <v>23034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18788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256594</v>
      </c>
      <c r="BA52" s="195">
        <f>ROUND((B52/(CE76+CF76)*BA76),0)</f>
        <v>57201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2351816</v>
      </c>
      <c r="BF52" s="195">
        <f>ROUND((B52/(CE76+CF76)*BF76),0)</f>
        <v>27846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17966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2712905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225109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127434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13181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11981872</v>
      </c>
    </row>
    <row r="53" spans="1:84" ht="12.6" customHeight="1" x14ac:dyDescent="0.25">
      <c r="A53" s="175" t="s">
        <v>206</v>
      </c>
      <c r="B53" s="195">
        <f>B51+B52</f>
        <v>37724565.710000001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>
        <f>18014+7419</f>
        <v>25433</v>
      </c>
      <c r="D59" s="184"/>
      <c r="E59" s="184">
        <f>72116</f>
        <v>72116</v>
      </c>
      <c r="F59" s="184"/>
      <c r="G59" s="184">
        <f>5646</f>
        <v>5646</v>
      </c>
      <c r="H59" s="184">
        <f>7563</f>
        <v>7563</v>
      </c>
      <c r="I59" s="184"/>
      <c r="J59" s="184">
        <f>8477+2411</f>
        <v>10888</v>
      </c>
      <c r="K59" s="184"/>
      <c r="L59" s="184"/>
      <c r="M59" s="184"/>
      <c r="N59" s="184"/>
      <c r="O59" s="184">
        <f>19960</f>
        <v>19960</v>
      </c>
      <c r="P59" s="185">
        <f>2611928</f>
        <v>2611928</v>
      </c>
      <c r="Q59" s="185">
        <f>1201215</f>
        <v>1201215</v>
      </c>
      <c r="R59" s="185"/>
      <c r="S59" s="247"/>
      <c r="T59" s="247"/>
      <c r="U59" s="224">
        <v>2875360</v>
      </c>
      <c r="V59" s="185"/>
      <c r="W59" s="185"/>
      <c r="X59" s="185">
        <v>25118</v>
      </c>
      <c r="Y59" s="185">
        <v>210018</v>
      </c>
      <c r="Z59" s="185"/>
      <c r="AA59" s="185">
        <v>4861</v>
      </c>
      <c r="AB59" s="247"/>
      <c r="AC59" s="185">
        <v>65948</v>
      </c>
      <c r="AD59" s="185"/>
      <c r="AE59" s="185">
        <v>164091</v>
      </c>
      <c r="AF59" s="185"/>
      <c r="AG59" s="185">
        <v>50081</v>
      </c>
      <c r="AH59" s="185"/>
      <c r="AI59" s="185">
        <v>14940</v>
      </c>
      <c r="AJ59" s="185">
        <v>25537</v>
      </c>
      <c r="AK59" s="185">
        <v>74450</v>
      </c>
      <c r="AL59" s="185">
        <v>8770</v>
      </c>
      <c r="AM59" s="185"/>
      <c r="AN59" s="185"/>
      <c r="AO59" s="185"/>
      <c r="AP59" s="185">
        <v>888</v>
      </c>
      <c r="AQ59" s="185"/>
      <c r="AR59" s="185">
        <v>385162</v>
      </c>
      <c r="AS59" s="185"/>
      <c r="AT59" s="185"/>
      <c r="AU59" s="185"/>
      <c r="AV59" s="247"/>
      <c r="AW59" s="247"/>
      <c r="AX59" s="247"/>
      <c r="AY59" s="185">
        <v>577277</v>
      </c>
      <c r="AZ59" s="185">
        <f>2034043-577277</f>
        <v>1456766</v>
      </c>
      <c r="BA59" s="247"/>
      <c r="BB59" s="247"/>
      <c r="BC59" s="247"/>
      <c r="BD59" s="247"/>
      <c r="BE59" s="185">
        <v>888995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>
        <v>174.56</v>
      </c>
      <c r="D60" s="187"/>
      <c r="E60" s="187">
        <v>400.98</v>
      </c>
      <c r="F60" s="223"/>
      <c r="G60" s="187">
        <v>37.57</v>
      </c>
      <c r="H60" s="187">
        <v>45.52</v>
      </c>
      <c r="I60" s="187"/>
      <c r="J60" s="223">
        <v>51.03</v>
      </c>
      <c r="K60" s="187"/>
      <c r="L60" s="187"/>
      <c r="M60" s="187"/>
      <c r="N60" s="187"/>
      <c r="O60" s="187">
        <v>135.47</v>
      </c>
      <c r="P60" s="221">
        <v>193.61</v>
      </c>
      <c r="Q60" s="221">
        <v>20.22</v>
      </c>
      <c r="R60" s="221"/>
      <c r="S60" s="221">
        <v>61.61</v>
      </c>
      <c r="T60" s="221">
        <v>14.18</v>
      </c>
      <c r="U60" s="221">
        <v>185.44</v>
      </c>
      <c r="V60" s="221">
        <v>5.22</v>
      </c>
      <c r="W60" s="221"/>
      <c r="X60" s="221">
        <v>9.01</v>
      </c>
      <c r="Y60" s="221">
        <v>65.73</v>
      </c>
      <c r="Z60" s="221"/>
      <c r="AA60" s="221">
        <v>5.45</v>
      </c>
      <c r="AB60" s="221">
        <v>93.75</v>
      </c>
      <c r="AC60" s="221">
        <v>30.05</v>
      </c>
      <c r="AD60" s="221">
        <v>1</v>
      </c>
      <c r="AE60" s="221">
        <v>39.950000000000003</v>
      </c>
      <c r="AF60" s="221"/>
      <c r="AG60" s="221">
        <v>86.47</v>
      </c>
      <c r="AH60" s="221"/>
      <c r="AI60" s="221">
        <v>138.37</v>
      </c>
      <c r="AJ60" s="221">
        <v>38.630000000000003</v>
      </c>
      <c r="AK60" s="221">
        <v>19.37</v>
      </c>
      <c r="AL60" s="221">
        <v>5.71</v>
      </c>
      <c r="AM60" s="221"/>
      <c r="AN60" s="221"/>
      <c r="AO60" s="221"/>
      <c r="AP60" s="221">
        <v>2.92</v>
      </c>
      <c r="AQ60" s="221"/>
      <c r="AR60" s="221">
        <v>323.83</v>
      </c>
      <c r="AS60" s="221"/>
      <c r="AT60" s="221"/>
      <c r="AU60" s="221"/>
      <c r="AV60" s="221">
        <f>28.88+3.48</f>
        <v>32.36</v>
      </c>
      <c r="AW60" s="221"/>
      <c r="AX60" s="221"/>
      <c r="AY60" s="221"/>
      <c r="AZ60" s="221">
        <v>115.19</v>
      </c>
      <c r="BA60" s="221">
        <v>4.09</v>
      </c>
      <c r="BB60" s="221"/>
      <c r="BC60" s="221">
        <v>25.48</v>
      </c>
      <c r="BD60" s="221"/>
      <c r="BE60" s="221">
        <v>19.829999999999998</v>
      </c>
      <c r="BF60" s="221">
        <v>85.25</v>
      </c>
      <c r="BG60" s="221"/>
      <c r="BH60" s="221"/>
      <c r="BI60" s="221">
        <v>2.83</v>
      </c>
      <c r="BJ60" s="221"/>
      <c r="BK60" s="221"/>
      <c r="BL60" s="221"/>
      <c r="BM60" s="221"/>
      <c r="BN60" s="221">
        <v>65.08</v>
      </c>
      <c r="BO60" s="221"/>
      <c r="BP60" s="221"/>
      <c r="BQ60" s="221"/>
      <c r="BR60" s="221"/>
      <c r="BS60" s="221"/>
      <c r="BT60" s="221">
        <v>3.53</v>
      </c>
      <c r="BU60" s="221"/>
      <c r="BV60" s="221"/>
      <c r="BW60" s="221"/>
      <c r="BX60" s="221"/>
      <c r="BY60" s="221">
        <v>39.54</v>
      </c>
      <c r="BZ60" s="221"/>
      <c r="CA60" s="221">
        <v>6.68</v>
      </c>
      <c r="CB60" s="221">
        <v>1.18</v>
      </c>
      <c r="CC60" s="221">
        <f>0.04+0.02</f>
        <v>0.06</v>
      </c>
      <c r="CD60" s="248" t="s">
        <v>221</v>
      </c>
      <c r="CE60" s="250">
        <f t="shared" ref="CE60:CE70" si="0">SUM(C60:CD60)</f>
        <v>2586.75</v>
      </c>
    </row>
    <row r="61" spans="1:84" ht="12.6" customHeight="1" x14ac:dyDescent="0.25">
      <c r="A61" s="171" t="s">
        <v>235</v>
      </c>
      <c r="B61" s="175"/>
      <c r="C61" s="292">
        <f>IF(ISERR(VLOOKUP(VALUE(C$44),'SJ Data'!$A$4:$AC$58,8,0)="TRUE"),0,VLOOKUP(VALUE(C$44),'SJ Data'!$A$4:$AC$58,8,0))</f>
        <v>15935944.920000004</v>
      </c>
      <c r="D61" s="292">
        <f>IF(ISERR(VLOOKUP(VALUE(D$44),'SJ Data'!$A$4:$AC$58,8,0)="TRUE"),0,VLOOKUP(VALUE(D$44),'SJ Data'!$A$4:$AC$58,8,0))</f>
        <v>0</v>
      </c>
      <c r="E61" s="292">
        <f>IF(ISERR(VLOOKUP(VALUE(E$44),'SJ Data'!$A$4:$AC$58,8,0)="TRUE"),0,VLOOKUP(VALUE(E$44),'SJ Data'!$A$4:$AC$58,8,0))</f>
        <v>30475084.5</v>
      </c>
      <c r="F61" s="292">
        <f>IF(ISERR(VLOOKUP(VALUE(F$44),'SJ Data'!$A$4:$AC$58,8,0)="TRUE"),0,VLOOKUP(VALUE(F$44),'SJ Data'!$A$4:$AC$58,8,0))</f>
        <v>0</v>
      </c>
      <c r="G61" s="292">
        <f>IF(ISERR(VLOOKUP(VALUE(G$44),'SJ Data'!$A$4:$AC$58,8,0)="TRUE"),0,VLOOKUP(VALUE(G$44),'SJ Data'!$A$4:$AC$58,8,0))</f>
        <v>2995544.3499999996</v>
      </c>
      <c r="H61" s="292">
        <f>IF(ISERR(VLOOKUP(VALUE(H$44),'SJ Data'!$A$4:$AC$58,8,0)="TRUE"),0,VLOOKUP(VALUE(H$44),'SJ Data'!$A$4:$AC$58,8,0))</f>
        <v>3823633.9699999997</v>
      </c>
      <c r="I61" s="292">
        <f>IF(ISERR(VLOOKUP(VALUE(I$44),'SJ Data'!$A$4:$AC$58,8,0)="TRUE"),0,VLOOKUP(VALUE(I$44),'SJ Data'!$A$4:$AC$58,8,0))</f>
        <v>0</v>
      </c>
      <c r="J61" s="292">
        <f>IF(ISERR(VLOOKUP(VALUE(J$44),'SJ Data'!$A$4:$AC$58,8,0)="TRUE"),0,VLOOKUP(VALUE(J$44),'SJ Data'!$A$4:$AC$58,8,0))</f>
        <v>4578524.7899999991</v>
      </c>
      <c r="K61" s="292">
        <f>IF(ISERR(VLOOKUP(VALUE(K$44),'SJ Data'!$A$4:$AC$58,8,0)="TRUE"),0,VLOOKUP(VALUE(K$44),'SJ Data'!$A$4:$AC$58,8,0))</f>
        <v>0</v>
      </c>
      <c r="L61" s="292">
        <f>IF(ISERR(VLOOKUP(VALUE(L$44),'SJ Data'!$A$4:$AC$58,8,0)="TRUE"),0,VLOOKUP(VALUE(L$44),'SJ Data'!$A$4:$AC$58,8,0))</f>
        <v>0</v>
      </c>
      <c r="M61" s="292">
        <f>IF(ISERR(VLOOKUP(VALUE(M$44),'SJ Data'!$A$4:$AC$58,8,0)="TRUE"),0,VLOOKUP(VALUE(M$44),'SJ Data'!$A$4:$AC$58,8,0))</f>
        <v>0</v>
      </c>
      <c r="N61" s="292">
        <f>IF(ISERR(VLOOKUP(VALUE(N$44),'SJ Data'!$A$4:$AC$58,8,0)="TRUE"),0,VLOOKUP(VALUE(N$44),'SJ Data'!$A$4:$AC$58,8,0))</f>
        <v>0</v>
      </c>
      <c r="O61" s="292">
        <f>IF(ISERR(VLOOKUP(VALUE(O$44),'SJ Data'!$A$4:$AC$58,8,0)="TRUE"),0,VLOOKUP(VALUE(O$44),'SJ Data'!$A$4:$AC$58,8,0))</f>
        <v>12002990.780000001</v>
      </c>
      <c r="P61" s="292">
        <f>IF(ISERR(VLOOKUP(VALUE(P$44),'SJ Data'!$A$4:$AC$58,8,0)="TRUE"),0,VLOOKUP(VALUE(P$44),'SJ Data'!$A$4:$AC$58,8,0))</f>
        <v>17407214.210000001</v>
      </c>
      <c r="Q61" s="292">
        <f>IF(ISERR(VLOOKUP(VALUE(Q$44),'SJ Data'!$A$4:$AC$58,8,0)="TRUE"),0,VLOOKUP(VALUE(Q$44),'SJ Data'!$A$4:$AC$58,8,0))</f>
        <v>2011851.24</v>
      </c>
      <c r="R61" s="292">
        <f>IF(ISERR(VLOOKUP(VALUE(R$44),'SJ Data'!$A$4:$AC$58,8,0)="TRUE"),0,VLOOKUP(VALUE(R$44),'SJ Data'!$A$4:$AC$58,8,0))</f>
        <v>0</v>
      </c>
      <c r="S61" s="292">
        <f>IF(ISERR(VLOOKUP(VALUE(S$44),'SJ Data'!$A$4:$AC$58,8,0)="TRUE"),0,VLOOKUP(VALUE(S$44),'SJ Data'!$A$4:$AC$58,8,0))</f>
        <v>2805769.5</v>
      </c>
      <c r="T61" s="292">
        <f>IF(ISERR(VLOOKUP(VALUE(T$44),'SJ Data'!$A$4:$AC$58,8,0)="TRUE"),0,VLOOKUP(VALUE(T$44),'SJ Data'!$A$4:$AC$58,8,0))</f>
        <v>1667485.0399999998</v>
      </c>
      <c r="U61" s="292">
        <f>IF(ISERR(VLOOKUP(VALUE(U$44),'SJ Data'!$A$4:$AC$58,8,0)="TRUE"),0,VLOOKUP(VALUE(U$44),'SJ Data'!$A$4:$AC$58,8,0))</f>
        <v>10693258.27</v>
      </c>
      <c r="V61" s="292">
        <f>IF(ISERR(VLOOKUP(VALUE(V$44),'SJ Data'!$A$4:$AC$58,8,0)="TRUE"),0,VLOOKUP(VALUE(V$44),'SJ Data'!$A$4:$AC$58,8,0))</f>
        <v>598528.0199999999</v>
      </c>
      <c r="W61" s="292">
        <f>IF(ISERR(VLOOKUP(VALUE(W$44),'SJ Data'!$A$4:$AC$58,8,0)="TRUE"),0,VLOOKUP(VALUE(W$44),'SJ Data'!$A$4:$AC$58,8,0))</f>
        <v>0</v>
      </c>
      <c r="X61" s="292">
        <f>IF(ISERR(VLOOKUP(VALUE(X$44),'SJ Data'!$A$4:$AC$58,8,0)="TRUE"),0,VLOOKUP(VALUE(X$44),'SJ Data'!$A$4:$AC$58,8,0))</f>
        <v>820984.75</v>
      </c>
      <c r="Y61" s="292">
        <f>IF(ISERR(VLOOKUP(VALUE(Y$44),'SJ Data'!$A$4:$AC$58,8,0)="TRUE"),0,VLOOKUP(VALUE(Y$44),'SJ Data'!$A$4:$AC$58,8,0))</f>
        <v>5630524.5699999994</v>
      </c>
      <c r="Z61" s="292">
        <f>IF(ISERR(VLOOKUP(VALUE(Z$44),'SJ Data'!$A$4:$AC$58,8,0)="TRUE"),0,VLOOKUP(VALUE(Z$44),'SJ Data'!$A$4:$AC$58,8,0))</f>
        <v>0</v>
      </c>
      <c r="AA61" s="292">
        <f>IF(ISERR(VLOOKUP(VALUE(AA$44),'SJ Data'!$A$4:$AC$58,8,0)="TRUE"),0,VLOOKUP(VALUE(AA$44),'SJ Data'!$A$4:$AC$58,8,0))</f>
        <v>556924.66</v>
      </c>
      <c r="AB61" s="292">
        <f>IF(ISERR(VLOOKUP(VALUE(AB$44),'SJ Data'!$A$4:$AC$58,8,0)="TRUE"),0,VLOOKUP(VALUE(AB$44),'SJ Data'!$A$4:$AC$58,8,0))</f>
        <v>8786566.6700000018</v>
      </c>
      <c r="AC61" s="292">
        <f>IF(ISERR(VLOOKUP(VALUE(AC$44),'SJ Data'!$A$4:$AC$58,8,0)="TRUE"),0,VLOOKUP(VALUE(AC$44),'SJ Data'!$A$4:$AC$58,8,0))</f>
        <v>2496461.39</v>
      </c>
      <c r="AD61" s="292">
        <f>IF(ISERR(VLOOKUP(VALUE(AD$44),'SJ Data'!$A$4:$AC$58,8,0)="TRUE"),0,VLOOKUP(VALUE(AD$44),'SJ Data'!$A$4:$AC$58,8,0))</f>
        <v>161859.78000000003</v>
      </c>
      <c r="AE61" s="292">
        <f>IF(ISERR(VLOOKUP(VALUE(AE$44),'SJ Data'!$A$4:$AC$58,8,0)="TRUE"),0,VLOOKUP(VALUE(AE$44),'SJ Data'!$A$4:$AC$58,8,0))</f>
        <v>3746897.6200000006</v>
      </c>
      <c r="AF61" s="292">
        <f>IF(ISERR(VLOOKUP(VALUE(AF$44),'SJ Data'!$A$4:$AC$58,8,0)="TRUE"),0,VLOOKUP(VALUE(AF$44),'SJ Data'!$A$4:$AC$58,8,0))</f>
        <v>0</v>
      </c>
      <c r="AG61" s="292">
        <f>IF(ISERR(VLOOKUP(VALUE(AG$44),'SJ Data'!$A$4:$AC$58,8,0)="TRUE"),0,VLOOKUP(VALUE(AG$44),'SJ Data'!$A$4:$AC$58,8,0))</f>
        <v>8210275</v>
      </c>
      <c r="AH61" s="292">
        <f>IF(ISERR(VLOOKUP(VALUE(AH$44),'SJ Data'!$A$4:$AC$58,8,0)="TRUE"),0,VLOOKUP(VALUE(AH$44),'SJ Data'!$A$4:$AC$58,8,0))</f>
        <v>0</v>
      </c>
      <c r="AI61" s="292">
        <f>IF(ISERR(VLOOKUP(VALUE(AI$44),'SJ Data'!$A$4:$AC$58,8,0)="TRUE"),0,VLOOKUP(VALUE(AI$44),'SJ Data'!$A$4:$AC$58,8,0))</f>
        <v>10795620.049999999</v>
      </c>
      <c r="AJ61" s="292">
        <f>IF(ISERR(VLOOKUP(VALUE(AJ$44),'SJ Data'!$A$4:$AC$58,8,0)="TRUE"),0,VLOOKUP(VALUE(AJ$44),'SJ Data'!$A$4:$AC$58,8,0))</f>
        <v>3407510.2499999995</v>
      </c>
      <c r="AK61" s="292">
        <f>IF(ISERR(VLOOKUP(VALUE(AK$44),'SJ Data'!$A$4:$AC$58,8,0)="TRUE"),0,VLOOKUP(VALUE(AK$44),'SJ Data'!$A$4:$AC$58,8,0))</f>
        <v>1812481.54</v>
      </c>
      <c r="AL61" s="292">
        <f>IF(ISERR(VLOOKUP(VALUE(AL$44),'SJ Data'!$A$4:$AC$58,8,0)="TRUE"),0,VLOOKUP(VALUE(AL$44),'SJ Data'!$A$4:$AC$58,8,0))</f>
        <v>480877.93</v>
      </c>
      <c r="AM61" s="292">
        <f>IF(ISERR(VLOOKUP(VALUE(AM$44),'SJ Data'!$A$4:$AC$58,8,0)="TRUE"),0,VLOOKUP(VALUE(AM$44),'SJ Data'!$A$4:$AC$58,8,0))</f>
        <v>0</v>
      </c>
      <c r="AN61" s="292">
        <f>IF(ISERR(VLOOKUP(VALUE(AN$44),'SJ Data'!$A$4:$AC$58,8,0)="TRUE"),0,VLOOKUP(VALUE(AN$44),'SJ Data'!$A$4:$AC$58,8,0))</f>
        <v>0</v>
      </c>
      <c r="AO61" s="292">
        <f>IF(ISERR(VLOOKUP(VALUE(AO$44),'SJ Data'!$A$4:$AC$58,8,0)="TRUE"),0,VLOOKUP(VALUE(AO$44),'SJ Data'!$A$4:$AC$58,8,0))</f>
        <v>0</v>
      </c>
      <c r="AP61" s="292">
        <f>IF(ISERR(VLOOKUP(VALUE(AP$44),'SJ Data'!$A$4:$AC$58,8,0)="TRUE"),0,VLOOKUP(VALUE(AP$44),'SJ Data'!$A$4:$AC$58,8,0))</f>
        <v>289928.42</v>
      </c>
      <c r="AQ61" s="292">
        <f>IF(ISERR(VLOOKUP(VALUE(AQ$44),'SJ Data'!$A$4:$AC$58,8,0)="TRUE"),0,VLOOKUP(VALUE(AQ$44),'SJ Data'!$A$4:$AC$58,8,0))</f>
        <v>0</v>
      </c>
      <c r="AR61" s="292">
        <f>IF(ISERR(VLOOKUP(VALUE(AR$44),'SJ Data'!$A$4:$AC$58,8,0)="TRUE"),0,VLOOKUP(VALUE(AR$44),'SJ Data'!$A$4:$AC$58,8,0))</f>
        <v>26680107.27</v>
      </c>
      <c r="AS61" s="292">
        <f>IF(ISERR(VLOOKUP(VALUE(AS$44),'SJ Data'!$A$4:$AC$58,8,0)="TRUE"),0,VLOOKUP(VALUE(AS$44),'SJ Data'!$A$4:$AC$58,8,0))</f>
        <v>0</v>
      </c>
      <c r="AT61" s="292">
        <f>IF(ISERR(VLOOKUP(VALUE(AT$44),'SJ Data'!$A$4:$AC$58,8,0)="TRUE"),0,VLOOKUP(VALUE(AT$44),'SJ Data'!$A$4:$AC$58,8,0))</f>
        <v>0</v>
      </c>
      <c r="AU61" s="292">
        <f>IF(ISERR(VLOOKUP(VALUE(AU$44),'SJ Data'!$A$4:$AC$58,8,0)="TRUE"),0,VLOOKUP(VALUE(AU$44),'SJ Data'!$A$4:$AC$58,8,0))</f>
        <v>0</v>
      </c>
      <c r="AV61" s="292">
        <f>IF(ISERR(VLOOKUP(VALUE(AV$44),'SJ Data'!$A$4:$AC$58,8,0)="TRUE"),0,VLOOKUP(VALUE(AV$44),'SJ Data'!$A$4:$AC$58,8,0))</f>
        <v>2665524.46</v>
      </c>
      <c r="AW61" s="292">
        <f>IF(ISERR(VLOOKUP(VALUE(AW$44),'SJ Data'!$A$4:$AC$58,8,0)="TRUE"),0,VLOOKUP(VALUE(AW$44),'SJ Data'!$A$4:$AC$58,8,0))</f>
        <v>0</v>
      </c>
      <c r="AX61" s="292">
        <f>IF(ISERR(VLOOKUP(VALUE(AX$44),'SJ Data'!$A$4:$AC$58,8,0)="TRUE"),0,VLOOKUP(VALUE(AX$44),'SJ Data'!$A$4:$AC$58,8,0))</f>
        <v>0</v>
      </c>
      <c r="AY61" s="292">
        <f>IF(ISERR(VLOOKUP(VALUE(AY$44),'SJ Data'!$A$4:$AC$58,8,0)="TRUE"),0,VLOOKUP(VALUE(AY$44),'SJ Data'!$A$4:$AC$58,8,0))</f>
        <v>0</v>
      </c>
      <c r="AZ61" s="292">
        <f>IF(ISERR(VLOOKUP(VALUE(AZ$44),'SJ Data'!$A$4:$AC$58,8,0)="TRUE"),0,VLOOKUP(VALUE(AZ$44),'SJ Data'!$A$4:$AC$58,8,0))</f>
        <v>4871532.8500000006</v>
      </c>
      <c r="BA61" s="292">
        <f>IF(ISERR(VLOOKUP(VALUE(BA$44),'SJ Data'!$A$4:$AC$58,8,0)="TRUE"),0,VLOOKUP(VALUE(BA$44),'SJ Data'!$A$4:$AC$58,8,0))</f>
        <v>156339.29000000004</v>
      </c>
      <c r="BB61" s="292">
        <f>IF(ISERR(VLOOKUP(VALUE(BB$44),'SJ Data'!$A$4:$AC$58,8,0)="TRUE"),0,VLOOKUP(VALUE(BB$44),'SJ Data'!$A$4:$AC$58,8,0))</f>
        <v>0</v>
      </c>
      <c r="BC61" s="292">
        <f>IF(ISERR(VLOOKUP(VALUE(BC$44),'SJ Data'!$A$4:$AC$58,8,0)="TRUE"),0,VLOOKUP(VALUE(BC$44),'SJ Data'!$A$4:$AC$58,8,0))</f>
        <v>1025606.14</v>
      </c>
      <c r="BD61" s="292">
        <f>IF(ISERR(VLOOKUP(VALUE(BD$44),'SJ Data'!$A$4:$AC$58,8,0)="TRUE"),0,VLOOKUP(VALUE(BD$44),'SJ Data'!$A$4:$AC$58,8,0))</f>
        <v>0</v>
      </c>
      <c r="BE61" s="292">
        <f>IF(ISERR(VLOOKUP(VALUE(BE$44),'SJ Data'!$A$4:$AC$58,8,0)="TRUE"),0,VLOOKUP(VALUE(BE$44),'SJ Data'!$A$4:$AC$58,8,0))</f>
        <v>1256549.3799999999</v>
      </c>
      <c r="BF61" s="292">
        <f>IF(ISERR(VLOOKUP(VALUE(BF$44),'SJ Data'!$A$4:$AC$58,8,0)="TRUE"),0,VLOOKUP(VALUE(BF$44),'SJ Data'!$A$4:$AC$58,8,0))</f>
        <v>3630360.9500000007</v>
      </c>
      <c r="BG61" s="292">
        <f>IF(ISERR(VLOOKUP(VALUE(BG$44),'SJ Data'!$A$4:$AC$58,8,0)="TRUE"),0,VLOOKUP(VALUE(BG$44),'SJ Data'!$A$4:$AC$58,8,0))</f>
        <v>0</v>
      </c>
      <c r="BH61" s="292">
        <f>IF(ISERR(VLOOKUP(VALUE(BH$44),'SJ Data'!$A$4:$AC$58,8,0)="TRUE"),0,VLOOKUP(VALUE(BH$44),'SJ Data'!$A$4:$AC$58,8,0))</f>
        <v>0</v>
      </c>
      <c r="BI61" s="292">
        <f>IF(ISERR(VLOOKUP(VALUE(BI$44),'SJ Data'!$A$4:$AC$58,8,0)="TRUE"),0,VLOOKUP(VALUE(BI$44),'SJ Data'!$A$4:$AC$58,8,0))</f>
        <v>115885.51999999999</v>
      </c>
      <c r="BJ61" s="292">
        <f>IF(ISERR(VLOOKUP(VALUE(BJ$44),'SJ Data'!$A$4:$AC$58,8,0)="TRUE"),0,VLOOKUP(VALUE(BJ$44),'SJ Data'!$A$4:$AC$58,8,0))</f>
        <v>0</v>
      </c>
      <c r="BK61" s="292">
        <f>IF(ISERR(VLOOKUP(VALUE(BK$44),'SJ Data'!$A$4:$AC$58,8,0)="TRUE"),0,VLOOKUP(VALUE(BK$44),'SJ Data'!$A$4:$AC$58,8,0))</f>
        <v>0</v>
      </c>
      <c r="BL61" s="292">
        <f>IF(ISERR(VLOOKUP(VALUE(BL$44),'SJ Data'!$A$4:$AC$58,8,0)="TRUE"),0,VLOOKUP(VALUE(BL$44),'SJ Data'!$A$4:$AC$58,8,0))</f>
        <v>0</v>
      </c>
      <c r="BM61" s="292">
        <f>IF(ISERR(VLOOKUP(VALUE(BM$44),'SJ Data'!$A$4:$AC$58,8,0)="TRUE"),0,VLOOKUP(VALUE(BM$44),'SJ Data'!$A$4:$AC$58,8,0))</f>
        <v>0</v>
      </c>
      <c r="BN61" s="292">
        <f>IF(ISERR(VLOOKUP(VALUE(BN$44),'SJ Data'!$A$4:$AC$58,8,0)="TRUE"),0,VLOOKUP(VALUE(BN$44),'SJ Data'!$A$4:$AC$58,8,0))</f>
        <v>5416725.7699999996</v>
      </c>
      <c r="BO61" s="292">
        <f>IF(ISERR(VLOOKUP(VALUE(BO$44),'SJ Data'!$A$4:$AC$58,8,0)="TRUE"),0,VLOOKUP(VALUE(BO$44),'SJ Data'!$A$4:$AC$58,8,0))</f>
        <v>0</v>
      </c>
      <c r="BP61" s="292">
        <f>IF(ISERR(VLOOKUP(VALUE(BP$44),'SJ Data'!$A$4:$AC$58,8,0)="TRUE"),0,VLOOKUP(VALUE(BP$44),'SJ Data'!$A$4:$AC$58,8,0))</f>
        <v>0</v>
      </c>
      <c r="BQ61" s="292">
        <f>IF(ISERR(VLOOKUP(VALUE(BQ$44),'SJ Data'!$A$4:$AC$58,8,0)="TRUE"),0,VLOOKUP(VALUE(BQ$44),'SJ Data'!$A$4:$AC$58,8,0))</f>
        <v>0</v>
      </c>
      <c r="BR61" s="292">
        <f>IF(ISERR(VLOOKUP(VALUE(BR$44),'SJ Data'!$A$4:$AC$58,8,0)="TRUE"),0,VLOOKUP(VALUE(BR$44),'SJ Data'!$A$4:$AC$58,8,0))</f>
        <v>-5657.13</v>
      </c>
      <c r="BS61" s="292">
        <f>IF(ISERR(VLOOKUP(VALUE(BS$44),'SJ Data'!$A$4:$AC$58,8,0)="TRUE"),0,VLOOKUP(VALUE(BS$44),'SJ Data'!$A$4:$AC$58,8,0))</f>
        <v>0</v>
      </c>
      <c r="BT61" s="292">
        <f>IF(ISERR(VLOOKUP(VALUE(BT$44),'SJ Data'!$A$4:$AC$58,8,0)="TRUE"),0,VLOOKUP(VALUE(BT$44),'SJ Data'!$A$4:$AC$58,8,0))</f>
        <v>230257.16</v>
      </c>
      <c r="BU61" s="292">
        <f>IF(ISERR(VLOOKUP(VALUE(BU$44),'SJ Data'!$A$4:$AC$58,8,0)="TRUE"),0,VLOOKUP(VALUE(BU$44),'SJ Data'!$A$4:$AC$58,8,0))</f>
        <v>0</v>
      </c>
      <c r="BV61" s="292">
        <f>IF(ISERR(VLOOKUP(VALUE(BV$44),'SJ Data'!$A$4:$AC$58,8,0)="TRUE"),0,VLOOKUP(VALUE(BV$44),'SJ Data'!$A$4:$AC$58,8,0))</f>
        <v>0</v>
      </c>
      <c r="BW61" s="292">
        <f>IF(ISERR(VLOOKUP(VALUE(BW$44),'SJ Data'!$A$4:$AC$58,8,0)="TRUE"),0,VLOOKUP(VALUE(BW$44),'SJ Data'!$A$4:$AC$58,8,0))</f>
        <v>0</v>
      </c>
      <c r="BX61" s="292">
        <f>IF(ISERR(VLOOKUP(VALUE(BX$44),'SJ Data'!$A$4:$AC$58,8,0)="TRUE"),0,VLOOKUP(VALUE(BX$44),'SJ Data'!$A$4:$AC$58,8,0))</f>
        <v>0</v>
      </c>
      <c r="BY61" s="292">
        <f>IF(ISERR(VLOOKUP(VALUE(BY$44),'SJ Data'!$A$4:$AC$58,8,0)="TRUE"),0,VLOOKUP(VALUE(BY$44),'SJ Data'!$A$4:$AC$58,8,0))</f>
        <v>3719665.1900000004</v>
      </c>
      <c r="BZ61" s="292">
        <f>IF(ISERR(VLOOKUP(VALUE(BZ$44),'SJ Data'!$A$4:$AC$58,8,0)="TRUE"),0,VLOOKUP(VALUE(BZ$44),'SJ Data'!$A$4:$AC$58,8,0))</f>
        <v>0</v>
      </c>
      <c r="CA61" s="292">
        <f>IF(ISERR(VLOOKUP(VALUE(CA$44),'SJ Data'!$A$4:$AC$58,8,0)="TRUE"),0,VLOOKUP(VALUE(CA$44),'SJ Data'!$A$4:$AC$58,8,0))</f>
        <v>670484.05000000005</v>
      </c>
      <c r="CB61" s="292">
        <f>IF(ISERR(VLOOKUP(VALUE(CB$44),'SJ Data'!$A$4:$AC$58,8,0)="TRUE"),0,VLOOKUP(VALUE(CB$44),'SJ Data'!$A$4:$AC$58,8,0))</f>
        <v>87161.330000000016</v>
      </c>
      <c r="CC61" s="292">
        <f>IF(ISERR(VLOOKUP(VALUE(CC$44),'SJ Data'!$A$4:$AC$58,8,0)="TRUE"),0,VLOOKUP(VALUE(CC$44),'SJ Data'!$A$4:$AC$58,8,0))+'SJ Data'!H56</f>
        <v>-392862.5199999999</v>
      </c>
      <c r="CD61" s="248" t="s">
        <v>221</v>
      </c>
      <c r="CE61" s="195">
        <f t="shared" si="0"/>
        <v>202320421.93000001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3928891</v>
      </c>
      <c r="D62" s="195">
        <f t="shared" si="1"/>
        <v>0</v>
      </c>
      <c r="E62" s="195">
        <f t="shared" si="1"/>
        <v>8122528</v>
      </c>
      <c r="F62" s="195">
        <f t="shared" si="1"/>
        <v>0</v>
      </c>
      <c r="G62" s="195">
        <f t="shared" si="1"/>
        <v>841966</v>
      </c>
      <c r="H62" s="195">
        <f t="shared" si="1"/>
        <v>1011616</v>
      </c>
      <c r="I62" s="195">
        <f t="shared" si="1"/>
        <v>0</v>
      </c>
      <c r="J62" s="195">
        <f>ROUND(J47+J48,0)</f>
        <v>1175047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3097922</v>
      </c>
      <c r="P62" s="195">
        <f t="shared" si="1"/>
        <v>4361568</v>
      </c>
      <c r="Q62" s="195">
        <f t="shared" si="1"/>
        <v>486073</v>
      </c>
      <c r="R62" s="195">
        <f t="shared" si="1"/>
        <v>0</v>
      </c>
      <c r="S62" s="195">
        <f t="shared" si="1"/>
        <v>1072822</v>
      </c>
      <c r="T62" s="195">
        <f t="shared" si="1"/>
        <v>372733</v>
      </c>
      <c r="U62" s="195">
        <f t="shared" si="1"/>
        <v>3518885</v>
      </c>
      <c r="V62" s="195">
        <f t="shared" si="1"/>
        <v>137607</v>
      </c>
      <c r="W62" s="195">
        <f t="shared" si="1"/>
        <v>0</v>
      </c>
      <c r="X62" s="195">
        <f t="shared" si="1"/>
        <v>209508</v>
      </c>
      <c r="Y62" s="195">
        <f t="shared" si="1"/>
        <v>1466558</v>
      </c>
      <c r="Z62" s="195">
        <f t="shared" si="1"/>
        <v>0</v>
      </c>
      <c r="AA62" s="195">
        <f t="shared" si="1"/>
        <v>134127</v>
      </c>
      <c r="AB62" s="195">
        <f t="shared" si="1"/>
        <v>2196461</v>
      </c>
      <c r="AC62" s="195">
        <f t="shared" si="1"/>
        <v>664070</v>
      </c>
      <c r="AD62" s="195">
        <f t="shared" si="1"/>
        <v>30555</v>
      </c>
      <c r="AE62" s="195">
        <f t="shared" si="1"/>
        <v>949243</v>
      </c>
      <c r="AF62" s="195">
        <f t="shared" si="1"/>
        <v>0</v>
      </c>
      <c r="AG62" s="195">
        <f t="shared" si="1"/>
        <v>2268823</v>
      </c>
      <c r="AH62" s="195">
        <f t="shared" si="1"/>
        <v>0</v>
      </c>
      <c r="AI62" s="195">
        <f t="shared" si="1"/>
        <v>2974661</v>
      </c>
      <c r="AJ62" s="195">
        <f t="shared" si="1"/>
        <v>884109</v>
      </c>
      <c r="AK62" s="195">
        <f t="shared" si="1"/>
        <v>465667</v>
      </c>
      <c r="AL62" s="195">
        <f t="shared" si="1"/>
        <v>128711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70823</v>
      </c>
      <c r="AQ62" s="195">
        <f t="shared" si="1"/>
        <v>0</v>
      </c>
      <c r="AR62" s="195">
        <f t="shared" si="1"/>
        <v>7068820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697992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1973854</v>
      </c>
      <c r="BA62" s="195">
        <f>ROUND(BA47+BA48,0)</f>
        <v>67916</v>
      </c>
      <c r="BB62" s="195">
        <f t="shared" si="1"/>
        <v>0</v>
      </c>
      <c r="BC62" s="195">
        <f t="shared" si="1"/>
        <v>433488</v>
      </c>
      <c r="BD62" s="195">
        <f t="shared" si="1"/>
        <v>0</v>
      </c>
      <c r="BE62" s="195">
        <f t="shared" si="1"/>
        <v>391565</v>
      </c>
      <c r="BF62" s="195">
        <f t="shared" si="1"/>
        <v>1465668</v>
      </c>
      <c r="BG62" s="195">
        <f t="shared" si="1"/>
        <v>0</v>
      </c>
      <c r="BH62" s="195">
        <f t="shared" si="1"/>
        <v>0</v>
      </c>
      <c r="BI62" s="195">
        <f t="shared" si="1"/>
        <v>48024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1371020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13</v>
      </c>
      <c r="BS62" s="195">
        <f t="shared" si="2"/>
        <v>0</v>
      </c>
      <c r="BT62" s="195">
        <f t="shared" si="2"/>
        <v>71137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928071</v>
      </c>
      <c r="BZ62" s="195">
        <f t="shared" si="2"/>
        <v>0</v>
      </c>
      <c r="CA62" s="195">
        <f t="shared" si="2"/>
        <v>162870</v>
      </c>
      <c r="CB62" s="195">
        <f t="shared" si="2"/>
        <v>24742</v>
      </c>
      <c r="CC62" s="195">
        <f t="shared" si="2"/>
        <v>-129126</v>
      </c>
      <c r="CD62" s="248" t="s">
        <v>221</v>
      </c>
      <c r="CE62" s="195">
        <f t="shared" si="0"/>
        <v>55147028</v>
      </c>
      <c r="CF62" s="251"/>
    </row>
    <row r="63" spans="1:84" ht="12.6" customHeight="1" x14ac:dyDescent="0.25">
      <c r="A63" s="171" t="s">
        <v>236</v>
      </c>
      <c r="B63" s="175"/>
      <c r="C63" s="292">
        <f>IF(ISERR(VLOOKUP(VALUE(C$44),'SJ Data'!$A$4:$AC$58,11,0)="TRUE"),0,VLOOKUP(VALUE(C$44),'SJ Data'!$A$4:$AC$58,11,0))</f>
        <v>3326964.9</v>
      </c>
      <c r="D63" s="292">
        <f>IF(ISERR(VLOOKUP(VALUE(D$44),'SJ Data'!$A$4:$AC$58,11,0)="TRUE"),0,VLOOKUP(VALUE(D$44),'SJ Data'!$A$4:$AC$58,11,0))</f>
        <v>0</v>
      </c>
      <c r="E63" s="292">
        <f>IF(ISERR(VLOOKUP(VALUE(E$44),'SJ Data'!$A$4:$AC$58,11,0)="TRUE"),0,VLOOKUP(VALUE(E$44),'SJ Data'!$A$4:$AC$58,11,0))</f>
        <v>50654.879999999997</v>
      </c>
      <c r="F63" s="292">
        <f>IF(ISERR(VLOOKUP(VALUE(F$44),'SJ Data'!$A$4:$AC$58,11,0)="TRUE"),0,VLOOKUP(VALUE(F$44),'SJ Data'!$A$4:$AC$58,11,0))</f>
        <v>0</v>
      </c>
      <c r="G63" s="292">
        <f>IF(ISERR(VLOOKUP(VALUE(G$44),'SJ Data'!$A$4:$AC$58,11,0)="TRUE"),0,VLOOKUP(VALUE(G$44),'SJ Data'!$A$4:$AC$58,11,0))</f>
        <v>389826.93</v>
      </c>
      <c r="H63" s="292">
        <f>IF(ISERR(VLOOKUP(VALUE(H$44),'SJ Data'!$A$4:$AC$58,11,0)="TRUE"),0,VLOOKUP(VALUE(H$44),'SJ Data'!$A$4:$AC$58,11,0))</f>
        <v>365221.63</v>
      </c>
      <c r="I63" s="292">
        <f>IF(ISERR(VLOOKUP(VALUE(I$44),'SJ Data'!$A$4:$AC$58,11,0)="TRUE"),0,VLOOKUP(VALUE(I$44),'SJ Data'!$A$4:$AC$58,11,0))</f>
        <v>0</v>
      </c>
      <c r="J63" s="292">
        <f>IF(ISERR(VLOOKUP(VALUE(J$44),'SJ Data'!$A$4:$AC$58,11,0)="TRUE"),0,VLOOKUP(VALUE(J$44),'SJ Data'!$A$4:$AC$58,11,0))</f>
        <v>959014.76</v>
      </c>
      <c r="K63" s="292">
        <f>IF(ISERR(VLOOKUP(VALUE(K$44),'SJ Data'!$A$4:$AC$58,11,0)="TRUE"),0,VLOOKUP(VALUE(K$44),'SJ Data'!$A$4:$AC$58,11,0))</f>
        <v>0</v>
      </c>
      <c r="L63" s="292">
        <f>IF(ISERR(VLOOKUP(VALUE(L$44),'SJ Data'!$A$4:$AC$58,11,0)="TRUE"),0,VLOOKUP(VALUE(L$44),'SJ Data'!$A$4:$AC$58,11,0))</f>
        <v>0</v>
      </c>
      <c r="M63" s="292">
        <f>IF(ISERR(VLOOKUP(VALUE(M$44),'SJ Data'!$A$4:$AC$58,11,0)="TRUE"),0,VLOOKUP(VALUE(M$44),'SJ Data'!$A$4:$AC$58,11,0))</f>
        <v>0</v>
      </c>
      <c r="N63" s="292">
        <f>IF(ISERR(VLOOKUP(VALUE(N$44),'SJ Data'!$A$4:$AC$58,11,0)="TRUE"),0,VLOOKUP(VALUE(N$44),'SJ Data'!$A$4:$AC$58,11,0))</f>
        <v>0</v>
      </c>
      <c r="O63" s="292">
        <f>IF(ISERR(VLOOKUP(VALUE(O$44),'SJ Data'!$A$4:$AC$58,11,0)="TRUE"),0,VLOOKUP(VALUE(O$44),'SJ Data'!$A$4:$AC$58,11,0))</f>
        <v>1425039.24</v>
      </c>
      <c r="P63" s="292">
        <f>IF(ISERR(VLOOKUP(VALUE(P$44),'SJ Data'!$A$4:$AC$58,11,0)="TRUE"),0,VLOOKUP(VALUE(P$44),'SJ Data'!$A$4:$AC$58,11,0))</f>
        <v>3702679.6300000004</v>
      </c>
      <c r="Q63" s="292">
        <f>IF(ISERR(VLOOKUP(VALUE(Q$44),'SJ Data'!$A$4:$AC$58,11,0)="TRUE"),0,VLOOKUP(VALUE(Q$44),'SJ Data'!$A$4:$AC$58,11,0))</f>
        <v>0</v>
      </c>
      <c r="R63" s="292">
        <f>IF(ISERR(VLOOKUP(VALUE(R$44),'SJ Data'!$A$4:$AC$58,11,0)="TRUE"),0,VLOOKUP(VALUE(R$44),'SJ Data'!$A$4:$AC$58,11,0))</f>
        <v>0</v>
      </c>
      <c r="S63" s="292">
        <f>IF(ISERR(VLOOKUP(VALUE(S$44),'SJ Data'!$A$4:$AC$58,11,0)="TRUE"),0,VLOOKUP(VALUE(S$44),'SJ Data'!$A$4:$AC$58,11,0))</f>
        <v>0</v>
      </c>
      <c r="T63" s="292">
        <f>IF(ISERR(VLOOKUP(VALUE(T$44),'SJ Data'!$A$4:$AC$58,11,0)="TRUE"),0,VLOOKUP(VALUE(T$44),'SJ Data'!$A$4:$AC$58,11,0))</f>
        <v>0</v>
      </c>
      <c r="U63" s="292">
        <f>IF(ISERR(VLOOKUP(VALUE(U$44),'SJ Data'!$A$4:$AC$58,11,0)="TRUE"),0,VLOOKUP(VALUE(U$44),'SJ Data'!$A$4:$AC$58,11,0))</f>
        <v>73456.03</v>
      </c>
      <c r="V63" s="292">
        <f>IF(ISERR(VLOOKUP(VALUE(V$44),'SJ Data'!$A$4:$AC$58,11,0)="TRUE"),0,VLOOKUP(VALUE(V$44),'SJ Data'!$A$4:$AC$58,11,0))</f>
        <v>0</v>
      </c>
      <c r="W63" s="292">
        <f>IF(ISERR(VLOOKUP(VALUE(W$44),'SJ Data'!$A$4:$AC$58,11,0)="TRUE"),0,VLOOKUP(VALUE(W$44),'SJ Data'!$A$4:$AC$58,11,0))</f>
        <v>0</v>
      </c>
      <c r="X63" s="292">
        <f>IF(ISERR(VLOOKUP(VALUE(X$44),'SJ Data'!$A$4:$AC$58,11,0)="TRUE"),0,VLOOKUP(VALUE(X$44),'SJ Data'!$A$4:$AC$58,11,0))</f>
        <v>0</v>
      </c>
      <c r="Y63" s="292">
        <f>IF(ISERR(VLOOKUP(VALUE(Y$44),'SJ Data'!$A$4:$AC$58,11,0)="TRUE"),0,VLOOKUP(VALUE(Y$44),'SJ Data'!$A$4:$AC$58,11,0))</f>
        <v>60139.8</v>
      </c>
      <c r="Z63" s="292">
        <f>IF(ISERR(VLOOKUP(VALUE(Z$44),'SJ Data'!$A$4:$AC$58,11,0)="TRUE"),0,VLOOKUP(VALUE(Z$44),'SJ Data'!$A$4:$AC$58,11,0))</f>
        <v>0</v>
      </c>
      <c r="AA63" s="292">
        <f>IF(ISERR(VLOOKUP(VALUE(AA$44),'SJ Data'!$A$4:$AC$58,11,0)="TRUE"),0,VLOOKUP(VALUE(AA$44),'SJ Data'!$A$4:$AC$58,11,0))</f>
        <v>0</v>
      </c>
      <c r="AB63" s="292">
        <f>IF(ISERR(VLOOKUP(VALUE(AB$44),'SJ Data'!$A$4:$AC$58,11,0)="TRUE"),0,VLOOKUP(VALUE(AB$44),'SJ Data'!$A$4:$AC$58,11,0))</f>
        <v>12875.27</v>
      </c>
      <c r="AC63" s="292">
        <f>IF(ISERR(VLOOKUP(VALUE(AC$44),'SJ Data'!$A$4:$AC$58,11,0)="TRUE"),0,VLOOKUP(VALUE(AC$44),'SJ Data'!$A$4:$AC$58,11,0))</f>
        <v>26203.8</v>
      </c>
      <c r="AD63" s="292">
        <f>IF(ISERR(VLOOKUP(VALUE(AD$44),'SJ Data'!$A$4:$AC$58,11,0)="TRUE"),0,VLOOKUP(VALUE(AD$44),'SJ Data'!$A$4:$AC$58,11,0))</f>
        <v>1240.43</v>
      </c>
      <c r="AE63" s="292">
        <f>IF(ISERR(VLOOKUP(VALUE(AE$44),'SJ Data'!$A$4:$AC$58,11,0)="TRUE"),0,VLOOKUP(VALUE(AE$44),'SJ Data'!$A$4:$AC$58,11,0))</f>
        <v>0</v>
      </c>
      <c r="AF63" s="292">
        <f>IF(ISERR(VLOOKUP(VALUE(AF$44),'SJ Data'!$A$4:$AC$58,11,0)="TRUE"),0,VLOOKUP(VALUE(AF$44),'SJ Data'!$A$4:$AC$58,11,0))</f>
        <v>0</v>
      </c>
      <c r="AG63" s="292">
        <f>IF(ISERR(VLOOKUP(VALUE(AG$44),'SJ Data'!$A$4:$AC$58,11,0)="TRUE"),0,VLOOKUP(VALUE(AG$44),'SJ Data'!$A$4:$AC$58,11,0))</f>
        <v>6541247.7300000004</v>
      </c>
      <c r="AH63" s="292">
        <f>IF(ISERR(VLOOKUP(VALUE(AH$44),'SJ Data'!$A$4:$AC$58,11,0)="TRUE"),0,VLOOKUP(VALUE(AH$44),'SJ Data'!$A$4:$AC$58,11,0))</f>
        <v>0</v>
      </c>
      <c r="AI63" s="292">
        <f>IF(ISERR(VLOOKUP(VALUE(AI$44),'SJ Data'!$A$4:$AC$58,11,0)="TRUE"),0,VLOOKUP(VALUE(AI$44),'SJ Data'!$A$4:$AC$58,11,0))</f>
        <v>0</v>
      </c>
      <c r="AJ63" s="292">
        <f>IF(ISERR(VLOOKUP(VALUE(AJ$44),'SJ Data'!$A$4:$AC$58,11,0)="TRUE"),0,VLOOKUP(VALUE(AJ$44),'SJ Data'!$A$4:$AC$58,11,0))</f>
        <v>-198388.8</v>
      </c>
      <c r="AK63" s="292">
        <f>IF(ISERR(VLOOKUP(VALUE(AK$44),'SJ Data'!$A$4:$AC$58,11,0)="TRUE"),0,VLOOKUP(VALUE(AK$44),'SJ Data'!$A$4:$AC$58,11,0))</f>
        <v>0</v>
      </c>
      <c r="AL63" s="292">
        <f>IF(ISERR(VLOOKUP(VALUE(AL$44),'SJ Data'!$A$4:$AC$58,11,0)="TRUE"),0,VLOOKUP(VALUE(AL$44),'SJ Data'!$A$4:$AC$58,11,0))</f>
        <v>0</v>
      </c>
      <c r="AM63" s="292">
        <f>IF(ISERR(VLOOKUP(VALUE(AM$44),'SJ Data'!$A$4:$AC$58,11,0)="TRUE"),0,VLOOKUP(VALUE(AM$44),'SJ Data'!$A$4:$AC$58,11,0))</f>
        <v>0</v>
      </c>
      <c r="AN63" s="292">
        <f>IF(ISERR(VLOOKUP(VALUE(AN$44),'SJ Data'!$A$4:$AC$58,11,0)="TRUE"),0,VLOOKUP(VALUE(AN$44),'SJ Data'!$A$4:$AC$58,11,0))</f>
        <v>0</v>
      </c>
      <c r="AO63" s="292">
        <f>IF(ISERR(VLOOKUP(VALUE(AO$44),'SJ Data'!$A$4:$AC$58,11,0)="TRUE"),0,VLOOKUP(VALUE(AO$44),'SJ Data'!$A$4:$AC$58,11,0))</f>
        <v>0</v>
      </c>
      <c r="AP63" s="292">
        <f>IF(ISERR(VLOOKUP(VALUE(AP$44),'SJ Data'!$A$4:$AC$58,11,0)="TRUE"),0,VLOOKUP(VALUE(AP$44),'SJ Data'!$A$4:$AC$58,11,0))</f>
        <v>0</v>
      </c>
      <c r="AQ63" s="292">
        <f>IF(ISERR(VLOOKUP(VALUE(AQ$44),'SJ Data'!$A$4:$AC$58,11,0)="TRUE"),0,VLOOKUP(VALUE(AQ$44),'SJ Data'!$A$4:$AC$58,11,0))</f>
        <v>0</v>
      </c>
      <c r="AR63" s="292">
        <f>IF(ISERR(VLOOKUP(VALUE(AR$44),'SJ Data'!$A$4:$AC$58,11,0)="TRUE"),0,VLOOKUP(VALUE(AR$44),'SJ Data'!$A$4:$AC$58,11,0))</f>
        <v>17584</v>
      </c>
      <c r="AS63" s="292">
        <f>IF(ISERR(VLOOKUP(VALUE(AS$44),'SJ Data'!$A$4:$AC$58,11,0)="TRUE"),0,VLOOKUP(VALUE(AS$44),'SJ Data'!$A$4:$AC$58,11,0))</f>
        <v>0</v>
      </c>
      <c r="AT63" s="292">
        <f>IF(ISERR(VLOOKUP(VALUE(AT$44),'SJ Data'!$A$4:$AC$58,11,0)="TRUE"),0,VLOOKUP(VALUE(AT$44),'SJ Data'!$A$4:$AC$58,11,0))</f>
        <v>0</v>
      </c>
      <c r="AU63" s="292">
        <f>IF(ISERR(VLOOKUP(VALUE(AU$44),'SJ Data'!$A$4:$AC$58,11,0)="TRUE"),0,VLOOKUP(VALUE(AU$44),'SJ Data'!$A$4:$AC$58,11,0))</f>
        <v>0</v>
      </c>
      <c r="AV63" s="292">
        <f>IF(ISERR(VLOOKUP(VALUE(AV$44),'SJ Data'!$A$4:$AC$58,11,0)="TRUE"),0,VLOOKUP(VALUE(AV$44),'SJ Data'!$A$4:$AC$58,11,0))+'SJ Data'!K56</f>
        <v>8980232.3000000007</v>
      </c>
      <c r="AW63" s="292">
        <f>IF(ISERR(VLOOKUP(VALUE(AW$44),'SJ Data'!$A$4:$AC$58,11,0)="TRUE"),0,VLOOKUP(VALUE(AW$44),'SJ Data'!$A$4:$AC$58,11,0))</f>
        <v>0</v>
      </c>
      <c r="AX63" s="292">
        <f>IF(ISERR(VLOOKUP(VALUE(AX$44),'SJ Data'!$A$4:$AC$58,11,0)="TRUE"),0,VLOOKUP(VALUE(AX$44),'SJ Data'!$A$4:$AC$58,11,0))</f>
        <v>0</v>
      </c>
      <c r="AY63" s="292">
        <f>IF(ISERR(VLOOKUP(VALUE(AY$44),'SJ Data'!$A$4:$AC$58,11,0)="TRUE"),0,VLOOKUP(VALUE(AY$44),'SJ Data'!$A$4:$AC$58,11,0))</f>
        <v>0</v>
      </c>
      <c r="AZ63" s="292">
        <f>IF(ISERR(VLOOKUP(VALUE(AZ$44),'SJ Data'!$A$4:$AC$58,11,0)="TRUE"),0,VLOOKUP(VALUE(AZ$44),'SJ Data'!$A$4:$AC$58,11,0))</f>
        <v>0</v>
      </c>
      <c r="BA63" s="292">
        <f>IF(ISERR(VLOOKUP(VALUE(BA$44),'SJ Data'!$A$4:$AC$58,11,0)="TRUE"),0,VLOOKUP(VALUE(BA$44),'SJ Data'!$A$4:$AC$58,11,0))</f>
        <v>0</v>
      </c>
      <c r="BB63" s="292">
        <f>IF(ISERR(VLOOKUP(VALUE(BB$44),'SJ Data'!$A$4:$AC$58,11,0)="TRUE"),0,VLOOKUP(VALUE(BB$44),'SJ Data'!$A$4:$AC$58,11,0))</f>
        <v>0</v>
      </c>
      <c r="BC63" s="292">
        <f>IF(ISERR(VLOOKUP(VALUE(BC$44),'SJ Data'!$A$4:$AC$58,11,0)="TRUE"),0,VLOOKUP(VALUE(BC$44),'SJ Data'!$A$4:$AC$58,11,0))</f>
        <v>0</v>
      </c>
      <c r="BD63" s="292">
        <f>IF(ISERR(VLOOKUP(VALUE(BD$44),'SJ Data'!$A$4:$AC$58,11,0)="TRUE"),0,VLOOKUP(VALUE(BD$44),'SJ Data'!$A$4:$AC$58,11,0))</f>
        <v>0</v>
      </c>
      <c r="BE63" s="292">
        <f>IF(ISERR(VLOOKUP(VALUE(BE$44),'SJ Data'!$A$4:$AC$58,11,0)="TRUE"),0,VLOOKUP(VALUE(BE$44),'SJ Data'!$A$4:$AC$58,11,0))</f>
        <v>0</v>
      </c>
      <c r="BF63" s="292">
        <f>IF(ISERR(VLOOKUP(VALUE(BF$44),'SJ Data'!$A$4:$AC$58,11,0)="TRUE"),0,VLOOKUP(VALUE(BF$44),'SJ Data'!$A$4:$AC$58,11,0))</f>
        <v>0</v>
      </c>
      <c r="BG63" s="292">
        <f>IF(ISERR(VLOOKUP(VALUE(BG$44),'SJ Data'!$A$4:$AC$58,11,0)="TRUE"),0,VLOOKUP(VALUE(BG$44),'SJ Data'!$A$4:$AC$58,11,0))</f>
        <v>0</v>
      </c>
      <c r="BH63" s="292">
        <f>IF(ISERR(VLOOKUP(VALUE(BH$44),'SJ Data'!$A$4:$AC$58,11,0)="TRUE"),0,VLOOKUP(VALUE(BH$44),'SJ Data'!$A$4:$AC$58,11,0))</f>
        <v>0</v>
      </c>
      <c r="BI63" s="292">
        <f>IF(ISERR(VLOOKUP(VALUE(BI$44),'SJ Data'!$A$4:$AC$58,11,0)="TRUE"),0,VLOOKUP(VALUE(BI$44),'SJ Data'!$A$4:$AC$58,11,0))</f>
        <v>0</v>
      </c>
      <c r="BJ63" s="292">
        <f>IF(ISERR(VLOOKUP(VALUE(BJ$44),'SJ Data'!$A$4:$AC$58,11,0)="TRUE"),0,VLOOKUP(VALUE(BJ$44),'SJ Data'!$A$4:$AC$58,11,0))</f>
        <v>0</v>
      </c>
      <c r="BK63" s="292">
        <f>IF(ISERR(VLOOKUP(VALUE(BK$44),'SJ Data'!$A$4:$AC$58,11,0)="TRUE"),0,VLOOKUP(VALUE(BK$44),'SJ Data'!$A$4:$AC$58,11,0))</f>
        <v>0</v>
      </c>
      <c r="BL63" s="292">
        <f>IF(ISERR(VLOOKUP(VALUE(BL$44),'SJ Data'!$A$4:$AC$58,11,0)="TRUE"),0,VLOOKUP(VALUE(BL$44),'SJ Data'!$A$4:$AC$58,11,0))</f>
        <v>0</v>
      </c>
      <c r="BM63" s="292">
        <f>IF(ISERR(VLOOKUP(VALUE(BM$44),'SJ Data'!$A$4:$AC$58,11,0)="TRUE"),0,VLOOKUP(VALUE(BM$44),'SJ Data'!$A$4:$AC$58,11,0))</f>
        <v>0</v>
      </c>
      <c r="BN63" s="292">
        <f>IF(ISERR(VLOOKUP(VALUE(BN$44),'SJ Data'!$A$4:$AC$58,11,0)="TRUE"),0,VLOOKUP(VALUE(BN$44),'SJ Data'!$A$4:$AC$58,11,0))</f>
        <v>179600</v>
      </c>
      <c r="BO63" s="292">
        <f>IF(ISERR(VLOOKUP(VALUE(BO$44),'SJ Data'!$A$4:$AC$58,11,0)="TRUE"),0,VLOOKUP(VALUE(BO$44),'SJ Data'!$A$4:$AC$58,11,0))</f>
        <v>0</v>
      </c>
      <c r="BP63" s="292">
        <f>IF(ISERR(VLOOKUP(VALUE(BP$44),'SJ Data'!$A$4:$AC$58,11,0)="TRUE"),0,VLOOKUP(VALUE(BP$44),'SJ Data'!$A$4:$AC$58,11,0))</f>
        <v>0</v>
      </c>
      <c r="BQ63" s="292">
        <f>IF(ISERR(VLOOKUP(VALUE(BQ$44),'SJ Data'!$A$4:$AC$58,11,0)="TRUE"),0,VLOOKUP(VALUE(BQ$44),'SJ Data'!$A$4:$AC$58,11,0))</f>
        <v>0</v>
      </c>
      <c r="BR63" s="292">
        <f>IF(ISERR(VLOOKUP(VALUE(BR$44),'SJ Data'!$A$4:$AC$58,11,0)="TRUE"),0,VLOOKUP(VALUE(BR$44),'SJ Data'!$A$4:$AC$58,11,0))</f>
        <v>0</v>
      </c>
      <c r="BS63" s="292">
        <f>IF(ISERR(VLOOKUP(VALUE(BS$44),'SJ Data'!$A$4:$AC$58,11,0)="TRUE"),0,VLOOKUP(VALUE(BS$44),'SJ Data'!$A$4:$AC$58,11,0))</f>
        <v>0</v>
      </c>
      <c r="BT63" s="292">
        <f>IF(ISERR(VLOOKUP(VALUE(BT$44),'SJ Data'!$A$4:$AC$58,11,0)="TRUE"),0,VLOOKUP(VALUE(BT$44),'SJ Data'!$A$4:$AC$58,11,0))</f>
        <v>0</v>
      </c>
      <c r="BU63" s="292">
        <f>IF(ISERR(VLOOKUP(VALUE(BU$44),'SJ Data'!$A$4:$AC$58,11,0)="TRUE"),0,VLOOKUP(VALUE(BU$44),'SJ Data'!$A$4:$AC$58,11,0))</f>
        <v>0</v>
      </c>
      <c r="BV63" s="292">
        <f>IF(ISERR(VLOOKUP(VALUE(BV$44),'SJ Data'!$A$4:$AC$58,11,0)="TRUE"),0,VLOOKUP(VALUE(BV$44),'SJ Data'!$A$4:$AC$58,11,0))</f>
        <v>0</v>
      </c>
      <c r="BW63" s="292">
        <f>IF(ISERR(VLOOKUP(VALUE(BW$44),'SJ Data'!$A$4:$AC$58,11,0)="TRUE"),0,VLOOKUP(VALUE(BW$44),'SJ Data'!$A$4:$AC$58,11,0))</f>
        <v>0</v>
      </c>
      <c r="BX63" s="292">
        <f>IF(ISERR(VLOOKUP(VALUE(BX$44),'SJ Data'!$A$4:$AC$58,11,0)="TRUE"),0,VLOOKUP(VALUE(BX$44),'SJ Data'!$A$4:$AC$58,11,0))</f>
        <v>0</v>
      </c>
      <c r="BY63" s="292">
        <f>IF(ISERR(VLOOKUP(VALUE(BY$44),'SJ Data'!$A$4:$AC$58,11,0)="TRUE"),0,VLOOKUP(VALUE(BY$44),'SJ Data'!$A$4:$AC$58,11,0))</f>
        <v>0</v>
      </c>
      <c r="BZ63" s="292">
        <f>IF(ISERR(VLOOKUP(VALUE(BZ$44),'SJ Data'!$A$4:$AC$58,11,0)="TRUE"),0,VLOOKUP(VALUE(BZ$44),'SJ Data'!$A$4:$AC$58,11,0))</f>
        <v>0</v>
      </c>
      <c r="CA63" s="292">
        <f>IF(ISERR(VLOOKUP(VALUE(CA$44),'SJ Data'!$A$4:$AC$58,11,0)="TRUE"),0,VLOOKUP(VALUE(CA$44),'SJ Data'!$A$4:$AC$58,11,0))</f>
        <v>0</v>
      </c>
      <c r="CB63" s="292">
        <f>IF(ISERR(VLOOKUP(VALUE(CB$44),'SJ Data'!$A$4:$AC$58,11,0)="TRUE"),0,VLOOKUP(VALUE(CB$44),'SJ Data'!$A$4:$AC$58,11,0))</f>
        <v>0</v>
      </c>
      <c r="CC63" s="292">
        <f>IF(ISERR(VLOOKUP(VALUE(CC$44),'SJ Data'!$A$4:$AC$58,11,0)="TRUE"),0,VLOOKUP(VALUE(CC$44),'SJ Data'!$A$4:$AC$58,11,0))</f>
        <v>0</v>
      </c>
      <c r="CD63" s="248" t="s">
        <v>221</v>
      </c>
      <c r="CE63" s="195">
        <f t="shared" si="0"/>
        <v>25913592.530000001</v>
      </c>
      <c r="CF63" s="251"/>
    </row>
    <row r="64" spans="1:84" ht="12.6" customHeight="1" x14ac:dyDescent="0.25">
      <c r="A64" s="171" t="s">
        <v>237</v>
      </c>
      <c r="B64" s="175"/>
      <c r="C64" s="292">
        <f>IF(ISERR(VLOOKUP(VALUE(C$44),'SJ Data'!$A$4:$AC$58,14,0)="TRUE"),0,VLOOKUP(VALUE(C$44),'SJ Data'!$A$4:$AC$58,14,0))</f>
        <v>2416303.7999999998</v>
      </c>
      <c r="D64" s="292">
        <f>IF(ISERR(VLOOKUP(VALUE(D$44),'SJ Data'!$A$4:$AC$58,14,0)="TRUE"),0,VLOOKUP(VALUE(D$44),'SJ Data'!$A$4:$AC$58,14,0))</f>
        <v>0</v>
      </c>
      <c r="E64" s="292">
        <f>IF(ISERR(VLOOKUP(VALUE(E$44),'SJ Data'!$A$4:$AC$58,14,0)="TRUE"),0,VLOOKUP(VALUE(E$44),'SJ Data'!$A$4:$AC$58,14,0))</f>
        <v>2683865.8200000003</v>
      </c>
      <c r="F64" s="292">
        <f>IF(ISERR(VLOOKUP(VALUE(F$44),'SJ Data'!$A$4:$AC$58,14,0)="TRUE"),0,VLOOKUP(VALUE(F$44),'SJ Data'!$A$4:$AC$58,14,0))</f>
        <v>0</v>
      </c>
      <c r="G64" s="292">
        <f>IF(ISERR(VLOOKUP(VALUE(G$44),'SJ Data'!$A$4:$AC$58,14,0)="TRUE"),0,VLOOKUP(VALUE(G$44),'SJ Data'!$A$4:$AC$58,14,0))</f>
        <v>147429.62</v>
      </c>
      <c r="H64" s="292">
        <f>IF(ISERR(VLOOKUP(VALUE(H$44),'SJ Data'!$A$4:$AC$58,14,0)="TRUE"),0,VLOOKUP(VALUE(H$44),'SJ Data'!$A$4:$AC$58,14,0))</f>
        <v>60666.749999999993</v>
      </c>
      <c r="I64" s="292">
        <f>IF(ISERR(VLOOKUP(VALUE(I$44),'SJ Data'!$A$4:$AC$58,14,0)="TRUE"),0,VLOOKUP(VALUE(I$44),'SJ Data'!$A$4:$AC$58,14,0))</f>
        <v>0</v>
      </c>
      <c r="J64" s="292">
        <f>IF(ISERR(VLOOKUP(VALUE(J$44),'SJ Data'!$A$4:$AC$58,14,0)="TRUE"),0,VLOOKUP(VALUE(J$44),'SJ Data'!$A$4:$AC$58,14,0))</f>
        <v>673961.81</v>
      </c>
      <c r="K64" s="292">
        <f>IF(ISERR(VLOOKUP(VALUE(K$44),'SJ Data'!$A$4:$AC$58,14,0)="TRUE"),0,VLOOKUP(VALUE(K$44),'SJ Data'!$A$4:$AC$58,14,0))</f>
        <v>0</v>
      </c>
      <c r="L64" s="292">
        <f>IF(ISERR(VLOOKUP(VALUE(L$44),'SJ Data'!$A$4:$AC$58,14,0)="TRUE"),0,VLOOKUP(VALUE(L$44),'SJ Data'!$A$4:$AC$58,14,0))</f>
        <v>0</v>
      </c>
      <c r="M64" s="292">
        <f>IF(ISERR(VLOOKUP(VALUE(M$44),'SJ Data'!$A$4:$AC$58,14,0)="TRUE"),0,VLOOKUP(VALUE(M$44),'SJ Data'!$A$4:$AC$58,14,0))</f>
        <v>0</v>
      </c>
      <c r="N64" s="292">
        <f>IF(ISERR(VLOOKUP(VALUE(N$44),'SJ Data'!$A$4:$AC$58,14,0)="TRUE"),0,VLOOKUP(VALUE(N$44),'SJ Data'!$A$4:$AC$58,14,0))</f>
        <v>0</v>
      </c>
      <c r="O64" s="292">
        <f>IF(ISERR(VLOOKUP(VALUE(O$44),'SJ Data'!$A$4:$AC$58,14,0)="TRUE"),0,VLOOKUP(VALUE(O$44),'SJ Data'!$A$4:$AC$58,14,0))</f>
        <v>1292791.4500000002</v>
      </c>
      <c r="P64" s="292">
        <f>IF(ISERR(VLOOKUP(VALUE(P$44),'SJ Data'!$A$4:$AC$58,14,0)="TRUE"),0,VLOOKUP(VALUE(P$44),'SJ Data'!$A$4:$AC$58,14,0))</f>
        <v>52753132.38000001</v>
      </c>
      <c r="Q64" s="292">
        <f>IF(ISERR(VLOOKUP(VALUE(Q$44),'SJ Data'!$A$4:$AC$58,14,0)="TRUE"),0,VLOOKUP(VALUE(Q$44),'SJ Data'!$A$4:$AC$58,14,0))</f>
        <v>122161.23999999999</v>
      </c>
      <c r="R64" s="292">
        <f>IF(ISERR(VLOOKUP(VALUE(R$44),'SJ Data'!$A$4:$AC$58,14,0)="TRUE"),0,VLOOKUP(VALUE(R$44),'SJ Data'!$A$4:$AC$58,14,0))</f>
        <v>0</v>
      </c>
      <c r="S64" s="292">
        <f>IF(ISERR(VLOOKUP(VALUE(S$44),'SJ Data'!$A$4:$AC$58,14,0)="TRUE"),0,VLOOKUP(VALUE(S$44),'SJ Data'!$A$4:$AC$58,14,0))</f>
        <v>466248.2200000002</v>
      </c>
      <c r="T64" s="292">
        <f>IF(ISERR(VLOOKUP(VALUE(T$44),'SJ Data'!$A$4:$AC$58,14,0)="TRUE"),0,VLOOKUP(VALUE(T$44),'SJ Data'!$A$4:$AC$58,14,0))</f>
        <v>1020942.45</v>
      </c>
      <c r="U64" s="292">
        <f>IF(ISERR(VLOOKUP(VALUE(U$44),'SJ Data'!$A$4:$AC$58,14,0)="TRUE"),0,VLOOKUP(VALUE(U$44),'SJ Data'!$A$4:$AC$58,14,0))</f>
        <v>7877521.3200000003</v>
      </c>
      <c r="V64" s="292">
        <f>IF(ISERR(VLOOKUP(VALUE(V$44),'SJ Data'!$A$4:$AC$58,14,0)="TRUE"),0,VLOOKUP(VALUE(V$44),'SJ Data'!$A$4:$AC$58,14,0))</f>
        <v>5213392.72</v>
      </c>
      <c r="W64" s="292">
        <f>IF(ISERR(VLOOKUP(VALUE(W$44),'SJ Data'!$A$4:$AC$58,14,0)="TRUE"),0,VLOOKUP(VALUE(W$44),'SJ Data'!$A$4:$AC$58,14,0))</f>
        <v>0</v>
      </c>
      <c r="X64" s="292">
        <f>IF(ISERR(VLOOKUP(VALUE(X$44),'SJ Data'!$A$4:$AC$58,14,0)="TRUE"),0,VLOOKUP(VALUE(X$44),'SJ Data'!$A$4:$AC$58,14,0))</f>
        <v>274245.77</v>
      </c>
      <c r="Y64" s="292">
        <f>IF(ISERR(VLOOKUP(VALUE(Y$44),'SJ Data'!$A$4:$AC$58,14,0)="TRUE"),0,VLOOKUP(VALUE(Y$44),'SJ Data'!$A$4:$AC$58,14,0))</f>
        <v>4185559.3699999996</v>
      </c>
      <c r="Z64" s="292">
        <f>IF(ISERR(VLOOKUP(VALUE(Z$44),'SJ Data'!$A$4:$AC$58,14,0)="TRUE"),0,VLOOKUP(VALUE(Z$44),'SJ Data'!$A$4:$AC$58,14,0))</f>
        <v>0</v>
      </c>
      <c r="AA64" s="292">
        <f>IF(ISERR(VLOOKUP(VALUE(AA$44),'SJ Data'!$A$4:$AC$58,14,0)="TRUE"),0,VLOOKUP(VALUE(AA$44),'SJ Data'!$A$4:$AC$58,14,0))</f>
        <v>707464.38</v>
      </c>
      <c r="AB64" s="292">
        <f>IF(ISERR(VLOOKUP(VALUE(AB$44),'SJ Data'!$A$4:$AC$58,14,0)="TRUE"),0,VLOOKUP(VALUE(AB$44),'SJ Data'!$A$4:$AC$58,14,0))</f>
        <v>15674384.509999998</v>
      </c>
      <c r="AC64" s="292">
        <f>IF(ISERR(VLOOKUP(VALUE(AC$44),'SJ Data'!$A$4:$AC$58,14,0)="TRUE"),0,VLOOKUP(VALUE(AC$44),'SJ Data'!$A$4:$AC$58,14,0))</f>
        <v>754621.34</v>
      </c>
      <c r="AD64" s="292">
        <f>IF(ISERR(VLOOKUP(VALUE(AD$44),'SJ Data'!$A$4:$AC$58,14,0)="TRUE"),0,VLOOKUP(VALUE(AD$44),'SJ Data'!$A$4:$AC$58,14,0))</f>
        <v>336008.63999999996</v>
      </c>
      <c r="AE64" s="292">
        <f>IF(ISERR(VLOOKUP(VALUE(AE$44),'SJ Data'!$A$4:$AC$58,14,0)="TRUE"),0,VLOOKUP(VALUE(AE$44),'SJ Data'!$A$4:$AC$58,14,0))</f>
        <v>49262.44</v>
      </c>
      <c r="AF64" s="292">
        <f>IF(ISERR(VLOOKUP(VALUE(AF$44),'SJ Data'!$A$4:$AC$58,14,0)="TRUE"),0,VLOOKUP(VALUE(AF$44),'SJ Data'!$A$4:$AC$58,14,0))</f>
        <v>0</v>
      </c>
      <c r="AG64" s="292">
        <f>IF(ISERR(VLOOKUP(VALUE(AG$44),'SJ Data'!$A$4:$AC$58,14,0)="TRUE"),0,VLOOKUP(VALUE(AG$44),'SJ Data'!$A$4:$AC$58,14,0))</f>
        <v>1701627.33</v>
      </c>
      <c r="AH64" s="292">
        <f>IF(ISERR(VLOOKUP(VALUE(AH$44),'SJ Data'!$A$4:$AC$58,14,0)="TRUE"),0,VLOOKUP(VALUE(AH$44),'SJ Data'!$A$4:$AC$58,14,0))</f>
        <v>0</v>
      </c>
      <c r="AI64" s="292">
        <f>IF(ISERR(VLOOKUP(VALUE(AI$44),'SJ Data'!$A$4:$AC$58,14,0)="TRUE"),0,VLOOKUP(VALUE(AI$44),'SJ Data'!$A$4:$AC$58,14,0))</f>
        <v>802285.16999999993</v>
      </c>
      <c r="AJ64" s="292">
        <f>IF(ISERR(VLOOKUP(VALUE(AJ$44),'SJ Data'!$A$4:$AC$58,14,0)="TRUE"),0,VLOOKUP(VALUE(AJ$44),'SJ Data'!$A$4:$AC$58,14,0))</f>
        <v>1198512.01</v>
      </c>
      <c r="AK64" s="292">
        <f>IF(ISERR(VLOOKUP(VALUE(AK$44),'SJ Data'!$A$4:$AC$58,14,0)="TRUE"),0,VLOOKUP(VALUE(AK$44),'SJ Data'!$A$4:$AC$58,14,0))</f>
        <v>5740.87</v>
      </c>
      <c r="AL64" s="292">
        <f>IF(ISERR(VLOOKUP(VALUE(AL$44),'SJ Data'!$A$4:$AC$58,14,0)="TRUE"),0,VLOOKUP(VALUE(AL$44),'SJ Data'!$A$4:$AC$58,14,0))</f>
        <v>139.75</v>
      </c>
      <c r="AM64" s="292">
        <f>IF(ISERR(VLOOKUP(VALUE(AM$44),'SJ Data'!$A$4:$AC$58,14,0)="TRUE"),0,VLOOKUP(VALUE(AM$44),'SJ Data'!$A$4:$AC$58,14,0))</f>
        <v>0</v>
      </c>
      <c r="AN64" s="292">
        <f>IF(ISERR(VLOOKUP(VALUE(AN$44),'SJ Data'!$A$4:$AC$58,14,0)="TRUE"),0,VLOOKUP(VALUE(AN$44),'SJ Data'!$A$4:$AC$58,14,0))</f>
        <v>0</v>
      </c>
      <c r="AO64" s="292">
        <f>IF(ISERR(VLOOKUP(VALUE(AO$44),'SJ Data'!$A$4:$AC$58,14,0)="TRUE"),0,VLOOKUP(VALUE(AO$44),'SJ Data'!$A$4:$AC$58,14,0))</f>
        <v>0</v>
      </c>
      <c r="AP64" s="292">
        <f>IF(ISERR(VLOOKUP(VALUE(AP$44),'SJ Data'!$A$4:$AC$58,14,0)="TRUE"),0,VLOOKUP(VALUE(AP$44),'SJ Data'!$A$4:$AC$58,14,0))</f>
        <v>65341.03</v>
      </c>
      <c r="AQ64" s="292">
        <f>IF(ISERR(VLOOKUP(VALUE(AQ$44),'SJ Data'!$A$4:$AC$58,14,0)="TRUE"),0,VLOOKUP(VALUE(AQ$44),'SJ Data'!$A$4:$AC$58,14,0))</f>
        <v>0</v>
      </c>
      <c r="AR64" s="292">
        <f>IF(ISERR(VLOOKUP(VALUE(AR$44),'SJ Data'!$A$4:$AC$58,14,0)="TRUE"),0,VLOOKUP(VALUE(AR$44),'SJ Data'!$A$4:$AC$58,14,0))</f>
        <v>1407726.85</v>
      </c>
      <c r="AS64" s="292">
        <f>IF(ISERR(VLOOKUP(VALUE(AS$44),'SJ Data'!$A$4:$AC$58,14,0)="TRUE"),0,VLOOKUP(VALUE(AS$44),'SJ Data'!$A$4:$AC$58,14,0))</f>
        <v>0</v>
      </c>
      <c r="AT64" s="292">
        <f>IF(ISERR(VLOOKUP(VALUE(AT$44),'SJ Data'!$A$4:$AC$58,14,0)="TRUE"),0,VLOOKUP(VALUE(AT$44),'SJ Data'!$A$4:$AC$58,14,0))</f>
        <v>0</v>
      </c>
      <c r="AU64" s="292">
        <f>IF(ISERR(VLOOKUP(VALUE(AU$44),'SJ Data'!$A$4:$AC$58,14,0)="TRUE"),0,VLOOKUP(VALUE(AU$44),'SJ Data'!$A$4:$AC$58,14,0))</f>
        <v>0</v>
      </c>
      <c r="AV64" s="292">
        <f>IF(ISERR(VLOOKUP(VALUE(AV$44),'SJ Data'!$A$4:$AC$58,14,0)="TRUE"),0,VLOOKUP(VALUE(AV$44),'SJ Data'!$A$4:$AC$58,14,0))+'SJ Data'!N56</f>
        <v>-554340.69999999995</v>
      </c>
      <c r="AW64" s="292">
        <f>IF(ISERR(VLOOKUP(VALUE(AW$44),'SJ Data'!$A$4:$AC$58,14,0)="TRUE"),0,VLOOKUP(VALUE(AW$44),'SJ Data'!$A$4:$AC$58,14,0))</f>
        <v>0</v>
      </c>
      <c r="AX64" s="292">
        <f>IF(ISERR(VLOOKUP(VALUE(AX$44),'SJ Data'!$A$4:$AC$58,14,0)="TRUE"),0,VLOOKUP(VALUE(AX$44),'SJ Data'!$A$4:$AC$58,14,0))</f>
        <v>0</v>
      </c>
      <c r="AY64" s="292">
        <f>IF(ISERR(VLOOKUP(VALUE(AY$44),'SJ Data'!$A$4:$AC$58,14,0)="TRUE"),0,VLOOKUP(VALUE(AY$44),'SJ Data'!$A$4:$AC$58,14,0))</f>
        <v>0</v>
      </c>
      <c r="AZ64" s="292">
        <f>IF(ISERR(VLOOKUP(VALUE(AZ$44),'SJ Data'!$A$4:$AC$58,14,0)="TRUE"),0,VLOOKUP(VALUE(AZ$44),'SJ Data'!$A$4:$AC$58,14,0))</f>
        <v>2866187.1599999992</v>
      </c>
      <c r="BA64" s="292">
        <f>IF(ISERR(VLOOKUP(VALUE(BA$44),'SJ Data'!$A$4:$AC$58,14,0)="TRUE"),0,VLOOKUP(VALUE(BA$44),'SJ Data'!$A$4:$AC$58,14,0))</f>
        <v>10349.48</v>
      </c>
      <c r="BB64" s="292">
        <f>IF(ISERR(VLOOKUP(VALUE(BB$44),'SJ Data'!$A$4:$AC$58,14,0)="TRUE"),0,VLOOKUP(VALUE(BB$44),'SJ Data'!$A$4:$AC$58,14,0))</f>
        <v>0</v>
      </c>
      <c r="BC64" s="292">
        <f>IF(ISERR(VLOOKUP(VALUE(BC$44),'SJ Data'!$A$4:$AC$58,14,0)="TRUE"),0,VLOOKUP(VALUE(BC$44),'SJ Data'!$A$4:$AC$58,14,0))</f>
        <v>16191.86</v>
      </c>
      <c r="BD64" s="292">
        <f>IF(ISERR(VLOOKUP(VALUE(BD$44),'SJ Data'!$A$4:$AC$58,14,0)="TRUE"),0,VLOOKUP(VALUE(BD$44),'SJ Data'!$A$4:$AC$58,14,0))</f>
        <v>0</v>
      </c>
      <c r="BE64" s="292">
        <f>IF(ISERR(VLOOKUP(VALUE(BE$44),'SJ Data'!$A$4:$AC$58,14,0)="TRUE"),0,VLOOKUP(VALUE(BE$44),'SJ Data'!$A$4:$AC$58,14,0))</f>
        <v>44087.729999999996</v>
      </c>
      <c r="BF64" s="292">
        <f>IF(ISERR(VLOOKUP(VALUE(BF$44),'SJ Data'!$A$4:$AC$58,14,0)="TRUE"),0,VLOOKUP(VALUE(BF$44),'SJ Data'!$A$4:$AC$58,14,0))</f>
        <v>547683.61999999988</v>
      </c>
      <c r="BG64" s="292">
        <f>IF(ISERR(VLOOKUP(VALUE(BG$44),'SJ Data'!$A$4:$AC$58,14,0)="TRUE"),0,VLOOKUP(VALUE(BG$44),'SJ Data'!$A$4:$AC$58,14,0))</f>
        <v>0</v>
      </c>
      <c r="BH64" s="292">
        <f>IF(ISERR(VLOOKUP(VALUE(BH$44),'SJ Data'!$A$4:$AC$58,14,0)="TRUE"),0,VLOOKUP(VALUE(BH$44),'SJ Data'!$A$4:$AC$58,14,0))</f>
        <v>0</v>
      </c>
      <c r="BI64" s="292">
        <f>IF(ISERR(VLOOKUP(VALUE(BI$44),'SJ Data'!$A$4:$AC$58,14,0)="TRUE"),0,VLOOKUP(VALUE(BI$44),'SJ Data'!$A$4:$AC$58,14,0))</f>
        <v>262532.34000000003</v>
      </c>
      <c r="BJ64" s="292">
        <f>IF(ISERR(VLOOKUP(VALUE(BJ$44),'SJ Data'!$A$4:$AC$58,14,0)="TRUE"),0,VLOOKUP(VALUE(BJ$44),'SJ Data'!$A$4:$AC$58,14,0))</f>
        <v>0</v>
      </c>
      <c r="BK64" s="292">
        <f>IF(ISERR(VLOOKUP(VALUE(BK$44),'SJ Data'!$A$4:$AC$58,14,0)="TRUE"),0,VLOOKUP(VALUE(BK$44),'SJ Data'!$A$4:$AC$58,14,0))</f>
        <v>0</v>
      </c>
      <c r="BL64" s="292">
        <f>IF(ISERR(VLOOKUP(VALUE(BL$44),'SJ Data'!$A$4:$AC$58,14,0)="TRUE"),0,VLOOKUP(VALUE(BL$44),'SJ Data'!$A$4:$AC$58,14,0))</f>
        <v>25614.140000000007</v>
      </c>
      <c r="BM64" s="292">
        <f>IF(ISERR(VLOOKUP(VALUE(BM$44),'SJ Data'!$A$4:$AC$58,14,0)="TRUE"),0,VLOOKUP(VALUE(BM$44),'SJ Data'!$A$4:$AC$58,14,0))</f>
        <v>0</v>
      </c>
      <c r="BN64" s="292">
        <f>IF(ISERR(VLOOKUP(VALUE(BN$44),'SJ Data'!$A$4:$AC$58,14,0)="TRUE"),0,VLOOKUP(VALUE(BN$44),'SJ Data'!$A$4:$AC$58,14,0))</f>
        <v>-5920.8599999999869</v>
      </c>
      <c r="BO64" s="292">
        <f>IF(ISERR(VLOOKUP(VALUE(BO$44),'SJ Data'!$A$4:$AC$58,14,0)="TRUE"),0,VLOOKUP(VALUE(BO$44),'SJ Data'!$A$4:$AC$58,14,0))</f>
        <v>0</v>
      </c>
      <c r="BP64" s="292">
        <f>IF(ISERR(VLOOKUP(VALUE(BP$44),'SJ Data'!$A$4:$AC$58,14,0)="TRUE"),0,VLOOKUP(VALUE(BP$44),'SJ Data'!$A$4:$AC$58,14,0))</f>
        <v>0</v>
      </c>
      <c r="BQ64" s="292">
        <f>IF(ISERR(VLOOKUP(VALUE(BQ$44),'SJ Data'!$A$4:$AC$58,14,0)="TRUE"),0,VLOOKUP(VALUE(BQ$44),'SJ Data'!$A$4:$AC$58,14,0))</f>
        <v>0</v>
      </c>
      <c r="BR64" s="292">
        <f>IF(ISERR(VLOOKUP(VALUE(BR$44),'SJ Data'!$A$4:$AC$58,14,0)="TRUE"),0,VLOOKUP(VALUE(BR$44),'SJ Data'!$A$4:$AC$58,14,0))</f>
        <v>0</v>
      </c>
      <c r="BS64" s="292">
        <f>IF(ISERR(VLOOKUP(VALUE(BS$44),'SJ Data'!$A$4:$AC$58,14,0)="TRUE"),0,VLOOKUP(VALUE(BS$44),'SJ Data'!$A$4:$AC$58,14,0))</f>
        <v>0</v>
      </c>
      <c r="BT64" s="292">
        <f>IF(ISERR(VLOOKUP(VALUE(BT$44),'SJ Data'!$A$4:$AC$58,14,0)="TRUE"),0,VLOOKUP(VALUE(BT$44),'SJ Data'!$A$4:$AC$58,14,0))</f>
        <v>320.71999999999997</v>
      </c>
      <c r="BU64" s="292">
        <f>IF(ISERR(VLOOKUP(VALUE(BU$44),'SJ Data'!$A$4:$AC$58,14,0)="TRUE"),0,VLOOKUP(VALUE(BU$44),'SJ Data'!$A$4:$AC$58,14,0))</f>
        <v>0</v>
      </c>
      <c r="BV64" s="292">
        <f>IF(ISERR(VLOOKUP(VALUE(BV$44),'SJ Data'!$A$4:$AC$58,14,0)="TRUE"),0,VLOOKUP(VALUE(BV$44),'SJ Data'!$A$4:$AC$58,14,0))</f>
        <v>0</v>
      </c>
      <c r="BW64" s="292">
        <f>IF(ISERR(VLOOKUP(VALUE(BW$44),'SJ Data'!$A$4:$AC$58,14,0)="TRUE"),0,VLOOKUP(VALUE(BW$44),'SJ Data'!$A$4:$AC$58,14,0))</f>
        <v>0</v>
      </c>
      <c r="BX64" s="292">
        <f>IF(ISERR(VLOOKUP(VALUE(BX$44),'SJ Data'!$A$4:$AC$58,14,0)="TRUE"),0,VLOOKUP(VALUE(BX$44),'SJ Data'!$A$4:$AC$58,14,0))</f>
        <v>0</v>
      </c>
      <c r="BY64" s="292">
        <f>IF(ISERR(VLOOKUP(VALUE(BY$44),'SJ Data'!$A$4:$AC$58,14,0)="TRUE"),0,VLOOKUP(VALUE(BY$44),'SJ Data'!$A$4:$AC$58,14,0))</f>
        <v>3437.8399999999997</v>
      </c>
      <c r="BZ64" s="292">
        <f>IF(ISERR(VLOOKUP(VALUE(BZ$44),'SJ Data'!$A$4:$AC$58,14,0)="TRUE"),0,VLOOKUP(VALUE(BZ$44),'SJ Data'!$A$4:$AC$58,14,0))</f>
        <v>0</v>
      </c>
      <c r="CA64" s="292">
        <f>IF(ISERR(VLOOKUP(VALUE(CA$44),'SJ Data'!$A$4:$AC$58,14,0)="TRUE"),0,VLOOKUP(VALUE(CA$44),'SJ Data'!$A$4:$AC$58,14,0))</f>
        <v>0</v>
      </c>
      <c r="CB64" s="292">
        <f>IF(ISERR(VLOOKUP(VALUE(CB$44),'SJ Data'!$A$4:$AC$58,14,0)="TRUE"),0,VLOOKUP(VALUE(CB$44),'SJ Data'!$A$4:$AC$58,14,0))</f>
        <v>4363.8</v>
      </c>
      <c r="CC64" s="292">
        <f>IF(ISERR(VLOOKUP(VALUE(CC$44),'SJ Data'!$A$4:$AC$58,14,0)="TRUE"),0,VLOOKUP(VALUE(CC$44),'SJ Data'!$A$4:$AC$58,14,0))</f>
        <v>6367.89</v>
      </c>
      <c r="CD64" s="248" t="s">
        <v>221</v>
      </c>
      <c r="CE64" s="195">
        <f t="shared" si="0"/>
        <v>105118212.06000003</v>
      </c>
      <c r="CF64" s="251"/>
    </row>
    <row r="65" spans="1:84" ht="12.6" customHeight="1" x14ac:dyDescent="0.25">
      <c r="A65" s="171" t="s">
        <v>238</v>
      </c>
      <c r="B65" s="175"/>
      <c r="C65" s="292">
        <f>IF(ISERR(VLOOKUP(VALUE(C$44),'SJ Data'!$A$4:$AC$58,12,0)="TRUE"),0,VLOOKUP(VALUE(C$44),'SJ Data'!$A$4:$AC$58,12,0))</f>
        <v>3326.1800000000003</v>
      </c>
      <c r="D65" s="292">
        <f>IF(ISERR(VLOOKUP(VALUE(D$44),'SJ Data'!$A$4:$AC$58,12,0)="TRUE"),0,VLOOKUP(VALUE(D$44),'SJ Data'!$A$4:$AC$58,12,0))</f>
        <v>0</v>
      </c>
      <c r="E65" s="292">
        <f>IF(ISERR(VLOOKUP(VALUE(E$44),'SJ Data'!$A$4:$AC$58,12,0)="TRUE"),0,VLOOKUP(VALUE(E$44),'SJ Data'!$A$4:$AC$58,12,0))</f>
        <v>5776.5399999999991</v>
      </c>
      <c r="F65" s="292">
        <f>IF(ISERR(VLOOKUP(VALUE(F$44),'SJ Data'!$A$4:$AC$58,12,0)="TRUE"),0,VLOOKUP(VALUE(F$44),'SJ Data'!$A$4:$AC$58,12,0))</f>
        <v>0</v>
      </c>
      <c r="G65" s="292">
        <f>IF(ISERR(VLOOKUP(VALUE(G$44),'SJ Data'!$A$4:$AC$58,12,0)="TRUE"),0,VLOOKUP(VALUE(G$44),'SJ Data'!$A$4:$AC$58,12,0))</f>
        <v>724.05</v>
      </c>
      <c r="H65" s="292">
        <f>IF(ISERR(VLOOKUP(VALUE(H$44),'SJ Data'!$A$4:$AC$58,12,0)="TRUE"),0,VLOOKUP(VALUE(H$44),'SJ Data'!$A$4:$AC$58,12,0))</f>
        <v>1164.43</v>
      </c>
      <c r="I65" s="292">
        <f>IF(ISERR(VLOOKUP(VALUE(I$44),'SJ Data'!$A$4:$AC$58,12,0)="TRUE"),0,VLOOKUP(VALUE(I$44),'SJ Data'!$A$4:$AC$58,12,0))</f>
        <v>0</v>
      </c>
      <c r="J65" s="292">
        <f>IF(ISERR(VLOOKUP(VALUE(J$44),'SJ Data'!$A$4:$AC$58,12,0)="TRUE"),0,VLOOKUP(VALUE(J$44),'SJ Data'!$A$4:$AC$58,12,0))</f>
        <v>1614.56</v>
      </c>
      <c r="K65" s="292">
        <f>IF(ISERR(VLOOKUP(VALUE(K$44),'SJ Data'!$A$4:$AC$58,12,0)="TRUE"),0,VLOOKUP(VALUE(K$44),'SJ Data'!$A$4:$AC$58,12,0))</f>
        <v>0</v>
      </c>
      <c r="L65" s="292">
        <f>IF(ISERR(VLOOKUP(VALUE(L$44),'SJ Data'!$A$4:$AC$58,12,0)="TRUE"),0,VLOOKUP(VALUE(L$44),'SJ Data'!$A$4:$AC$58,12,0))</f>
        <v>0</v>
      </c>
      <c r="M65" s="292">
        <f>IF(ISERR(VLOOKUP(VALUE(M$44),'SJ Data'!$A$4:$AC$58,12,0)="TRUE"),0,VLOOKUP(VALUE(M$44),'SJ Data'!$A$4:$AC$58,12,0))</f>
        <v>0</v>
      </c>
      <c r="N65" s="292">
        <f>IF(ISERR(VLOOKUP(VALUE(N$44),'SJ Data'!$A$4:$AC$58,12,0)="TRUE"),0,VLOOKUP(VALUE(N$44),'SJ Data'!$A$4:$AC$58,12,0))</f>
        <v>0</v>
      </c>
      <c r="O65" s="292">
        <f>IF(ISERR(VLOOKUP(VALUE(O$44),'SJ Data'!$A$4:$AC$58,12,0)="TRUE"),0,VLOOKUP(VALUE(O$44),'SJ Data'!$A$4:$AC$58,12,0))</f>
        <v>3503.5699999999997</v>
      </c>
      <c r="P65" s="292">
        <f>IF(ISERR(VLOOKUP(VALUE(P$44),'SJ Data'!$A$4:$AC$58,12,0)="TRUE"),0,VLOOKUP(VALUE(P$44),'SJ Data'!$A$4:$AC$58,12,0))</f>
        <v>11950.69</v>
      </c>
      <c r="Q65" s="292">
        <f>IF(ISERR(VLOOKUP(VALUE(Q$44),'SJ Data'!$A$4:$AC$58,12,0)="TRUE"),0,VLOOKUP(VALUE(Q$44),'SJ Data'!$A$4:$AC$58,12,0))</f>
        <v>907.07999999999993</v>
      </c>
      <c r="R65" s="292">
        <f>IF(ISERR(VLOOKUP(VALUE(R$44),'SJ Data'!$A$4:$AC$58,12,0)="TRUE"),0,VLOOKUP(VALUE(R$44),'SJ Data'!$A$4:$AC$58,12,0))</f>
        <v>0</v>
      </c>
      <c r="S65" s="292">
        <f>IF(ISERR(VLOOKUP(VALUE(S$44),'SJ Data'!$A$4:$AC$58,12,0)="TRUE"),0,VLOOKUP(VALUE(S$44),'SJ Data'!$A$4:$AC$58,12,0))</f>
        <v>0</v>
      </c>
      <c r="T65" s="292">
        <f>IF(ISERR(VLOOKUP(VALUE(T$44),'SJ Data'!$A$4:$AC$58,12,0)="TRUE"),0,VLOOKUP(VALUE(T$44),'SJ Data'!$A$4:$AC$58,12,0))</f>
        <v>749.96</v>
      </c>
      <c r="U65" s="292">
        <f>IF(ISERR(VLOOKUP(VALUE(U$44),'SJ Data'!$A$4:$AC$58,12,0)="TRUE"),0,VLOOKUP(VALUE(U$44),'SJ Data'!$A$4:$AC$58,12,0))</f>
        <v>215143.92</v>
      </c>
      <c r="V65" s="292">
        <f>IF(ISERR(VLOOKUP(VALUE(V$44),'SJ Data'!$A$4:$AC$58,12,0)="TRUE"),0,VLOOKUP(VALUE(V$44),'SJ Data'!$A$4:$AC$58,12,0))</f>
        <v>0</v>
      </c>
      <c r="W65" s="292">
        <f>IF(ISERR(VLOOKUP(VALUE(W$44),'SJ Data'!$A$4:$AC$58,12,0)="TRUE"),0,VLOOKUP(VALUE(W$44),'SJ Data'!$A$4:$AC$58,12,0))</f>
        <v>0</v>
      </c>
      <c r="X65" s="292">
        <f>IF(ISERR(VLOOKUP(VALUE(X$44),'SJ Data'!$A$4:$AC$58,12,0)="TRUE"),0,VLOOKUP(VALUE(X$44),'SJ Data'!$A$4:$AC$58,12,0))</f>
        <v>414.62</v>
      </c>
      <c r="Y65" s="292">
        <f>IF(ISERR(VLOOKUP(VALUE(Y$44),'SJ Data'!$A$4:$AC$58,12,0)="TRUE"),0,VLOOKUP(VALUE(Y$44),'SJ Data'!$A$4:$AC$58,12,0))</f>
        <v>6140.64</v>
      </c>
      <c r="Z65" s="292">
        <f>IF(ISERR(VLOOKUP(VALUE(Z$44),'SJ Data'!$A$4:$AC$58,12,0)="TRUE"),0,VLOOKUP(VALUE(Z$44),'SJ Data'!$A$4:$AC$58,12,0))</f>
        <v>0</v>
      </c>
      <c r="AA65" s="292">
        <f>IF(ISERR(VLOOKUP(VALUE(AA$44),'SJ Data'!$A$4:$AC$58,12,0)="TRUE"),0,VLOOKUP(VALUE(AA$44),'SJ Data'!$A$4:$AC$58,12,0))</f>
        <v>0</v>
      </c>
      <c r="AB65" s="292">
        <f>IF(ISERR(VLOOKUP(VALUE(AB$44),'SJ Data'!$A$4:$AC$58,12,0)="TRUE"),0,VLOOKUP(VALUE(AB$44),'SJ Data'!$A$4:$AC$58,12,0))</f>
        <v>6652.24</v>
      </c>
      <c r="AC65" s="292">
        <f>IF(ISERR(VLOOKUP(VALUE(AC$44),'SJ Data'!$A$4:$AC$58,12,0)="TRUE"),0,VLOOKUP(VALUE(AC$44),'SJ Data'!$A$4:$AC$58,12,0))</f>
        <v>817.22</v>
      </c>
      <c r="AD65" s="292">
        <f>IF(ISERR(VLOOKUP(VALUE(AD$44),'SJ Data'!$A$4:$AC$58,12,0)="TRUE"),0,VLOOKUP(VALUE(AD$44),'SJ Data'!$A$4:$AC$58,12,0))</f>
        <v>10582.7</v>
      </c>
      <c r="AE65" s="292">
        <f>IF(ISERR(VLOOKUP(VALUE(AE$44),'SJ Data'!$A$4:$AC$58,12,0)="TRUE"),0,VLOOKUP(VALUE(AE$44),'SJ Data'!$A$4:$AC$58,12,0))</f>
        <v>1676.57</v>
      </c>
      <c r="AF65" s="292">
        <f>IF(ISERR(VLOOKUP(VALUE(AF$44),'SJ Data'!$A$4:$AC$58,12,0)="TRUE"),0,VLOOKUP(VALUE(AF$44),'SJ Data'!$A$4:$AC$58,12,0))</f>
        <v>0</v>
      </c>
      <c r="AG65" s="292">
        <f>IF(ISERR(VLOOKUP(VALUE(AG$44),'SJ Data'!$A$4:$AC$58,12,0)="TRUE"),0,VLOOKUP(VALUE(AG$44),'SJ Data'!$A$4:$AC$58,12,0))</f>
        <v>2003.81</v>
      </c>
      <c r="AH65" s="292">
        <f>IF(ISERR(VLOOKUP(VALUE(AH$44),'SJ Data'!$A$4:$AC$58,12,0)="TRUE"),0,VLOOKUP(VALUE(AH$44),'SJ Data'!$A$4:$AC$58,12,0))</f>
        <v>0</v>
      </c>
      <c r="AI65" s="292">
        <f>IF(ISERR(VLOOKUP(VALUE(AI$44),'SJ Data'!$A$4:$AC$58,12,0)="TRUE"),0,VLOOKUP(VALUE(AI$44),'SJ Data'!$A$4:$AC$58,12,0))</f>
        <v>2370.52</v>
      </c>
      <c r="AJ65" s="292">
        <f>IF(ISERR(VLOOKUP(VALUE(AJ$44),'SJ Data'!$A$4:$AC$58,12,0)="TRUE"),0,VLOOKUP(VALUE(AJ$44),'SJ Data'!$A$4:$AC$58,12,0))</f>
        <v>1975.31</v>
      </c>
      <c r="AK65" s="292">
        <f>IF(ISERR(VLOOKUP(VALUE(AK$44),'SJ Data'!$A$4:$AC$58,12,0)="TRUE"),0,VLOOKUP(VALUE(AK$44),'SJ Data'!$A$4:$AC$58,12,0))</f>
        <v>1373.24</v>
      </c>
      <c r="AL65" s="292">
        <f>IF(ISERR(VLOOKUP(VALUE(AL$44),'SJ Data'!$A$4:$AC$58,12,0)="TRUE"),0,VLOOKUP(VALUE(AL$44),'SJ Data'!$A$4:$AC$58,12,0))</f>
        <v>724.6</v>
      </c>
      <c r="AM65" s="292">
        <f>IF(ISERR(VLOOKUP(VALUE(AM$44),'SJ Data'!$A$4:$AC$58,12,0)="TRUE"),0,VLOOKUP(VALUE(AM$44),'SJ Data'!$A$4:$AC$58,12,0))</f>
        <v>0</v>
      </c>
      <c r="AN65" s="292">
        <f>IF(ISERR(VLOOKUP(VALUE(AN$44),'SJ Data'!$A$4:$AC$58,12,0)="TRUE"),0,VLOOKUP(VALUE(AN$44),'SJ Data'!$A$4:$AC$58,12,0))</f>
        <v>0</v>
      </c>
      <c r="AO65" s="292">
        <f>IF(ISERR(VLOOKUP(VALUE(AO$44),'SJ Data'!$A$4:$AC$58,12,0)="TRUE"),0,VLOOKUP(VALUE(AO$44),'SJ Data'!$A$4:$AC$58,12,0))</f>
        <v>0</v>
      </c>
      <c r="AP65" s="292">
        <f>IF(ISERR(VLOOKUP(VALUE(AP$44),'SJ Data'!$A$4:$AC$58,12,0)="TRUE"),0,VLOOKUP(VALUE(AP$44),'SJ Data'!$A$4:$AC$58,12,0))</f>
        <v>1352.15</v>
      </c>
      <c r="AQ65" s="292">
        <f>IF(ISERR(VLOOKUP(VALUE(AQ$44),'SJ Data'!$A$4:$AC$58,12,0)="TRUE"),0,VLOOKUP(VALUE(AQ$44),'SJ Data'!$A$4:$AC$58,12,0))</f>
        <v>0</v>
      </c>
      <c r="AR65" s="292">
        <f>IF(ISERR(VLOOKUP(VALUE(AR$44),'SJ Data'!$A$4:$AC$58,12,0)="TRUE"),0,VLOOKUP(VALUE(AR$44),'SJ Data'!$A$4:$AC$58,12,0))</f>
        <v>337461.6</v>
      </c>
      <c r="AS65" s="292">
        <f>IF(ISERR(VLOOKUP(VALUE(AS$44),'SJ Data'!$A$4:$AC$58,12,0)="TRUE"),0,VLOOKUP(VALUE(AS$44),'SJ Data'!$A$4:$AC$58,12,0))</f>
        <v>0</v>
      </c>
      <c r="AT65" s="292">
        <f>IF(ISERR(VLOOKUP(VALUE(AT$44),'SJ Data'!$A$4:$AC$58,12,0)="TRUE"),0,VLOOKUP(VALUE(AT$44),'SJ Data'!$A$4:$AC$58,12,0))</f>
        <v>0</v>
      </c>
      <c r="AU65" s="292">
        <f>IF(ISERR(VLOOKUP(VALUE(AU$44),'SJ Data'!$A$4:$AC$58,12,0)="TRUE"),0,VLOOKUP(VALUE(AU$44),'SJ Data'!$A$4:$AC$58,12,0))</f>
        <v>0</v>
      </c>
      <c r="AV65" s="292">
        <f>IF(ISERR(VLOOKUP(VALUE(AV$44),'SJ Data'!$A$4:$AC$58,12,0)="TRUE"),0,VLOOKUP(VALUE(AV$44),'SJ Data'!$A$4:$AC$58,12,0))</f>
        <v>9607.6200000000008</v>
      </c>
      <c r="AW65" s="292">
        <f>IF(ISERR(VLOOKUP(VALUE(AW$44),'SJ Data'!$A$4:$AC$58,12,0)="TRUE"),0,VLOOKUP(VALUE(AW$44),'SJ Data'!$A$4:$AC$58,12,0))</f>
        <v>0</v>
      </c>
      <c r="AX65" s="292">
        <f>IF(ISERR(VLOOKUP(VALUE(AX$44),'SJ Data'!$A$4:$AC$58,12,0)="TRUE"),0,VLOOKUP(VALUE(AX$44),'SJ Data'!$A$4:$AC$58,12,0))</f>
        <v>0</v>
      </c>
      <c r="AY65" s="292">
        <f>IF(ISERR(VLOOKUP(VALUE(AY$44),'SJ Data'!$A$4:$AC$58,12,0)="TRUE"),0,VLOOKUP(VALUE(AY$44),'SJ Data'!$A$4:$AC$58,12,0))</f>
        <v>0</v>
      </c>
      <c r="AZ65" s="292">
        <f>IF(ISERR(VLOOKUP(VALUE(AZ$44),'SJ Data'!$A$4:$AC$58,12,0)="TRUE"),0,VLOOKUP(VALUE(AZ$44),'SJ Data'!$A$4:$AC$58,12,0))</f>
        <v>2904.71</v>
      </c>
      <c r="BA65" s="292">
        <f>IF(ISERR(VLOOKUP(VALUE(BA$44),'SJ Data'!$A$4:$AC$58,12,0)="TRUE"),0,VLOOKUP(VALUE(BA$44),'SJ Data'!$A$4:$AC$58,12,0))</f>
        <v>0</v>
      </c>
      <c r="BB65" s="292">
        <f>IF(ISERR(VLOOKUP(VALUE(BB$44),'SJ Data'!$A$4:$AC$58,12,0)="TRUE"),0,VLOOKUP(VALUE(BB$44),'SJ Data'!$A$4:$AC$58,12,0))</f>
        <v>0</v>
      </c>
      <c r="BC65" s="292">
        <f>IF(ISERR(VLOOKUP(VALUE(BC$44),'SJ Data'!$A$4:$AC$58,12,0)="TRUE"),0,VLOOKUP(VALUE(BC$44),'SJ Data'!$A$4:$AC$58,12,0))</f>
        <v>0</v>
      </c>
      <c r="BD65" s="292">
        <f>IF(ISERR(VLOOKUP(VALUE(BD$44),'SJ Data'!$A$4:$AC$58,12,0)="TRUE"),0,VLOOKUP(VALUE(BD$44),'SJ Data'!$A$4:$AC$58,12,0))</f>
        <v>0</v>
      </c>
      <c r="BE65" s="292">
        <f>IF(ISERR(VLOOKUP(VALUE(BE$44),'SJ Data'!$A$4:$AC$58,12,0)="TRUE"),0,VLOOKUP(VALUE(BE$44),'SJ Data'!$A$4:$AC$58,12,0))</f>
        <v>3376071.87</v>
      </c>
      <c r="BF65" s="292">
        <f>IF(ISERR(VLOOKUP(VALUE(BF$44),'SJ Data'!$A$4:$AC$58,12,0)="TRUE"),0,VLOOKUP(VALUE(BF$44),'SJ Data'!$A$4:$AC$58,12,0))</f>
        <v>2297.0299999999997</v>
      </c>
      <c r="BG65" s="292">
        <f>IF(ISERR(VLOOKUP(VALUE(BG$44),'SJ Data'!$A$4:$AC$58,12,0)="TRUE"),0,VLOOKUP(VALUE(BG$44),'SJ Data'!$A$4:$AC$58,12,0))</f>
        <v>0</v>
      </c>
      <c r="BH65" s="292">
        <f>IF(ISERR(VLOOKUP(VALUE(BH$44),'SJ Data'!$A$4:$AC$58,12,0)="TRUE"),0,VLOOKUP(VALUE(BH$44),'SJ Data'!$A$4:$AC$58,12,0))</f>
        <v>0</v>
      </c>
      <c r="BI65" s="292">
        <f>IF(ISERR(VLOOKUP(VALUE(BI$44),'SJ Data'!$A$4:$AC$58,12,0)="TRUE"),0,VLOOKUP(VALUE(BI$44),'SJ Data'!$A$4:$AC$58,12,0))</f>
        <v>0.43</v>
      </c>
      <c r="BJ65" s="292">
        <f>IF(ISERR(VLOOKUP(VALUE(BJ$44),'SJ Data'!$A$4:$AC$58,12,0)="TRUE"),0,VLOOKUP(VALUE(BJ$44),'SJ Data'!$A$4:$AC$58,12,0))</f>
        <v>0</v>
      </c>
      <c r="BK65" s="292">
        <f>IF(ISERR(VLOOKUP(VALUE(BK$44),'SJ Data'!$A$4:$AC$58,12,0)="TRUE"),0,VLOOKUP(VALUE(BK$44),'SJ Data'!$A$4:$AC$58,12,0))</f>
        <v>0</v>
      </c>
      <c r="BL65" s="292">
        <f>IF(ISERR(VLOOKUP(VALUE(BL$44),'SJ Data'!$A$4:$AC$58,12,0)="TRUE"),0,VLOOKUP(VALUE(BL$44),'SJ Data'!$A$4:$AC$58,12,0))</f>
        <v>335.16</v>
      </c>
      <c r="BM65" s="292">
        <f>IF(ISERR(VLOOKUP(VALUE(BM$44),'SJ Data'!$A$4:$AC$58,12,0)="TRUE"),0,VLOOKUP(VALUE(BM$44),'SJ Data'!$A$4:$AC$58,12,0))</f>
        <v>0</v>
      </c>
      <c r="BN65" s="292">
        <f>IF(ISERR(VLOOKUP(VALUE(BN$44),'SJ Data'!$A$4:$AC$58,12,0)="TRUE"),0,VLOOKUP(VALUE(BN$44),'SJ Data'!$A$4:$AC$58,12,0))</f>
        <v>963.29000000000008</v>
      </c>
      <c r="BO65" s="292">
        <f>IF(ISERR(VLOOKUP(VALUE(BO$44),'SJ Data'!$A$4:$AC$58,12,0)="TRUE"),0,VLOOKUP(VALUE(BO$44),'SJ Data'!$A$4:$AC$58,12,0))</f>
        <v>0</v>
      </c>
      <c r="BP65" s="292">
        <f>IF(ISERR(VLOOKUP(VALUE(BP$44),'SJ Data'!$A$4:$AC$58,12,0)="TRUE"),0,VLOOKUP(VALUE(BP$44),'SJ Data'!$A$4:$AC$58,12,0))</f>
        <v>0</v>
      </c>
      <c r="BQ65" s="292">
        <f>IF(ISERR(VLOOKUP(VALUE(BQ$44),'SJ Data'!$A$4:$AC$58,12,0)="TRUE"),0,VLOOKUP(VALUE(BQ$44),'SJ Data'!$A$4:$AC$58,12,0))</f>
        <v>0</v>
      </c>
      <c r="BR65" s="292">
        <f>IF(ISERR(VLOOKUP(VALUE(BR$44),'SJ Data'!$A$4:$AC$58,12,0)="TRUE"),0,VLOOKUP(VALUE(BR$44),'SJ Data'!$A$4:$AC$58,12,0))</f>
        <v>0</v>
      </c>
      <c r="BS65" s="292">
        <f>IF(ISERR(VLOOKUP(VALUE(BS$44),'SJ Data'!$A$4:$AC$58,12,0)="TRUE"),0,VLOOKUP(VALUE(BS$44),'SJ Data'!$A$4:$AC$58,12,0))</f>
        <v>0</v>
      </c>
      <c r="BT65" s="292">
        <f>IF(ISERR(VLOOKUP(VALUE(BT$44),'SJ Data'!$A$4:$AC$58,12,0)="TRUE"),0,VLOOKUP(VALUE(BT$44),'SJ Data'!$A$4:$AC$58,12,0))</f>
        <v>0</v>
      </c>
      <c r="BU65" s="292">
        <f>IF(ISERR(VLOOKUP(VALUE(BU$44),'SJ Data'!$A$4:$AC$58,12,0)="TRUE"),0,VLOOKUP(VALUE(BU$44),'SJ Data'!$A$4:$AC$58,12,0))</f>
        <v>0</v>
      </c>
      <c r="BV65" s="292">
        <f>IF(ISERR(VLOOKUP(VALUE(BV$44),'SJ Data'!$A$4:$AC$58,12,0)="TRUE"),0,VLOOKUP(VALUE(BV$44),'SJ Data'!$A$4:$AC$58,12,0))</f>
        <v>0</v>
      </c>
      <c r="BW65" s="292">
        <f>IF(ISERR(VLOOKUP(VALUE(BW$44),'SJ Data'!$A$4:$AC$58,12,0)="TRUE"),0,VLOOKUP(VALUE(BW$44),'SJ Data'!$A$4:$AC$58,12,0))</f>
        <v>0</v>
      </c>
      <c r="BX65" s="292">
        <f>IF(ISERR(VLOOKUP(VALUE(BX$44),'SJ Data'!$A$4:$AC$58,12,0)="TRUE"),0,VLOOKUP(VALUE(BX$44),'SJ Data'!$A$4:$AC$58,12,0))</f>
        <v>0</v>
      </c>
      <c r="BY65" s="292">
        <f>IF(ISERR(VLOOKUP(VALUE(BY$44),'SJ Data'!$A$4:$AC$58,12,0)="TRUE"),0,VLOOKUP(VALUE(BY$44),'SJ Data'!$A$4:$AC$58,12,0))</f>
        <v>5525.58</v>
      </c>
      <c r="BZ65" s="292">
        <f>IF(ISERR(VLOOKUP(VALUE(BZ$44),'SJ Data'!$A$4:$AC$58,12,0)="TRUE"),0,VLOOKUP(VALUE(BZ$44),'SJ Data'!$A$4:$AC$58,12,0))</f>
        <v>0</v>
      </c>
      <c r="CA65" s="292">
        <f>IF(ISERR(VLOOKUP(VALUE(CA$44),'SJ Data'!$A$4:$AC$58,12,0)="TRUE"),0,VLOOKUP(VALUE(CA$44),'SJ Data'!$A$4:$AC$58,12,0))</f>
        <v>0</v>
      </c>
      <c r="CB65" s="292">
        <f>IF(ISERR(VLOOKUP(VALUE(CB$44),'SJ Data'!$A$4:$AC$58,12,0)="TRUE"),0,VLOOKUP(VALUE(CB$44),'SJ Data'!$A$4:$AC$58,12,0))</f>
        <v>0</v>
      </c>
      <c r="CC65" s="292">
        <f>IF(ISERR(VLOOKUP(VALUE(CC$44),'SJ Data'!$A$4:$AC$58,12,0)="TRUE"),0,VLOOKUP(VALUE(CC$44),'SJ Data'!$A$4:$AC$58,12,0))</f>
        <v>0</v>
      </c>
      <c r="CD65" s="248" t="s">
        <v>221</v>
      </c>
      <c r="CE65" s="195">
        <f t="shared" si="0"/>
        <v>4016111.89</v>
      </c>
      <c r="CF65" s="251"/>
    </row>
    <row r="66" spans="1:84" ht="12.6" customHeight="1" x14ac:dyDescent="0.25">
      <c r="A66" s="171" t="s">
        <v>239</v>
      </c>
      <c r="B66" s="175"/>
      <c r="C66" s="292">
        <f>IF(ISERR(VLOOKUP(VALUE(C$44),'SJ Data'!$A$4:$AC$58,10,0)="TRUE"),0,VLOOKUP(VALUE(C$44),'SJ Data'!$A$4:$AC$58,10,0))</f>
        <v>191140.21</v>
      </c>
      <c r="D66" s="292">
        <f>IF(ISERR(VLOOKUP(VALUE(D$44),'SJ Data'!$A$4:$AC$58,10,0)="TRUE"),0,VLOOKUP(VALUE(D$44),'SJ Data'!$A$4:$AC$58,10,0))</f>
        <v>0</v>
      </c>
      <c r="E66" s="292">
        <f>IF(ISERR(VLOOKUP(VALUE(E$44),'SJ Data'!$A$4:$AC$58,10,0)="TRUE"),0,VLOOKUP(VALUE(E$44),'SJ Data'!$A$4:$AC$58,10,0))</f>
        <v>1503568.8900000001</v>
      </c>
      <c r="F66" s="292">
        <f>IF(ISERR(VLOOKUP(VALUE(F$44),'SJ Data'!$A$4:$AC$58,10,0)="TRUE"),0,VLOOKUP(VALUE(F$44),'SJ Data'!$A$4:$AC$58,10,0))</f>
        <v>0</v>
      </c>
      <c r="G66" s="292">
        <f>IF(ISERR(VLOOKUP(VALUE(G$44),'SJ Data'!$A$4:$AC$58,10,0)="TRUE"),0,VLOOKUP(VALUE(G$44),'SJ Data'!$A$4:$AC$58,10,0))</f>
        <v>192463.66</v>
      </c>
      <c r="H66" s="292">
        <f>IF(ISERR(VLOOKUP(VALUE(H$44),'SJ Data'!$A$4:$AC$58,10,0)="TRUE"),0,VLOOKUP(VALUE(H$44),'SJ Data'!$A$4:$AC$58,10,0))</f>
        <v>144619.85999999999</v>
      </c>
      <c r="I66" s="292">
        <f>IF(ISERR(VLOOKUP(VALUE(I$44),'SJ Data'!$A$4:$AC$58,10,0)="TRUE"),0,VLOOKUP(VALUE(I$44),'SJ Data'!$A$4:$AC$58,10,0))</f>
        <v>0</v>
      </c>
      <c r="J66" s="292">
        <f>IF(ISERR(VLOOKUP(VALUE(J$44),'SJ Data'!$A$4:$AC$58,10,0)="TRUE"),0,VLOOKUP(VALUE(J$44),'SJ Data'!$A$4:$AC$58,10,0))</f>
        <v>496704.96</v>
      </c>
      <c r="K66" s="292">
        <f>IF(ISERR(VLOOKUP(VALUE(K$44),'SJ Data'!$A$4:$AC$58,10,0)="TRUE"),0,VLOOKUP(VALUE(K$44),'SJ Data'!$A$4:$AC$58,10,0))</f>
        <v>0</v>
      </c>
      <c r="L66" s="292">
        <f>IF(ISERR(VLOOKUP(VALUE(L$44),'SJ Data'!$A$4:$AC$58,10,0)="TRUE"),0,VLOOKUP(VALUE(L$44),'SJ Data'!$A$4:$AC$58,10,0))</f>
        <v>0</v>
      </c>
      <c r="M66" s="292">
        <f>IF(ISERR(VLOOKUP(VALUE(M$44),'SJ Data'!$A$4:$AC$58,10,0)="TRUE"),0,VLOOKUP(VALUE(M$44),'SJ Data'!$A$4:$AC$58,10,0))</f>
        <v>0</v>
      </c>
      <c r="N66" s="292">
        <f>IF(ISERR(VLOOKUP(VALUE(N$44),'SJ Data'!$A$4:$AC$58,10,0)="TRUE"),0,VLOOKUP(VALUE(N$44),'SJ Data'!$A$4:$AC$58,10,0))</f>
        <v>0</v>
      </c>
      <c r="O66" s="292">
        <f>IF(ISERR(VLOOKUP(VALUE(O$44),'SJ Data'!$A$4:$AC$58,10,0)="TRUE"),0,VLOOKUP(VALUE(O$44),'SJ Data'!$A$4:$AC$58,10,0))</f>
        <v>560874.46000000008</v>
      </c>
      <c r="P66" s="292">
        <f>IF(ISERR(VLOOKUP(VALUE(P$44),'SJ Data'!$A$4:$AC$58,10,0)="TRUE"),0,VLOOKUP(VALUE(P$44),'SJ Data'!$A$4:$AC$58,10,0))</f>
        <v>4144258.9249999998</v>
      </c>
      <c r="Q66" s="292">
        <f>IF(ISERR(VLOOKUP(VALUE(Q$44),'SJ Data'!$A$4:$AC$58,10,0)="TRUE"),0,VLOOKUP(VALUE(Q$44),'SJ Data'!$A$4:$AC$58,10,0))</f>
        <v>22125.7</v>
      </c>
      <c r="R66" s="292">
        <f>IF(ISERR(VLOOKUP(VALUE(R$44),'SJ Data'!$A$4:$AC$58,10,0)="TRUE"),0,VLOOKUP(VALUE(R$44),'SJ Data'!$A$4:$AC$58,10,0))</f>
        <v>0</v>
      </c>
      <c r="S66" s="292">
        <f>IF(ISERR(VLOOKUP(VALUE(S$44),'SJ Data'!$A$4:$AC$58,10,0)="TRUE"),0,VLOOKUP(VALUE(S$44),'SJ Data'!$A$4:$AC$58,10,0))</f>
        <v>249705.97137020002</v>
      </c>
      <c r="T66" s="292">
        <f>IF(ISERR(VLOOKUP(VALUE(T$44),'SJ Data'!$A$4:$AC$58,10,0)="TRUE"),0,VLOOKUP(VALUE(T$44),'SJ Data'!$A$4:$AC$58,10,0))</f>
        <v>10.31</v>
      </c>
      <c r="U66" s="292">
        <f>IF(ISERR(VLOOKUP(VALUE(U$44),'SJ Data'!$A$4:$AC$58,10,0)="TRUE"),0,VLOOKUP(VALUE(U$44),'SJ Data'!$A$4:$AC$58,10,0))</f>
        <v>7865081.5999999996</v>
      </c>
      <c r="V66" s="292">
        <f>IF(ISERR(VLOOKUP(VALUE(V$44),'SJ Data'!$A$4:$AC$58,10,0)="TRUE"),0,VLOOKUP(VALUE(V$44),'SJ Data'!$A$4:$AC$58,10,0))</f>
        <v>272355</v>
      </c>
      <c r="W66" s="292">
        <f>IF(ISERR(VLOOKUP(VALUE(W$44),'SJ Data'!$A$4:$AC$58,10,0)="TRUE"),0,VLOOKUP(VALUE(W$44),'SJ Data'!$A$4:$AC$58,10,0))</f>
        <v>0</v>
      </c>
      <c r="X66" s="292">
        <f>IF(ISERR(VLOOKUP(VALUE(X$44),'SJ Data'!$A$4:$AC$58,10,0)="TRUE"),0,VLOOKUP(VALUE(X$44),'SJ Data'!$A$4:$AC$58,10,0))</f>
        <v>225157.09</v>
      </c>
      <c r="Y66" s="292">
        <f>IF(ISERR(VLOOKUP(VALUE(Y$44),'SJ Data'!$A$4:$AC$58,10,0)="TRUE"),0,VLOOKUP(VALUE(Y$44),'SJ Data'!$A$4:$AC$58,10,0))</f>
        <v>2448756.9700000002</v>
      </c>
      <c r="Z66" s="292">
        <f>IF(ISERR(VLOOKUP(VALUE(Z$44),'SJ Data'!$A$4:$AC$58,10,0)="TRUE"),0,VLOOKUP(VALUE(Z$44),'SJ Data'!$A$4:$AC$58,10,0))</f>
        <v>0</v>
      </c>
      <c r="AA66" s="292">
        <f>IF(ISERR(VLOOKUP(VALUE(AA$44),'SJ Data'!$A$4:$AC$58,10,0)="TRUE"),0,VLOOKUP(VALUE(AA$44),'SJ Data'!$A$4:$AC$58,10,0))</f>
        <v>103611.71</v>
      </c>
      <c r="AB66" s="292">
        <f>IF(ISERR(VLOOKUP(VALUE(AB$44),'SJ Data'!$A$4:$AC$58,10,0)="TRUE"),0,VLOOKUP(VALUE(AB$44),'SJ Data'!$A$4:$AC$58,10,0))</f>
        <v>1612793.53</v>
      </c>
      <c r="AC66" s="292">
        <f>IF(ISERR(VLOOKUP(VALUE(AC$44),'SJ Data'!$A$4:$AC$58,10,0)="TRUE"),0,VLOOKUP(VALUE(AC$44),'SJ Data'!$A$4:$AC$58,10,0))</f>
        <v>76452.81</v>
      </c>
      <c r="AD66" s="292">
        <f>IF(ISERR(VLOOKUP(VALUE(AD$44),'SJ Data'!$A$4:$AC$58,10,0)="TRUE"),0,VLOOKUP(VALUE(AD$44),'SJ Data'!$A$4:$AC$58,10,0))</f>
        <v>6215599.8999999994</v>
      </c>
      <c r="AE66" s="292">
        <f>IF(ISERR(VLOOKUP(VALUE(AE$44),'SJ Data'!$A$4:$AC$58,10,0)="TRUE"),0,VLOOKUP(VALUE(AE$44),'SJ Data'!$A$4:$AC$58,10,0))</f>
        <v>154090.78999999998</v>
      </c>
      <c r="AF66" s="292">
        <f>IF(ISERR(VLOOKUP(VALUE(AF$44),'SJ Data'!$A$4:$AC$58,10,0)="TRUE"),0,VLOOKUP(VALUE(AF$44),'SJ Data'!$A$4:$AC$58,10,0))</f>
        <v>0</v>
      </c>
      <c r="AG66" s="292">
        <f>IF(ISERR(VLOOKUP(VALUE(AG$44),'SJ Data'!$A$4:$AC$58,10,0)="TRUE"),0,VLOOKUP(VALUE(AG$44),'SJ Data'!$A$4:$AC$58,10,0))</f>
        <v>2212723.0000000005</v>
      </c>
      <c r="AH66" s="292">
        <f>IF(ISERR(VLOOKUP(VALUE(AH$44),'SJ Data'!$A$4:$AC$58,10,0)="TRUE"),0,VLOOKUP(VALUE(AH$44),'SJ Data'!$A$4:$AC$58,10,0))</f>
        <v>0</v>
      </c>
      <c r="AI66" s="292">
        <f>IF(ISERR(VLOOKUP(VALUE(AI$44),'SJ Data'!$A$4:$AC$58,10,0)="TRUE"),0,VLOOKUP(VALUE(AI$44),'SJ Data'!$A$4:$AC$58,10,0))</f>
        <v>163318.10999999999</v>
      </c>
      <c r="AJ66" s="292">
        <f>IF(ISERR(VLOOKUP(VALUE(AJ$44),'SJ Data'!$A$4:$AC$58,10,0)="TRUE"),0,VLOOKUP(VALUE(AJ$44),'SJ Data'!$A$4:$AC$58,10,0))</f>
        <v>1044667.3799999999</v>
      </c>
      <c r="AK66" s="292">
        <f>IF(ISERR(VLOOKUP(VALUE(AK$44),'SJ Data'!$A$4:$AC$58,10,0)="TRUE"),0,VLOOKUP(VALUE(AK$44),'SJ Data'!$A$4:$AC$58,10,0))</f>
        <v>7207.5</v>
      </c>
      <c r="AL66" s="292">
        <f>IF(ISERR(VLOOKUP(VALUE(AL$44),'SJ Data'!$A$4:$AC$58,10,0)="TRUE"),0,VLOOKUP(VALUE(AL$44),'SJ Data'!$A$4:$AC$58,10,0))</f>
        <v>1038</v>
      </c>
      <c r="AM66" s="292">
        <f>IF(ISERR(VLOOKUP(VALUE(AM$44),'SJ Data'!$A$4:$AC$58,10,0)="TRUE"),0,VLOOKUP(VALUE(AM$44),'SJ Data'!$A$4:$AC$58,10,0))</f>
        <v>0</v>
      </c>
      <c r="AN66" s="292">
        <f>IF(ISERR(VLOOKUP(VALUE(AN$44),'SJ Data'!$A$4:$AC$58,10,0)="TRUE"),0,VLOOKUP(VALUE(AN$44),'SJ Data'!$A$4:$AC$58,10,0))</f>
        <v>0</v>
      </c>
      <c r="AO66" s="292">
        <f>IF(ISERR(VLOOKUP(VALUE(AO$44),'SJ Data'!$A$4:$AC$58,10,0)="TRUE"),0,VLOOKUP(VALUE(AO$44),'SJ Data'!$A$4:$AC$58,10,0))</f>
        <v>0</v>
      </c>
      <c r="AP66" s="292">
        <f>IF(ISERR(VLOOKUP(VALUE(AP$44),'SJ Data'!$A$4:$AC$58,10,0)="TRUE"),0,VLOOKUP(VALUE(AP$44),'SJ Data'!$A$4:$AC$58,10,0))</f>
        <v>93027.82</v>
      </c>
      <c r="AQ66" s="292">
        <f>IF(ISERR(VLOOKUP(VALUE(AQ$44),'SJ Data'!$A$4:$AC$58,10,0)="TRUE"),0,VLOOKUP(VALUE(AQ$44),'SJ Data'!$A$4:$AC$58,10,0))</f>
        <v>0</v>
      </c>
      <c r="AR66" s="292">
        <f>IF(ISERR(VLOOKUP(VALUE(AR$44),'SJ Data'!$A$4:$AC$58,10,0)="TRUE"),0,VLOOKUP(VALUE(AR$44),'SJ Data'!$A$4:$AC$58,10,0))</f>
        <v>9440483.1500000004</v>
      </c>
      <c r="AS66" s="292">
        <f>IF(ISERR(VLOOKUP(VALUE(AS$44),'SJ Data'!$A$4:$AC$58,10,0)="TRUE"),0,VLOOKUP(VALUE(AS$44),'SJ Data'!$A$4:$AC$58,10,0))</f>
        <v>0</v>
      </c>
      <c r="AT66" s="292">
        <f>IF(ISERR(VLOOKUP(VALUE(AT$44),'SJ Data'!$A$4:$AC$58,10,0)="TRUE"),0,VLOOKUP(VALUE(AT$44),'SJ Data'!$A$4:$AC$58,10,0))</f>
        <v>0</v>
      </c>
      <c r="AU66" s="292">
        <f>IF(ISERR(VLOOKUP(VALUE(AU$44),'SJ Data'!$A$4:$AC$58,10,0)="TRUE"),0,VLOOKUP(VALUE(AU$44),'SJ Data'!$A$4:$AC$58,10,0))</f>
        <v>0</v>
      </c>
      <c r="AV66" s="292">
        <f>IF(ISERR(VLOOKUP(VALUE(AV$44),'SJ Data'!$A$4:$AC$58,10,0)="TRUE"),0,VLOOKUP(VALUE(AV$44),'SJ Data'!$A$4:$AC$58,10,0))</f>
        <v>4098576.911400002</v>
      </c>
      <c r="AW66" s="292">
        <f>IF(ISERR(VLOOKUP(VALUE(AW$44),'SJ Data'!$A$4:$AC$58,10,0)="TRUE"),0,VLOOKUP(VALUE(AW$44),'SJ Data'!$A$4:$AC$58,10,0))</f>
        <v>0</v>
      </c>
      <c r="AX66" s="292">
        <f>IF(ISERR(VLOOKUP(VALUE(AX$44),'SJ Data'!$A$4:$AC$58,10,0)="TRUE"),0,VLOOKUP(VALUE(AX$44),'SJ Data'!$A$4:$AC$58,10,0))</f>
        <v>2285.6268999999998</v>
      </c>
      <c r="AY66" s="292">
        <f>IF(ISERR(VLOOKUP(VALUE(AY$44),'SJ Data'!$A$4:$AC$58,10,0)="TRUE"),0,VLOOKUP(VALUE(AY$44),'SJ Data'!$A$4:$AC$58,10,0))</f>
        <v>0</v>
      </c>
      <c r="AZ66" s="292">
        <f>IF(ISERR(VLOOKUP(VALUE(AZ$44),'SJ Data'!$A$4:$AC$58,10,0)="TRUE"),0,VLOOKUP(VALUE(AZ$44),'SJ Data'!$A$4:$AC$58,10,0))</f>
        <v>1972006.8800000004</v>
      </c>
      <c r="BA66" s="292">
        <f>IF(ISERR(VLOOKUP(VALUE(BA$44),'SJ Data'!$A$4:$AC$58,10,0)="TRUE"),0,VLOOKUP(VALUE(BA$44),'SJ Data'!$A$4:$AC$58,10,0))</f>
        <v>6618.6200000000008</v>
      </c>
      <c r="BB66" s="292">
        <f>IF(ISERR(VLOOKUP(VALUE(BB$44),'SJ Data'!$A$4:$AC$58,10,0)="TRUE"),0,VLOOKUP(VALUE(BB$44),'SJ Data'!$A$4:$AC$58,10,0))</f>
        <v>0</v>
      </c>
      <c r="BC66" s="292">
        <f>IF(ISERR(VLOOKUP(VALUE(BC$44),'SJ Data'!$A$4:$AC$58,10,0)="TRUE"),0,VLOOKUP(VALUE(BC$44),'SJ Data'!$A$4:$AC$58,10,0))</f>
        <v>109.42</v>
      </c>
      <c r="BD66" s="292">
        <f>IF(ISERR(VLOOKUP(VALUE(BD$44),'SJ Data'!$A$4:$AC$58,10,0)="TRUE"),0,VLOOKUP(VALUE(BD$44),'SJ Data'!$A$4:$AC$58,10,0))</f>
        <v>0</v>
      </c>
      <c r="BE66" s="292">
        <f>IF(ISERR(VLOOKUP(VALUE(BE$44),'SJ Data'!$A$4:$AC$58,10,0)="TRUE"),0,VLOOKUP(VALUE(BE$44),'SJ Data'!$A$4:$AC$58,10,0))</f>
        <v>18900967.4322</v>
      </c>
      <c r="BF66" s="292">
        <f>IF(ISERR(VLOOKUP(VALUE(BF$44),'SJ Data'!$A$4:$AC$58,10,0)="TRUE"),0,VLOOKUP(VALUE(BF$44),'SJ Data'!$A$4:$AC$58,10,0))</f>
        <v>856342.8899999999</v>
      </c>
      <c r="BG66" s="292">
        <f>IF(ISERR(VLOOKUP(VALUE(BG$44),'SJ Data'!$A$4:$AC$58,10,0)="TRUE"),0,VLOOKUP(VALUE(BG$44),'SJ Data'!$A$4:$AC$58,10,0))</f>
        <v>110463.8404</v>
      </c>
      <c r="BH66" s="292">
        <f>IF(ISERR(VLOOKUP(VALUE(BH$44),'SJ Data'!$A$4:$AC$58,10,0)="TRUE"),0,VLOOKUP(VALUE(BH$44),'SJ Data'!$A$4:$AC$58,10,0))</f>
        <v>-698446.68900000001</v>
      </c>
      <c r="BI66" s="292">
        <f>IF(ISERR(VLOOKUP(VALUE(BI$44),'SJ Data'!$A$4:$AC$58,10,0)="TRUE"),0,VLOOKUP(VALUE(BI$44),'SJ Data'!$A$4:$AC$58,10,0))</f>
        <v>803.11</v>
      </c>
      <c r="BJ66" s="292">
        <f>IF(ISERR(VLOOKUP(VALUE(BJ$44),'SJ Data'!$A$4:$AC$58,10,0)="TRUE"),0,VLOOKUP(VALUE(BJ$44),'SJ Data'!$A$4:$AC$58,10,0))</f>
        <v>1938000.52489797</v>
      </c>
      <c r="BK66" s="292">
        <f>IF(ISERR(VLOOKUP(VALUE(BK$44),'SJ Data'!$A$4:$AC$58,10,0)="TRUE"),0,VLOOKUP(VALUE(BK$44),'SJ Data'!$A$4:$AC$58,10,0))</f>
        <v>7339247.2191812899</v>
      </c>
      <c r="BL66" s="292">
        <f>IF(ISERR(VLOOKUP(VALUE(BL$44),'SJ Data'!$A$4:$AC$58,10,0)="TRUE"),0,VLOOKUP(VALUE(BL$44),'SJ Data'!$A$4:$AC$58,10,0))</f>
        <v>7725465.4680751804</v>
      </c>
      <c r="BM66" s="292">
        <f>IF(ISERR(VLOOKUP(VALUE(BM$44),'SJ Data'!$A$4:$AC$58,10,0)="TRUE"),0,VLOOKUP(VALUE(BM$44),'SJ Data'!$A$4:$AC$58,10,0))</f>
        <v>0</v>
      </c>
      <c r="BN66" s="292">
        <f>IF(ISERR(VLOOKUP(VALUE(BN$44),'SJ Data'!$A$4:$AC$58,10,0)="TRUE"),0,VLOOKUP(VALUE(BN$44),'SJ Data'!$A$4:$AC$58,10,0))</f>
        <v>14590971.008752607</v>
      </c>
      <c r="BO66" s="292">
        <f>IF(ISERR(VLOOKUP(VALUE(BO$44),'SJ Data'!$A$4:$AC$58,10,0)="TRUE"),0,VLOOKUP(VALUE(BO$44),'SJ Data'!$A$4:$AC$58,10,0))</f>
        <v>1067275.4931999999</v>
      </c>
      <c r="BP66" s="292">
        <f>IF(ISERR(VLOOKUP(VALUE(BP$44),'SJ Data'!$A$4:$AC$58,10,0)="TRUE"),0,VLOOKUP(VALUE(BP$44),'SJ Data'!$A$4:$AC$58,10,0))</f>
        <v>1399108.6538</v>
      </c>
      <c r="BQ66" s="292">
        <f>IF(ISERR(VLOOKUP(VALUE(BQ$44),'SJ Data'!$A$4:$AC$58,10,0)="TRUE"),0,VLOOKUP(VALUE(BQ$44),'SJ Data'!$A$4:$AC$58,10,0))</f>
        <v>0</v>
      </c>
      <c r="BR66" s="292">
        <f>IF(ISERR(VLOOKUP(VALUE(BR$44),'SJ Data'!$A$4:$AC$58,10,0)="TRUE"),0,VLOOKUP(VALUE(BR$44),'SJ Data'!$A$4:$AC$58,10,0))</f>
        <v>4204371.2534999996</v>
      </c>
      <c r="BS66" s="292">
        <f>IF(ISERR(VLOOKUP(VALUE(BS$44),'SJ Data'!$A$4:$AC$58,10,0)="TRUE"),0,VLOOKUP(VALUE(BS$44),'SJ Data'!$A$4:$AC$58,10,0))</f>
        <v>52.155200000000001</v>
      </c>
      <c r="BT66" s="292">
        <f>IF(ISERR(VLOOKUP(VALUE(BT$44),'SJ Data'!$A$4:$AC$58,10,0)="TRUE"),0,VLOOKUP(VALUE(BT$44),'SJ Data'!$A$4:$AC$58,10,0))</f>
        <v>77535.00910000001</v>
      </c>
      <c r="BU66" s="292">
        <f>IF(ISERR(VLOOKUP(VALUE(BU$44),'SJ Data'!$A$4:$AC$58,10,0)="TRUE"),0,VLOOKUP(VALUE(BU$44),'SJ Data'!$A$4:$AC$58,10,0))</f>
        <v>125375.68770000001</v>
      </c>
      <c r="BV66" s="292">
        <f>IF(ISERR(VLOOKUP(VALUE(BV$44),'SJ Data'!$A$4:$AC$58,10,0)="TRUE"),0,VLOOKUP(VALUE(BV$44),'SJ Data'!$A$4:$AC$58,10,0))</f>
        <v>10514209.689107802</v>
      </c>
      <c r="BW66" s="292">
        <f>IF(ISERR(VLOOKUP(VALUE(BW$44),'SJ Data'!$A$4:$AC$58,10,0)="TRUE"),0,VLOOKUP(VALUE(BW$44),'SJ Data'!$A$4:$AC$58,10,0))</f>
        <v>1300871.7238059998</v>
      </c>
      <c r="BX66" s="292">
        <f>IF(ISERR(VLOOKUP(VALUE(BX$44),'SJ Data'!$A$4:$AC$58,10,0)="TRUE"),0,VLOOKUP(VALUE(BX$44),'SJ Data'!$A$4:$AC$58,10,0))</f>
        <v>5362295.0302633392</v>
      </c>
      <c r="BY66" s="292">
        <f>IF(ISERR(VLOOKUP(VALUE(BY$44),'SJ Data'!$A$4:$AC$58,10,0)="TRUE"),0,VLOOKUP(VALUE(BY$44),'SJ Data'!$A$4:$AC$58,10,0))</f>
        <v>621047.81239999994</v>
      </c>
      <c r="BZ66" s="292">
        <f>IF(ISERR(VLOOKUP(VALUE(BZ$44),'SJ Data'!$A$4:$AC$58,10,0)="TRUE"),0,VLOOKUP(VALUE(BZ$44),'SJ Data'!$A$4:$AC$58,10,0))</f>
        <v>0</v>
      </c>
      <c r="CA66" s="292">
        <f>IF(ISERR(VLOOKUP(VALUE(CA$44),'SJ Data'!$A$4:$AC$58,10,0)="TRUE"),0,VLOOKUP(VALUE(CA$44),'SJ Data'!$A$4:$AC$58,10,0))</f>
        <v>1518040.0145</v>
      </c>
      <c r="CB66" s="292">
        <f>IF(ISERR(VLOOKUP(VALUE(CB$44),'SJ Data'!$A$4:$AC$58,10,0)="TRUE"),0,VLOOKUP(VALUE(CB$44),'SJ Data'!$A$4:$AC$58,10,0))</f>
        <v>155964.64440000002</v>
      </c>
      <c r="CC66" s="292">
        <f>IF(ISERR(VLOOKUP(VALUE(CC$44),'SJ Data'!$A$4:$AC$58,10,0)="TRUE"),0,VLOOKUP(VALUE(CC$44),'SJ Data'!$A$4:$AC$58,10,0))+'SJ Data'!J56</f>
        <v>47677759.876194783</v>
      </c>
      <c r="CD66" s="248" t="s">
        <v>221</v>
      </c>
      <c r="CE66" s="195">
        <f t="shared" si="0"/>
        <v>170309156.61234921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697256</v>
      </c>
      <c r="D67" s="195">
        <f>ROUND(D51+D52,0)</f>
        <v>0</v>
      </c>
      <c r="E67" s="195">
        <f t="shared" ref="E67:BP67" si="3">ROUND(E51+E52,0)</f>
        <v>2425800</v>
      </c>
      <c r="F67" s="195">
        <f t="shared" si="3"/>
        <v>0</v>
      </c>
      <c r="G67" s="195">
        <f t="shared" si="3"/>
        <v>340115</v>
      </c>
      <c r="H67" s="195">
        <f t="shared" si="3"/>
        <v>155966</v>
      </c>
      <c r="I67" s="195">
        <f t="shared" si="3"/>
        <v>0</v>
      </c>
      <c r="J67" s="195">
        <f>ROUND(J51+J52,0)</f>
        <v>215698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704430</v>
      </c>
      <c r="P67" s="195">
        <f t="shared" si="3"/>
        <v>8471715</v>
      </c>
      <c r="Q67" s="195">
        <f t="shared" si="3"/>
        <v>63252</v>
      </c>
      <c r="R67" s="195">
        <f t="shared" si="3"/>
        <v>0</v>
      </c>
      <c r="S67" s="195">
        <f t="shared" si="3"/>
        <v>327750</v>
      </c>
      <c r="T67" s="195">
        <f t="shared" si="3"/>
        <v>16084</v>
      </c>
      <c r="U67" s="195">
        <f t="shared" si="3"/>
        <v>569152</v>
      </c>
      <c r="V67" s="195">
        <f t="shared" si="3"/>
        <v>159592</v>
      </c>
      <c r="W67" s="195">
        <f t="shared" si="3"/>
        <v>0</v>
      </c>
      <c r="X67" s="195">
        <f t="shared" si="3"/>
        <v>4649</v>
      </c>
      <c r="Y67" s="195">
        <f t="shared" si="3"/>
        <v>973742</v>
      </c>
      <c r="Z67" s="195">
        <f t="shared" si="3"/>
        <v>0</v>
      </c>
      <c r="AA67" s="195">
        <f t="shared" si="3"/>
        <v>3951</v>
      </c>
      <c r="AB67" s="195">
        <f t="shared" si="3"/>
        <v>809942</v>
      </c>
      <c r="AC67" s="195">
        <f t="shared" si="3"/>
        <v>153283</v>
      </c>
      <c r="AD67" s="195">
        <f t="shared" si="3"/>
        <v>542454</v>
      </c>
      <c r="AE67" s="195">
        <f t="shared" si="3"/>
        <v>192806</v>
      </c>
      <c r="AF67" s="195">
        <f t="shared" si="3"/>
        <v>0</v>
      </c>
      <c r="AG67" s="195">
        <f t="shared" si="3"/>
        <v>677618</v>
      </c>
      <c r="AH67" s="195">
        <f t="shared" si="3"/>
        <v>0</v>
      </c>
      <c r="AI67" s="195">
        <f t="shared" si="3"/>
        <v>25318</v>
      </c>
      <c r="AJ67" s="195">
        <f t="shared" si="3"/>
        <v>438021</v>
      </c>
      <c r="AK67" s="195">
        <f t="shared" si="3"/>
        <v>83320</v>
      </c>
      <c r="AL67" s="195">
        <f t="shared" si="3"/>
        <v>56217</v>
      </c>
      <c r="AM67" s="195">
        <f t="shared" si="3"/>
        <v>0</v>
      </c>
      <c r="AN67" s="195">
        <f t="shared" si="3"/>
        <v>44612</v>
      </c>
      <c r="AO67" s="195">
        <f t="shared" si="3"/>
        <v>0</v>
      </c>
      <c r="AP67" s="195">
        <f t="shared" si="3"/>
        <v>23230</v>
      </c>
      <c r="AQ67" s="195">
        <f t="shared" si="3"/>
        <v>0</v>
      </c>
      <c r="AR67" s="195">
        <f t="shared" si="3"/>
        <v>257012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54973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517697</v>
      </c>
      <c r="BA67" s="195">
        <f>ROUND(BA51+BA52,0)</f>
        <v>57201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3373487</v>
      </c>
      <c r="BF67" s="195">
        <f t="shared" si="3"/>
        <v>63752</v>
      </c>
      <c r="BG67" s="195">
        <f t="shared" si="3"/>
        <v>0</v>
      </c>
      <c r="BH67" s="195">
        <f t="shared" si="3"/>
        <v>0</v>
      </c>
      <c r="BI67" s="195">
        <f t="shared" si="3"/>
        <v>18038</v>
      </c>
      <c r="BJ67" s="195">
        <f t="shared" si="3"/>
        <v>0</v>
      </c>
      <c r="BK67" s="195">
        <f t="shared" si="3"/>
        <v>0</v>
      </c>
      <c r="BL67" s="195">
        <f t="shared" si="3"/>
        <v>241</v>
      </c>
      <c r="BM67" s="195">
        <f t="shared" si="3"/>
        <v>0</v>
      </c>
      <c r="BN67" s="195">
        <f t="shared" si="3"/>
        <v>2735158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225109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127434</v>
      </c>
      <c r="BW67" s="195">
        <f t="shared" si="4"/>
        <v>0</v>
      </c>
      <c r="BX67" s="195">
        <f t="shared" si="4"/>
        <v>0</v>
      </c>
      <c r="BY67" s="195">
        <f t="shared" si="4"/>
        <v>136627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8" t="s">
        <v>221</v>
      </c>
      <c r="CE67" s="195">
        <f t="shared" si="0"/>
        <v>25742702</v>
      </c>
      <c r="CF67" s="251"/>
    </row>
    <row r="68" spans="1:84" ht="12.6" customHeight="1" x14ac:dyDescent="0.25">
      <c r="A68" s="171" t="s">
        <v>240</v>
      </c>
      <c r="B68" s="175"/>
      <c r="C68" s="292">
        <f>IF(ISERR(VLOOKUP(VALUE(C$44),'SJ Data'!$A$4:$AC$58,13,0)="TRUE"),0,VLOOKUP(VALUE(C$44),'SJ Data'!$A$4:$AC$58,13,0))</f>
        <v>3956.95</v>
      </c>
      <c r="D68" s="292">
        <f>IF(ISERR(VLOOKUP(VALUE(D$44),'SJ Data'!$A$4:$AC$58,13,0)="TRUE"),0,VLOOKUP(VALUE(D$44),'SJ Data'!$A$4:$AC$58,13,0))</f>
        <v>0</v>
      </c>
      <c r="E68" s="292">
        <f>IF(ISERR(VLOOKUP(VALUE(E$44),'SJ Data'!$A$4:$AC$58,13,0)="TRUE"),0,VLOOKUP(VALUE(E$44),'SJ Data'!$A$4:$AC$58,13,0))</f>
        <v>52607.570000000007</v>
      </c>
      <c r="F68" s="292">
        <f>IF(ISERR(VLOOKUP(VALUE(F$44),'SJ Data'!$A$4:$AC$58,13,0)="TRUE"),0,VLOOKUP(VALUE(F$44),'SJ Data'!$A$4:$AC$58,13,0))</f>
        <v>0</v>
      </c>
      <c r="G68" s="292">
        <f>IF(ISERR(VLOOKUP(VALUE(G$44),'SJ Data'!$A$4:$AC$58,13,0)="TRUE"),0,VLOOKUP(VALUE(G$44),'SJ Data'!$A$4:$AC$58,13,0))</f>
        <v>17255.670000000002</v>
      </c>
      <c r="H68" s="292">
        <f>IF(ISERR(VLOOKUP(VALUE(H$44),'SJ Data'!$A$4:$AC$58,13,0)="TRUE"),0,VLOOKUP(VALUE(H$44),'SJ Data'!$A$4:$AC$58,13,0))</f>
        <v>1992.1799999999998</v>
      </c>
      <c r="I68" s="292">
        <f>IF(ISERR(VLOOKUP(VALUE(I$44),'SJ Data'!$A$4:$AC$58,13,0)="TRUE"),0,VLOOKUP(VALUE(I$44),'SJ Data'!$A$4:$AC$58,13,0))</f>
        <v>0</v>
      </c>
      <c r="J68" s="292">
        <f>IF(ISERR(VLOOKUP(VALUE(J$44),'SJ Data'!$A$4:$AC$58,13,0)="TRUE"),0,VLOOKUP(VALUE(J$44),'SJ Data'!$A$4:$AC$58,13,0))</f>
        <v>2259.4300000000003</v>
      </c>
      <c r="K68" s="292">
        <f>IF(ISERR(VLOOKUP(VALUE(K$44),'SJ Data'!$A$4:$AC$58,13,0)="TRUE"),0,VLOOKUP(VALUE(K$44),'SJ Data'!$A$4:$AC$58,13,0))</f>
        <v>0</v>
      </c>
      <c r="L68" s="292">
        <f>IF(ISERR(VLOOKUP(VALUE(L$44),'SJ Data'!$A$4:$AC$58,13,0)="TRUE"),0,VLOOKUP(VALUE(L$44),'SJ Data'!$A$4:$AC$58,13,0))</f>
        <v>0</v>
      </c>
      <c r="M68" s="292">
        <f>IF(ISERR(VLOOKUP(VALUE(M$44),'SJ Data'!$A$4:$AC$58,13,0)="TRUE"),0,VLOOKUP(VALUE(M$44),'SJ Data'!$A$4:$AC$58,13,0))</f>
        <v>0</v>
      </c>
      <c r="N68" s="292">
        <f>IF(ISERR(VLOOKUP(VALUE(N$44),'SJ Data'!$A$4:$AC$58,13,0)="TRUE"),0,VLOOKUP(VALUE(N$44),'SJ Data'!$A$4:$AC$58,13,0))</f>
        <v>0</v>
      </c>
      <c r="O68" s="292">
        <f>IF(ISERR(VLOOKUP(VALUE(O$44),'SJ Data'!$A$4:$AC$58,13,0)="TRUE"),0,VLOOKUP(VALUE(O$44),'SJ Data'!$A$4:$AC$58,13,0))</f>
        <v>199920.58</v>
      </c>
      <c r="P68" s="292">
        <f>IF(ISERR(VLOOKUP(VALUE(P$44),'SJ Data'!$A$4:$AC$58,13,0)="TRUE"),0,VLOOKUP(VALUE(P$44),'SJ Data'!$A$4:$AC$58,13,0))</f>
        <v>1165682.27</v>
      </c>
      <c r="Q68" s="292">
        <f>IF(ISERR(VLOOKUP(VALUE(Q$44),'SJ Data'!$A$4:$AC$58,13,0)="TRUE"),0,VLOOKUP(VALUE(Q$44),'SJ Data'!$A$4:$AC$58,13,0))</f>
        <v>2439.1699999999996</v>
      </c>
      <c r="R68" s="292">
        <f>IF(ISERR(VLOOKUP(VALUE(R$44),'SJ Data'!$A$4:$AC$58,13,0)="TRUE"),0,VLOOKUP(VALUE(R$44),'SJ Data'!$A$4:$AC$58,13,0))</f>
        <v>0</v>
      </c>
      <c r="S68" s="292">
        <f>IF(ISERR(VLOOKUP(VALUE(S$44),'SJ Data'!$A$4:$AC$58,13,0)="TRUE"),0,VLOOKUP(VALUE(S$44),'SJ Data'!$A$4:$AC$58,13,0))</f>
        <v>32071.35</v>
      </c>
      <c r="T68" s="292">
        <f>IF(ISERR(VLOOKUP(VALUE(T$44),'SJ Data'!$A$4:$AC$58,13,0)="TRUE"),0,VLOOKUP(VALUE(T$44),'SJ Data'!$A$4:$AC$58,13,0))</f>
        <v>397.34</v>
      </c>
      <c r="U68" s="292">
        <f>IF(ISERR(VLOOKUP(VALUE(U$44),'SJ Data'!$A$4:$AC$58,13,0)="TRUE"),0,VLOOKUP(VALUE(U$44),'SJ Data'!$A$4:$AC$58,13,0))</f>
        <v>1212894.77</v>
      </c>
      <c r="V68" s="292">
        <f>IF(ISERR(VLOOKUP(VALUE(V$44),'SJ Data'!$A$4:$AC$58,13,0)="TRUE"),0,VLOOKUP(VALUE(V$44),'SJ Data'!$A$4:$AC$58,13,0))</f>
        <v>0</v>
      </c>
      <c r="W68" s="292">
        <f>IF(ISERR(VLOOKUP(VALUE(W$44),'SJ Data'!$A$4:$AC$58,13,0)="TRUE"),0,VLOOKUP(VALUE(W$44),'SJ Data'!$A$4:$AC$58,13,0))</f>
        <v>0</v>
      </c>
      <c r="X68" s="292">
        <f>IF(ISERR(VLOOKUP(VALUE(X$44),'SJ Data'!$A$4:$AC$58,13,0)="TRUE"),0,VLOOKUP(VALUE(X$44),'SJ Data'!$A$4:$AC$58,13,0))</f>
        <v>460.06</v>
      </c>
      <c r="Y68" s="292">
        <f>IF(ISERR(VLOOKUP(VALUE(Y$44),'SJ Data'!$A$4:$AC$58,13,0)="TRUE"),0,VLOOKUP(VALUE(Y$44),'SJ Data'!$A$4:$AC$58,13,0))</f>
        <v>39121.390000000007</v>
      </c>
      <c r="Z68" s="292">
        <f>IF(ISERR(VLOOKUP(VALUE(Z$44),'SJ Data'!$A$4:$AC$58,13,0)="TRUE"),0,VLOOKUP(VALUE(Z$44),'SJ Data'!$A$4:$AC$58,13,0))</f>
        <v>0</v>
      </c>
      <c r="AA68" s="292">
        <f>IF(ISERR(VLOOKUP(VALUE(AA$44),'SJ Data'!$A$4:$AC$58,13,0)="TRUE"),0,VLOOKUP(VALUE(AA$44),'SJ Data'!$A$4:$AC$58,13,0))</f>
        <v>338.22</v>
      </c>
      <c r="AB68" s="292">
        <f>IF(ISERR(VLOOKUP(VALUE(AB$44),'SJ Data'!$A$4:$AC$58,13,0)="TRUE"),0,VLOOKUP(VALUE(AB$44),'SJ Data'!$A$4:$AC$58,13,0))</f>
        <v>85851.89</v>
      </c>
      <c r="AC68" s="292">
        <f>IF(ISERR(VLOOKUP(VALUE(AC$44),'SJ Data'!$A$4:$AC$58,13,0)="TRUE"),0,VLOOKUP(VALUE(AC$44),'SJ Data'!$A$4:$AC$58,13,0))</f>
        <v>122778.28</v>
      </c>
      <c r="AD68" s="292">
        <f>IF(ISERR(VLOOKUP(VALUE(AD$44),'SJ Data'!$A$4:$AC$58,13,0)="TRUE"),0,VLOOKUP(VALUE(AD$44),'SJ Data'!$A$4:$AC$58,13,0))</f>
        <v>9059.11</v>
      </c>
      <c r="AE68" s="292">
        <f>IF(ISERR(VLOOKUP(VALUE(AE$44),'SJ Data'!$A$4:$AC$58,13,0)="TRUE"),0,VLOOKUP(VALUE(AE$44),'SJ Data'!$A$4:$AC$58,13,0))</f>
        <v>158241.76999999999</v>
      </c>
      <c r="AF68" s="292">
        <f>IF(ISERR(VLOOKUP(VALUE(AF$44),'SJ Data'!$A$4:$AC$58,13,0)="TRUE"),0,VLOOKUP(VALUE(AF$44),'SJ Data'!$A$4:$AC$58,13,0))</f>
        <v>0</v>
      </c>
      <c r="AG68" s="292">
        <f>IF(ISERR(VLOOKUP(VALUE(AG$44),'SJ Data'!$A$4:$AC$58,13,0)="TRUE"),0,VLOOKUP(VALUE(AG$44),'SJ Data'!$A$4:$AC$58,13,0))</f>
        <v>33389.199999999997</v>
      </c>
      <c r="AH68" s="292">
        <f>IF(ISERR(VLOOKUP(VALUE(AH$44),'SJ Data'!$A$4:$AC$58,13,0)="TRUE"),0,VLOOKUP(VALUE(AH$44),'SJ Data'!$A$4:$AC$58,13,0))</f>
        <v>0</v>
      </c>
      <c r="AI68" s="292">
        <f>IF(ISERR(VLOOKUP(VALUE(AI$44),'SJ Data'!$A$4:$AC$58,13,0)="TRUE"),0,VLOOKUP(VALUE(AI$44),'SJ Data'!$A$4:$AC$58,13,0))</f>
        <v>16751.620000000003</v>
      </c>
      <c r="AJ68" s="292">
        <f>IF(ISERR(VLOOKUP(VALUE(AJ$44),'SJ Data'!$A$4:$AC$58,13,0)="TRUE"),0,VLOOKUP(VALUE(AJ$44),'SJ Data'!$A$4:$AC$58,13,0))</f>
        <v>457580.91</v>
      </c>
      <c r="AK68" s="292">
        <f>IF(ISERR(VLOOKUP(VALUE(AK$44),'SJ Data'!$A$4:$AC$58,13,0)="TRUE"),0,VLOOKUP(VALUE(AK$44),'SJ Data'!$A$4:$AC$58,13,0))</f>
        <v>0</v>
      </c>
      <c r="AL68" s="292">
        <f>IF(ISERR(VLOOKUP(VALUE(AL$44),'SJ Data'!$A$4:$AC$58,13,0)="TRUE"),0,VLOOKUP(VALUE(AL$44),'SJ Data'!$A$4:$AC$58,13,0))</f>
        <v>0</v>
      </c>
      <c r="AM68" s="292">
        <f>IF(ISERR(VLOOKUP(VALUE(AM$44),'SJ Data'!$A$4:$AC$58,13,0)="TRUE"),0,VLOOKUP(VALUE(AM$44),'SJ Data'!$A$4:$AC$58,13,0))</f>
        <v>0</v>
      </c>
      <c r="AN68" s="292">
        <f>IF(ISERR(VLOOKUP(VALUE(AN$44),'SJ Data'!$A$4:$AC$58,13,0)="TRUE"),0,VLOOKUP(VALUE(AN$44),'SJ Data'!$A$4:$AC$58,13,0))</f>
        <v>0</v>
      </c>
      <c r="AO68" s="292">
        <f>IF(ISERR(VLOOKUP(VALUE(AO$44),'SJ Data'!$A$4:$AC$58,13,0)="TRUE"),0,VLOOKUP(VALUE(AO$44),'SJ Data'!$A$4:$AC$58,13,0))</f>
        <v>0</v>
      </c>
      <c r="AP68" s="292">
        <f>IF(ISERR(VLOOKUP(VALUE(AP$44),'SJ Data'!$A$4:$AC$58,13,0)="TRUE"),0,VLOOKUP(VALUE(AP$44),'SJ Data'!$A$4:$AC$58,13,0))</f>
        <v>171658.51</v>
      </c>
      <c r="AQ68" s="292">
        <f>IF(ISERR(VLOOKUP(VALUE(AQ$44),'SJ Data'!$A$4:$AC$58,13,0)="TRUE"),0,VLOOKUP(VALUE(AQ$44),'SJ Data'!$A$4:$AC$58,13,0))</f>
        <v>0</v>
      </c>
      <c r="AR68" s="292">
        <f>IF(ISERR(VLOOKUP(VALUE(AR$44),'SJ Data'!$A$4:$AC$58,13,0)="TRUE"),0,VLOOKUP(VALUE(AR$44),'SJ Data'!$A$4:$AC$58,13,0))</f>
        <v>1342851.29</v>
      </c>
      <c r="AS68" s="292">
        <f>IF(ISERR(VLOOKUP(VALUE(AS$44),'SJ Data'!$A$4:$AC$58,13,0)="TRUE"),0,VLOOKUP(VALUE(AS$44),'SJ Data'!$A$4:$AC$58,13,0))</f>
        <v>0</v>
      </c>
      <c r="AT68" s="292">
        <f>IF(ISERR(VLOOKUP(VALUE(AT$44),'SJ Data'!$A$4:$AC$58,13,0)="TRUE"),0,VLOOKUP(VALUE(AT$44),'SJ Data'!$A$4:$AC$58,13,0))</f>
        <v>0</v>
      </c>
      <c r="AU68" s="292">
        <f>IF(ISERR(VLOOKUP(VALUE(AU$44),'SJ Data'!$A$4:$AC$58,13,0)="TRUE"),0,VLOOKUP(VALUE(AU$44),'SJ Data'!$A$4:$AC$58,13,0))</f>
        <v>0</v>
      </c>
      <c r="AV68" s="292">
        <f>IF(ISERR(VLOOKUP(VALUE(AV$44),'SJ Data'!$A$4:$AC$58,13,0)="TRUE"),0,VLOOKUP(VALUE(AV$44),'SJ Data'!$A$4:$AC$58,13,0))+'SJ Data'!M56</f>
        <v>991383.83000000007</v>
      </c>
      <c r="AW68" s="292">
        <f>IF(ISERR(VLOOKUP(VALUE(AW$44),'SJ Data'!$A$4:$AC$58,13,0)="TRUE"),0,VLOOKUP(VALUE(AW$44),'SJ Data'!$A$4:$AC$58,13,0))</f>
        <v>0</v>
      </c>
      <c r="AX68" s="292">
        <f>IF(ISERR(VLOOKUP(VALUE(AX$44),'SJ Data'!$A$4:$AC$58,13,0)="TRUE"),0,VLOOKUP(VALUE(AX$44),'SJ Data'!$A$4:$AC$58,13,0))</f>
        <v>0</v>
      </c>
      <c r="AY68" s="292">
        <f>IF(ISERR(VLOOKUP(VALUE(AY$44),'SJ Data'!$A$4:$AC$58,13,0)="TRUE"),0,VLOOKUP(VALUE(AY$44),'SJ Data'!$A$4:$AC$58,13,0))</f>
        <v>0</v>
      </c>
      <c r="AZ68" s="292">
        <f>IF(ISERR(VLOOKUP(VALUE(AZ$44),'SJ Data'!$A$4:$AC$58,13,0)="TRUE"),0,VLOOKUP(VALUE(AZ$44),'SJ Data'!$A$4:$AC$58,13,0))</f>
        <v>98711.98000000001</v>
      </c>
      <c r="BA68" s="292">
        <f>IF(ISERR(VLOOKUP(VALUE(BA$44),'SJ Data'!$A$4:$AC$58,13,0)="TRUE"),0,VLOOKUP(VALUE(BA$44),'SJ Data'!$A$4:$AC$58,13,0))</f>
        <v>29.51</v>
      </c>
      <c r="BB68" s="292">
        <f>IF(ISERR(VLOOKUP(VALUE(BB$44),'SJ Data'!$A$4:$AC$58,13,0)="TRUE"),0,VLOOKUP(VALUE(BB$44),'SJ Data'!$A$4:$AC$58,13,0))</f>
        <v>0</v>
      </c>
      <c r="BC68" s="292">
        <f>IF(ISERR(VLOOKUP(VALUE(BC$44),'SJ Data'!$A$4:$AC$58,13,0)="TRUE"),0,VLOOKUP(VALUE(BC$44),'SJ Data'!$A$4:$AC$58,13,0))</f>
        <v>1851.12</v>
      </c>
      <c r="BD68" s="292">
        <f>IF(ISERR(VLOOKUP(VALUE(BD$44),'SJ Data'!$A$4:$AC$58,13,0)="TRUE"),0,VLOOKUP(VALUE(BD$44),'SJ Data'!$A$4:$AC$58,13,0))</f>
        <v>0</v>
      </c>
      <c r="BE68" s="292">
        <f>IF(ISERR(VLOOKUP(VALUE(BE$44),'SJ Data'!$A$4:$AC$58,13,0)="TRUE"),0,VLOOKUP(VALUE(BE$44),'SJ Data'!$A$4:$AC$58,13,0))</f>
        <v>2440647.35</v>
      </c>
      <c r="BF68" s="292">
        <f>IF(ISERR(VLOOKUP(VALUE(BF$44),'SJ Data'!$A$4:$AC$58,13,0)="TRUE"),0,VLOOKUP(VALUE(BF$44),'SJ Data'!$A$4:$AC$58,13,0))</f>
        <v>3718.32</v>
      </c>
      <c r="BG68" s="292">
        <f>IF(ISERR(VLOOKUP(VALUE(BG$44),'SJ Data'!$A$4:$AC$58,13,0)="TRUE"),0,VLOOKUP(VALUE(BG$44),'SJ Data'!$A$4:$AC$58,13,0))</f>
        <v>0</v>
      </c>
      <c r="BH68" s="292">
        <f>IF(ISERR(VLOOKUP(VALUE(BH$44),'SJ Data'!$A$4:$AC$58,13,0)="TRUE"),0,VLOOKUP(VALUE(BH$44),'SJ Data'!$A$4:$AC$58,13,0))</f>
        <v>0</v>
      </c>
      <c r="BI68" s="292">
        <f>IF(ISERR(VLOOKUP(VALUE(BI$44),'SJ Data'!$A$4:$AC$58,13,0)="TRUE"),0,VLOOKUP(VALUE(BI$44),'SJ Data'!$A$4:$AC$58,13,0))</f>
        <v>0</v>
      </c>
      <c r="BJ68" s="292">
        <f>IF(ISERR(VLOOKUP(VALUE(BJ$44),'SJ Data'!$A$4:$AC$58,13,0)="TRUE"),0,VLOOKUP(VALUE(BJ$44),'SJ Data'!$A$4:$AC$58,13,0))</f>
        <v>0</v>
      </c>
      <c r="BK68" s="292">
        <f>IF(ISERR(VLOOKUP(VALUE(BK$44),'SJ Data'!$A$4:$AC$58,13,0)="TRUE"),0,VLOOKUP(VALUE(BK$44),'SJ Data'!$A$4:$AC$58,13,0))</f>
        <v>0</v>
      </c>
      <c r="BL68" s="292">
        <f>IF(ISERR(VLOOKUP(VALUE(BL$44),'SJ Data'!$A$4:$AC$58,13,0)="TRUE"),0,VLOOKUP(VALUE(BL$44),'SJ Data'!$A$4:$AC$58,13,0))</f>
        <v>15809.16</v>
      </c>
      <c r="BM68" s="292">
        <f>IF(ISERR(VLOOKUP(VALUE(BM$44),'SJ Data'!$A$4:$AC$58,13,0)="TRUE"),0,VLOOKUP(VALUE(BM$44),'SJ Data'!$A$4:$AC$58,13,0))</f>
        <v>0</v>
      </c>
      <c r="BN68" s="292">
        <f>IF(ISERR(VLOOKUP(VALUE(BN$44),'SJ Data'!$A$4:$AC$58,13,0)="TRUE"),0,VLOOKUP(VALUE(BN$44),'SJ Data'!$A$4:$AC$58,13,0))</f>
        <v>82284.510000000009</v>
      </c>
      <c r="BO68" s="292">
        <f>IF(ISERR(VLOOKUP(VALUE(BO$44),'SJ Data'!$A$4:$AC$58,13,0)="TRUE"),0,VLOOKUP(VALUE(BO$44),'SJ Data'!$A$4:$AC$58,13,0))</f>
        <v>0</v>
      </c>
      <c r="BP68" s="292">
        <f>IF(ISERR(VLOOKUP(VALUE(BP$44),'SJ Data'!$A$4:$AC$58,13,0)="TRUE"),0,VLOOKUP(VALUE(BP$44),'SJ Data'!$A$4:$AC$58,13,0))</f>
        <v>0</v>
      </c>
      <c r="BQ68" s="292">
        <f>IF(ISERR(VLOOKUP(VALUE(BQ$44),'SJ Data'!$A$4:$AC$58,13,0)="TRUE"),0,VLOOKUP(VALUE(BQ$44),'SJ Data'!$A$4:$AC$58,13,0))</f>
        <v>0</v>
      </c>
      <c r="BR68" s="292">
        <f>IF(ISERR(VLOOKUP(VALUE(BR$44),'SJ Data'!$A$4:$AC$58,13,0)="TRUE"),0,VLOOKUP(VALUE(BR$44),'SJ Data'!$A$4:$AC$58,13,0))</f>
        <v>0</v>
      </c>
      <c r="BS68" s="292">
        <f>IF(ISERR(VLOOKUP(VALUE(BS$44),'SJ Data'!$A$4:$AC$58,13,0)="TRUE"),0,VLOOKUP(VALUE(BS$44),'SJ Data'!$A$4:$AC$58,13,0))</f>
        <v>0</v>
      </c>
      <c r="BT68" s="292">
        <f>IF(ISERR(VLOOKUP(VALUE(BT$44),'SJ Data'!$A$4:$AC$58,13,0)="TRUE"),0,VLOOKUP(VALUE(BT$44),'SJ Data'!$A$4:$AC$58,13,0))</f>
        <v>0</v>
      </c>
      <c r="BU68" s="292">
        <f>IF(ISERR(VLOOKUP(VALUE(BU$44),'SJ Data'!$A$4:$AC$58,13,0)="TRUE"),0,VLOOKUP(VALUE(BU$44),'SJ Data'!$A$4:$AC$58,13,0))</f>
        <v>0</v>
      </c>
      <c r="BV68" s="292">
        <f>IF(ISERR(VLOOKUP(VALUE(BV$44),'SJ Data'!$A$4:$AC$58,13,0)="TRUE"),0,VLOOKUP(VALUE(BV$44),'SJ Data'!$A$4:$AC$58,13,0))</f>
        <v>0</v>
      </c>
      <c r="BW68" s="292">
        <f>IF(ISERR(VLOOKUP(VALUE(BW$44),'SJ Data'!$A$4:$AC$58,13,0)="TRUE"),0,VLOOKUP(VALUE(BW$44),'SJ Data'!$A$4:$AC$58,13,0))</f>
        <v>0</v>
      </c>
      <c r="BX68" s="292">
        <f>IF(ISERR(VLOOKUP(VALUE(BX$44),'SJ Data'!$A$4:$AC$58,13,0)="TRUE"),0,VLOOKUP(VALUE(BX$44),'SJ Data'!$A$4:$AC$58,13,0))</f>
        <v>0</v>
      </c>
      <c r="BY68" s="292">
        <f>IF(ISERR(VLOOKUP(VALUE(BY$44),'SJ Data'!$A$4:$AC$58,13,0)="TRUE"),0,VLOOKUP(VALUE(BY$44),'SJ Data'!$A$4:$AC$58,13,0))</f>
        <v>5141.4399999999996</v>
      </c>
      <c r="BZ68" s="292">
        <f>IF(ISERR(VLOOKUP(VALUE(BZ$44),'SJ Data'!$A$4:$AC$58,13,0)="TRUE"),0,VLOOKUP(VALUE(BZ$44),'SJ Data'!$A$4:$AC$58,13,0))</f>
        <v>0</v>
      </c>
      <c r="CA68" s="292">
        <f>IF(ISERR(VLOOKUP(VALUE(CA$44),'SJ Data'!$A$4:$AC$58,13,0)="TRUE"),0,VLOOKUP(VALUE(CA$44),'SJ Data'!$A$4:$AC$58,13,0))</f>
        <v>0</v>
      </c>
      <c r="CB68" s="292">
        <f>IF(ISERR(VLOOKUP(VALUE(CB$44),'SJ Data'!$A$4:$AC$58,13,0)="TRUE"),0,VLOOKUP(VALUE(CB$44),'SJ Data'!$A$4:$AC$58,13,0))</f>
        <v>-21.46</v>
      </c>
      <c r="CC68" s="292">
        <f>IF(ISERR(VLOOKUP(VALUE(CC$44),'SJ Data'!$A$4:$AC$58,13,0)="TRUE"),0,VLOOKUP(VALUE(CC$44),'SJ Data'!$A$4:$AC$58,13,0))</f>
        <v>0</v>
      </c>
      <c r="CD68" s="248" t="s">
        <v>221</v>
      </c>
      <c r="CE68" s="195">
        <f t="shared" si="0"/>
        <v>8769115.290000001</v>
      </c>
      <c r="CF68" s="251"/>
    </row>
    <row r="69" spans="1:84" ht="12.6" customHeight="1" x14ac:dyDescent="0.25">
      <c r="A69" s="171" t="s">
        <v>241</v>
      </c>
      <c r="B69" s="175"/>
      <c r="C69" s="292">
        <f>IF(ISERR(VLOOKUP(VALUE(C$44),'SJ Data'!$A$4:$AC$58,17,0)="TRUE"),0,VLOOKUP(VALUE(C$44),'SJ Data'!$A$4:$AC$58,17,0))</f>
        <v>66380.97</v>
      </c>
      <c r="D69" s="292">
        <f>IF(ISERR(VLOOKUP(VALUE(D$44),'SJ Data'!$A$4:$AC$58,17,0)="TRUE"),0,VLOOKUP(VALUE(D$44),'SJ Data'!$A$4:$AC$58,17,0))</f>
        <v>0</v>
      </c>
      <c r="E69" s="292">
        <f>IF(ISERR(VLOOKUP(VALUE(E$44),'SJ Data'!$A$4:$AC$58,17,0)="TRUE"),0,VLOOKUP(VALUE(E$44),'SJ Data'!$A$4:$AC$58,17,0))</f>
        <v>73342.44</v>
      </c>
      <c r="F69" s="292">
        <f>IF(ISERR(VLOOKUP(VALUE(F$44),'SJ Data'!$A$4:$AC$58,17,0)="TRUE"),0,VLOOKUP(VALUE(F$44),'SJ Data'!$A$4:$AC$58,17,0))</f>
        <v>0</v>
      </c>
      <c r="G69" s="292">
        <f>IF(ISERR(VLOOKUP(VALUE(G$44),'SJ Data'!$A$4:$AC$58,17,0)="TRUE"),0,VLOOKUP(VALUE(G$44),'SJ Data'!$A$4:$AC$58,17,0))</f>
        <v>25249.909999999996</v>
      </c>
      <c r="H69" s="292">
        <f>IF(ISERR(VLOOKUP(VALUE(H$44),'SJ Data'!$A$4:$AC$58,17,0)="TRUE"),0,VLOOKUP(VALUE(H$44),'SJ Data'!$A$4:$AC$58,17,0))</f>
        <v>22596.260000000002</v>
      </c>
      <c r="I69" s="292">
        <f>IF(ISERR(VLOOKUP(VALUE(I$44),'SJ Data'!$A$4:$AC$58,17,0)="TRUE"),0,VLOOKUP(VALUE(I$44),'SJ Data'!$A$4:$AC$58,17,0))</f>
        <v>0</v>
      </c>
      <c r="J69" s="292">
        <f>IF(ISERR(VLOOKUP(VALUE(J$44),'SJ Data'!$A$4:$AC$58,17,0)="TRUE"),0,VLOOKUP(VALUE(J$44),'SJ Data'!$A$4:$AC$58,17,0))</f>
        <v>41512.19</v>
      </c>
      <c r="K69" s="292">
        <f>IF(ISERR(VLOOKUP(VALUE(K$44),'SJ Data'!$A$4:$AC$58,17,0)="TRUE"),0,VLOOKUP(VALUE(K$44),'SJ Data'!$A$4:$AC$58,17,0))</f>
        <v>0</v>
      </c>
      <c r="L69" s="292">
        <f>IF(ISERR(VLOOKUP(VALUE(L$44),'SJ Data'!$A$4:$AC$58,17,0)="TRUE"),0,VLOOKUP(VALUE(L$44),'SJ Data'!$A$4:$AC$58,17,0))</f>
        <v>0</v>
      </c>
      <c r="M69" s="292">
        <f>IF(ISERR(VLOOKUP(VALUE(M$44),'SJ Data'!$A$4:$AC$58,17,0)="TRUE"),0,VLOOKUP(VALUE(M$44),'SJ Data'!$A$4:$AC$58,17,0))</f>
        <v>0</v>
      </c>
      <c r="N69" s="292">
        <f>IF(ISERR(VLOOKUP(VALUE(N$44),'SJ Data'!$A$4:$AC$58,17,0)="TRUE"),0,VLOOKUP(VALUE(N$44),'SJ Data'!$A$4:$AC$58,17,0))</f>
        <v>0</v>
      </c>
      <c r="O69" s="292">
        <f>IF(ISERR(VLOOKUP(VALUE(O$44),'SJ Data'!$A$4:$AC$58,17,0)="TRUE"),0,VLOOKUP(VALUE(O$44),'SJ Data'!$A$4:$AC$58,17,0))</f>
        <v>62819.159999999996</v>
      </c>
      <c r="P69" s="292">
        <f>IF(ISERR(VLOOKUP(VALUE(P$44),'SJ Data'!$A$4:$AC$58,17,0)="TRUE"),0,VLOOKUP(VALUE(P$44),'SJ Data'!$A$4:$AC$58,17,0))</f>
        <v>154161.37</v>
      </c>
      <c r="Q69" s="292">
        <f>IF(ISERR(VLOOKUP(VALUE(Q$44),'SJ Data'!$A$4:$AC$58,17,0)="TRUE"),0,VLOOKUP(VALUE(Q$44),'SJ Data'!$A$4:$AC$58,17,0))</f>
        <v>12478.490000000002</v>
      </c>
      <c r="R69" s="292">
        <f>IF(ISERR(VLOOKUP(VALUE(R$44),'SJ Data'!$A$4:$AC$58,17,0)="TRUE"),0,VLOOKUP(VALUE(R$44),'SJ Data'!$A$4:$AC$58,17,0))</f>
        <v>0</v>
      </c>
      <c r="S69" s="292">
        <f>IF(ISERR(VLOOKUP(VALUE(S$44),'SJ Data'!$A$4:$AC$58,17,0)="TRUE"),0,VLOOKUP(VALUE(S$44),'SJ Data'!$A$4:$AC$58,17,0))</f>
        <v>60407.43</v>
      </c>
      <c r="T69" s="292">
        <f>IF(ISERR(VLOOKUP(VALUE(T$44),'SJ Data'!$A$4:$AC$58,17,0)="TRUE"),0,VLOOKUP(VALUE(T$44),'SJ Data'!$A$4:$AC$58,17,0))</f>
        <v>955</v>
      </c>
      <c r="U69" s="292">
        <f>IF(ISERR(VLOOKUP(VALUE(U$44),'SJ Data'!$A$4:$AC$58,17,0)="TRUE"),0,VLOOKUP(VALUE(U$44),'SJ Data'!$A$4:$AC$58,17,0))</f>
        <v>190028.11000000002</v>
      </c>
      <c r="V69" s="292">
        <f>IF(ISERR(VLOOKUP(VALUE(V$44),'SJ Data'!$A$4:$AC$58,17,0)="TRUE"),0,VLOOKUP(VALUE(V$44),'SJ Data'!$A$4:$AC$58,17,0))</f>
        <v>0</v>
      </c>
      <c r="W69" s="292">
        <f>IF(ISERR(VLOOKUP(VALUE(W$44),'SJ Data'!$A$4:$AC$58,17,0)="TRUE"),0,VLOOKUP(VALUE(W$44),'SJ Data'!$A$4:$AC$58,17,0))</f>
        <v>0</v>
      </c>
      <c r="X69" s="292">
        <f>IF(ISERR(VLOOKUP(VALUE(X$44),'SJ Data'!$A$4:$AC$58,17,0)="TRUE"),0,VLOOKUP(VALUE(X$44),'SJ Data'!$A$4:$AC$58,17,0))</f>
        <v>0</v>
      </c>
      <c r="Y69" s="292">
        <f>IF(ISERR(VLOOKUP(VALUE(Y$44),'SJ Data'!$A$4:$AC$58,17,0)="TRUE"),0,VLOOKUP(VALUE(Y$44),'SJ Data'!$A$4:$AC$58,17,0))</f>
        <v>7243.8899999999994</v>
      </c>
      <c r="Z69" s="292">
        <f>IF(ISERR(VLOOKUP(VALUE(Z$44),'SJ Data'!$A$4:$AC$58,17,0)="TRUE"),0,VLOOKUP(VALUE(Z$44),'SJ Data'!$A$4:$AC$58,17,0))</f>
        <v>0</v>
      </c>
      <c r="AA69" s="292">
        <f>IF(ISERR(VLOOKUP(VALUE(AA$44),'SJ Data'!$A$4:$AC$58,17,0)="TRUE"),0,VLOOKUP(VALUE(AA$44),'SJ Data'!$A$4:$AC$58,17,0))</f>
        <v>2.71</v>
      </c>
      <c r="AB69" s="292">
        <f>IF(ISERR(VLOOKUP(VALUE(AB$44),'SJ Data'!$A$4:$AC$58,17,0)="TRUE"),0,VLOOKUP(VALUE(AB$44),'SJ Data'!$A$4:$AC$58,17,0))</f>
        <v>2948200.05</v>
      </c>
      <c r="AC69" s="292">
        <f>IF(ISERR(VLOOKUP(VALUE(AC$44),'SJ Data'!$A$4:$AC$58,17,0)="TRUE"),0,VLOOKUP(VALUE(AC$44),'SJ Data'!$A$4:$AC$58,17,0))</f>
        <v>5058.32</v>
      </c>
      <c r="AD69" s="292">
        <f>IF(ISERR(VLOOKUP(VALUE(AD$44),'SJ Data'!$A$4:$AC$58,17,0)="TRUE"),0,VLOOKUP(VALUE(AD$44),'SJ Data'!$A$4:$AC$58,17,0))</f>
        <v>66808.259999999995</v>
      </c>
      <c r="AE69" s="292">
        <f>IF(ISERR(VLOOKUP(VALUE(AE$44),'SJ Data'!$A$4:$AC$58,17,0)="TRUE"),0,VLOOKUP(VALUE(AE$44),'SJ Data'!$A$4:$AC$58,17,0))</f>
        <v>20807.079999999998</v>
      </c>
      <c r="AF69" s="292">
        <f>IF(ISERR(VLOOKUP(VALUE(AF$44),'SJ Data'!$A$4:$AC$58,17,0)="TRUE"),0,VLOOKUP(VALUE(AF$44),'SJ Data'!$A$4:$AC$58,17,0))</f>
        <v>0</v>
      </c>
      <c r="AG69" s="292">
        <f>IF(ISERR(VLOOKUP(VALUE(AG$44),'SJ Data'!$A$4:$AC$58,17,0)="TRUE"),0,VLOOKUP(VALUE(AG$44),'SJ Data'!$A$4:$AC$58,17,0))</f>
        <v>56998.09</v>
      </c>
      <c r="AH69" s="292">
        <f>IF(ISERR(VLOOKUP(VALUE(AH$44),'SJ Data'!$A$4:$AC$58,17,0)="TRUE"),0,VLOOKUP(VALUE(AH$44),'SJ Data'!$A$4:$AC$58,17,0))</f>
        <v>0</v>
      </c>
      <c r="AI69" s="292">
        <f>IF(ISERR(VLOOKUP(VALUE(AI$44),'SJ Data'!$A$4:$AC$58,17,0)="TRUE"),0,VLOOKUP(VALUE(AI$44),'SJ Data'!$A$4:$AC$58,17,0))</f>
        <v>37658.99</v>
      </c>
      <c r="AJ69" s="292">
        <f>IF(ISERR(VLOOKUP(VALUE(AJ$44),'SJ Data'!$A$4:$AC$58,17,0)="TRUE"),0,VLOOKUP(VALUE(AJ$44),'SJ Data'!$A$4:$AC$58,17,0))</f>
        <v>26305.019999999997</v>
      </c>
      <c r="AK69" s="292">
        <f>IF(ISERR(VLOOKUP(VALUE(AK$44),'SJ Data'!$A$4:$AC$58,17,0)="TRUE"),0,VLOOKUP(VALUE(AK$44),'SJ Data'!$A$4:$AC$58,17,0))</f>
        <v>6996.64</v>
      </c>
      <c r="AL69" s="292">
        <f>IF(ISERR(VLOOKUP(VALUE(AL$44),'SJ Data'!$A$4:$AC$58,17,0)="TRUE"),0,VLOOKUP(VALUE(AL$44),'SJ Data'!$A$4:$AC$58,17,0))</f>
        <v>4906.0200000000004</v>
      </c>
      <c r="AM69" s="292">
        <f>IF(ISERR(VLOOKUP(VALUE(AM$44),'SJ Data'!$A$4:$AC$58,17,0)="TRUE"),0,VLOOKUP(VALUE(AM$44),'SJ Data'!$A$4:$AC$58,17,0))</f>
        <v>0</v>
      </c>
      <c r="AN69" s="292">
        <f>IF(ISERR(VLOOKUP(VALUE(AN$44),'SJ Data'!$A$4:$AC$58,17,0)="TRUE"),0,VLOOKUP(VALUE(AN$44),'SJ Data'!$A$4:$AC$58,17,0))</f>
        <v>0</v>
      </c>
      <c r="AO69" s="292">
        <f>IF(ISERR(VLOOKUP(VALUE(AO$44),'SJ Data'!$A$4:$AC$58,17,0)="TRUE"),0,VLOOKUP(VALUE(AO$44),'SJ Data'!$A$4:$AC$58,17,0))</f>
        <v>0</v>
      </c>
      <c r="AP69" s="292">
        <f>IF(ISERR(VLOOKUP(VALUE(AP$44),'SJ Data'!$A$4:$AC$58,17,0)="TRUE"),0,VLOOKUP(VALUE(AP$44),'SJ Data'!$A$4:$AC$58,17,0))</f>
        <v>388.21000000000004</v>
      </c>
      <c r="AQ69" s="292">
        <f>IF(ISERR(VLOOKUP(VALUE(AQ$44),'SJ Data'!$A$4:$AC$58,17,0)="TRUE"),0,VLOOKUP(VALUE(AQ$44),'SJ Data'!$A$4:$AC$58,17,0))</f>
        <v>0</v>
      </c>
      <c r="AR69" s="292">
        <f>IF(ISERR(VLOOKUP(VALUE(AR$44),'SJ Data'!$A$4:$AC$58,17,0)="TRUE"),0,VLOOKUP(VALUE(AR$44),'SJ Data'!$A$4:$AC$58,17,0))</f>
        <v>1049183.6500000001</v>
      </c>
      <c r="AS69" s="292">
        <f>IF(ISERR(VLOOKUP(VALUE(AS$44),'SJ Data'!$A$4:$AC$58,17,0)="TRUE"),0,VLOOKUP(VALUE(AS$44),'SJ Data'!$A$4:$AC$58,17,0))</f>
        <v>0</v>
      </c>
      <c r="AT69" s="292">
        <f>IF(ISERR(VLOOKUP(VALUE(AT$44),'SJ Data'!$A$4:$AC$58,17,0)="TRUE"),0,VLOOKUP(VALUE(AT$44),'SJ Data'!$A$4:$AC$58,17,0))</f>
        <v>0</v>
      </c>
      <c r="AU69" s="292">
        <f>IF(ISERR(VLOOKUP(VALUE(AU$44),'SJ Data'!$A$4:$AC$58,17,0)="TRUE"),0,VLOOKUP(VALUE(AU$44),'SJ Data'!$A$4:$AC$58,17,0))</f>
        <v>0</v>
      </c>
      <c r="AV69" s="292">
        <f>IF(ISERR(VLOOKUP(VALUE(AV$44),'SJ Data'!$A$4:$AC$58,17,0)="TRUE"),0,VLOOKUP(VALUE(AV$44),'SJ Data'!$A$4:$AC$58,17,0))+2119747</f>
        <v>3147937.02</v>
      </c>
      <c r="AW69" s="292">
        <f>IF(ISERR(VLOOKUP(VALUE(AW$44),'SJ Data'!$A$4:$AC$58,17,0)="TRUE"),0,VLOOKUP(VALUE(AW$44),'SJ Data'!$A$4:$AC$58,17,0))</f>
        <v>0</v>
      </c>
      <c r="AX69" s="292">
        <f>IF(ISERR(VLOOKUP(VALUE(AX$44),'SJ Data'!$A$4:$AC$58,17,0)="TRUE"),0,VLOOKUP(VALUE(AX$44),'SJ Data'!$A$4:$AC$58,17,0))</f>
        <v>0</v>
      </c>
      <c r="AY69" s="292">
        <f>IF(ISERR(VLOOKUP(VALUE(AY$44),'SJ Data'!$A$4:$AC$58,17,0)="TRUE"),0,VLOOKUP(VALUE(AY$44),'SJ Data'!$A$4:$AC$58,17,0))</f>
        <v>0</v>
      </c>
      <c r="AZ69" s="292">
        <f>IF(ISERR(VLOOKUP(VALUE(AZ$44),'SJ Data'!$A$4:$AC$58,17,0)="TRUE"),0,VLOOKUP(VALUE(AZ$44),'SJ Data'!$A$4:$AC$58,17,0))</f>
        <v>134325.93</v>
      </c>
      <c r="BA69" s="292">
        <f>IF(ISERR(VLOOKUP(VALUE(BA$44),'SJ Data'!$A$4:$AC$58,17,0)="TRUE"),0,VLOOKUP(VALUE(BA$44),'SJ Data'!$A$4:$AC$58,17,0))</f>
        <v>0</v>
      </c>
      <c r="BB69" s="292">
        <f>IF(ISERR(VLOOKUP(VALUE(BB$44),'SJ Data'!$A$4:$AC$58,17,0)="TRUE"),0,VLOOKUP(VALUE(BB$44),'SJ Data'!$A$4:$AC$58,17,0))</f>
        <v>0</v>
      </c>
      <c r="BC69" s="292">
        <f>IF(ISERR(VLOOKUP(VALUE(BC$44),'SJ Data'!$A$4:$AC$58,17,0)="TRUE"),0,VLOOKUP(VALUE(BC$44),'SJ Data'!$A$4:$AC$58,17,0))</f>
        <v>1183.19</v>
      </c>
      <c r="BD69" s="292">
        <f>IF(ISERR(VLOOKUP(VALUE(BD$44),'SJ Data'!$A$4:$AC$58,17,0)="TRUE"),0,VLOOKUP(VALUE(BD$44),'SJ Data'!$A$4:$AC$58,17,0))</f>
        <v>0</v>
      </c>
      <c r="BE69" s="292">
        <f>IF(ISERR(VLOOKUP(VALUE(BE$44),'SJ Data'!$A$4:$AC$58,17,0)="TRUE"),0,VLOOKUP(VALUE(BE$44),'SJ Data'!$A$4:$AC$58,17,0))</f>
        <v>412579.61000000004</v>
      </c>
      <c r="BF69" s="292">
        <f>IF(ISERR(VLOOKUP(VALUE(BF$44),'SJ Data'!$A$4:$AC$58,17,0)="TRUE"),0,VLOOKUP(VALUE(BF$44),'SJ Data'!$A$4:$AC$58,17,0))</f>
        <v>5019.7700000000004</v>
      </c>
      <c r="BG69" s="292">
        <f>IF(ISERR(VLOOKUP(VALUE(BG$44),'SJ Data'!$A$4:$AC$58,17,0)="TRUE"),0,VLOOKUP(VALUE(BG$44),'SJ Data'!$A$4:$AC$58,17,0))</f>
        <v>0</v>
      </c>
      <c r="BH69" s="292">
        <f>IF(ISERR(VLOOKUP(VALUE(BH$44),'SJ Data'!$A$4:$AC$58,17,0)="TRUE"),0,VLOOKUP(VALUE(BH$44),'SJ Data'!$A$4:$AC$58,17,0))</f>
        <v>0</v>
      </c>
      <c r="BI69" s="292">
        <f>IF(ISERR(VLOOKUP(VALUE(BI$44),'SJ Data'!$A$4:$AC$58,17,0)="TRUE"),0,VLOOKUP(VALUE(BI$44),'SJ Data'!$A$4:$AC$58,17,0))</f>
        <v>2639.12</v>
      </c>
      <c r="BJ69" s="292">
        <f>IF(ISERR(VLOOKUP(VALUE(BJ$44),'SJ Data'!$A$4:$AC$58,17,0)="TRUE"),0,VLOOKUP(VALUE(BJ$44),'SJ Data'!$A$4:$AC$58,17,0))</f>
        <v>0</v>
      </c>
      <c r="BK69" s="292">
        <f>IF(ISERR(VLOOKUP(VALUE(BK$44),'SJ Data'!$A$4:$AC$58,17,0)="TRUE"),0,VLOOKUP(VALUE(BK$44),'SJ Data'!$A$4:$AC$58,17,0))</f>
        <v>0</v>
      </c>
      <c r="BL69" s="292">
        <f>IF(ISERR(VLOOKUP(VALUE(BL$44),'SJ Data'!$A$4:$AC$58,17,0)="TRUE"),0,VLOOKUP(VALUE(BL$44),'SJ Data'!$A$4:$AC$58,17,0))</f>
        <v>7329.33</v>
      </c>
      <c r="BM69" s="292">
        <f>IF(ISERR(VLOOKUP(VALUE(BM$44),'SJ Data'!$A$4:$AC$58,17,0)="TRUE"),0,VLOOKUP(VALUE(BM$44),'SJ Data'!$A$4:$AC$58,17,0))</f>
        <v>0</v>
      </c>
      <c r="BN69" s="292">
        <f>IF(ISERR(VLOOKUP(VALUE(BN$44),'SJ Data'!$A$4:$AC$58,17,0)="TRUE"),0,VLOOKUP(VALUE(BN$44),'SJ Data'!$A$4:$AC$58,17,0))</f>
        <v>429312.37999999989</v>
      </c>
      <c r="BO69" s="292">
        <f>IF(ISERR(VLOOKUP(VALUE(BO$44),'SJ Data'!$A$4:$AC$58,17,0)="TRUE"),0,VLOOKUP(VALUE(BO$44),'SJ Data'!$A$4:$AC$58,17,0))</f>
        <v>0</v>
      </c>
      <c r="BP69" s="292">
        <f>IF(ISERR(VLOOKUP(VALUE(BP$44),'SJ Data'!$A$4:$AC$58,17,0)="TRUE"),0,VLOOKUP(VALUE(BP$44),'SJ Data'!$A$4:$AC$58,17,0))</f>
        <v>0</v>
      </c>
      <c r="BQ69" s="292">
        <f>IF(ISERR(VLOOKUP(VALUE(BQ$44),'SJ Data'!$A$4:$AC$58,17,0)="TRUE"),0,VLOOKUP(VALUE(BQ$44),'SJ Data'!$A$4:$AC$58,17,0))</f>
        <v>0</v>
      </c>
      <c r="BR69" s="292">
        <f>IF(ISERR(VLOOKUP(VALUE(BR$44),'SJ Data'!$A$4:$AC$58,17,0)="TRUE"),0,VLOOKUP(VALUE(BR$44),'SJ Data'!$A$4:$AC$58,17,0))</f>
        <v>-196.25</v>
      </c>
      <c r="BS69" s="292">
        <f>IF(ISERR(VLOOKUP(VALUE(BS$44),'SJ Data'!$A$4:$AC$58,17,0)="TRUE"),0,VLOOKUP(VALUE(BS$44),'SJ Data'!$A$4:$AC$58,17,0))</f>
        <v>0</v>
      </c>
      <c r="BT69" s="292">
        <f>IF(ISERR(VLOOKUP(VALUE(BT$44),'SJ Data'!$A$4:$AC$58,17,0)="TRUE"),0,VLOOKUP(VALUE(BT$44),'SJ Data'!$A$4:$AC$58,17,0))</f>
        <v>16833.129999999997</v>
      </c>
      <c r="BU69" s="292">
        <f>IF(ISERR(VLOOKUP(VALUE(BU$44),'SJ Data'!$A$4:$AC$58,17,0)="TRUE"),0,VLOOKUP(VALUE(BU$44),'SJ Data'!$A$4:$AC$58,17,0))</f>
        <v>0</v>
      </c>
      <c r="BV69" s="292">
        <f>IF(ISERR(VLOOKUP(VALUE(BV$44),'SJ Data'!$A$4:$AC$58,17,0)="TRUE"),0,VLOOKUP(VALUE(BV$44),'SJ Data'!$A$4:$AC$58,17,0))</f>
        <v>0</v>
      </c>
      <c r="BW69" s="292">
        <f>IF(ISERR(VLOOKUP(VALUE(BW$44),'SJ Data'!$A$4:$AC$58,17,0)="TRUE"),0,VLOOKUP(VALUE(BW$44),'SJ Data'!$A$4:$AC$58,17,0))</f>
        <v>0</v>
      </c>
      <c r="BX69" s="292">
        <f>IF(ISERR(VLOOKUP(VALUE(BX$44),'SJ Data'!$A$4:$AC$58,17,0)="TRUE"),0,VLOOKUP(VALUE(BX$44),'SJ Data'!$A$4:$AC$58,17,0))</f>
        <v>0</v>
      </c>
      <c r="BY69" s="292">
        <f>IF(ISERR(VLOOKUP(VALUE(BY$44),'SJ Data'!$A$4:$AC$58,17,0)="TRUE"),0,VLOOKUP(VALUE(BY$44),'SJ Data'!$A$4:$AC$58,17,0))</f>
        <v>3431.7999999999997</v>
      </c>
      <c r="BZ69" s="292">
        <f>IF(ISERR(VLOOKUP(VALUE(BZ$44),'SJ Data'!$A$4:$AC$58,17,0)="TRUE"),0,VLOOKUP(VALUE(BZ$44),'SJ Data'!$A$4:$AC$58,17,0))</f>
        <v>0</v>
      </c>
      <c r="CA69" s="292">
        <f>IF(ISERR(VLOOKUP(VALUE(CA$44),'SJ Data'!$A$4:$AC$58,17,0)="TRUE"),0,VLOOKUP(VALUE(CA$44),'SJ Data'!$A$4:$AC$58,17,0))</f>
        <v>135</v>
      </c>
      <c r="CB69" s="292">
        <f>IF(ISERR(VLOOKUP(VALUE(CB$44),'SJ Data'!$A$4:$AC$58,17,0)="TRUE"),0,VLOOKUP(VALUE(CB$44),'SJ Data'!$A$4:$AC$58,17,0))</f>
        <v>5162.21</v>
      </c>
      <c r="CC69" s="292">
        <f>IF(ISERR(VLOOKUP(VALUE(CC$44),'SJ Data'!$A$4:$AC$58,17,0)="TRUE"),0,VLOOKUP(VALUE(CC$44),'SJ Data'!$A$4:$AC$58,17,0))</f>
        <v>1021244.49</v>
      </c>
      <c r="CD69" s="292">
        <f>IF(ISERR(VLOOKUP(VALUE(CD$44),'SJ Data'!$A$4:$AC$58,17,0)="TRUE"),0,VLOOKUP(VALUE(CD$44),'SJ Data'!$A$4:$AC$58,17,0))+'SJ Data'!Q56-2119747</f>
        <v>33031680.609999999</v>
      </c>
      <c r="CE69" s="195">
        <f t="shared" si="0"/>
        <v>43159105.600000001</v>
      </c>
      <c r="CF69" s="251"/>
    </row>
    <row r="70" spans="1:84" ht="12.6" customHeight="1" x14ac:dyDescent="0.25">
      <c r="A70" s="171" t="s">
        <v>242</v>
      </c>
      <c r="B70" s="175"/>
      <c r="C70" s="292">
        <f>IF(ISERR(VLOOKUP(VALUE(C$44),'SJ Data'!$A$4:$AC$58,7,0)="TRUE"),0,VLOOKUP(VALUE(C$44),'SJ Data'!$A$4:$AC$58,7,0))</f>
        <v>19000</v>
      </c>
      <c r="D70" s="292">
        <f>IF(ISERR(VLOOKUP(VALUE(D$44),'SJ Data'!$A$4:$AC$58,7,0)="TRUE"),0,VLOOKUP(VALUE(D$44),'SJ Data'!$A$4:$AC$58,7,0))</f>
        <v>0</v>
      </c>
      <c r="E70" s="292">
        <f>IF(ISERR(VLOOKUP(VALUE(E$44),'SJ Data'!$A$4:$AC$58,7,0)="TRUE"),0,VLOOKUP(VALUE(E$44),'SJ Data'!$A$4:$AC$58,7,0))</f>
        <v>68250</v>
      </c>
      <c r="F70" s="292">
        <f>IF(ISERR(VLOOKUP(VALUE(F$44),'SJ Data'!$A$4:$AC$58,7,0)="TRUE"),0,VLOOKUP(VALUE(F$44),'SJ Data'!$A$4:$AC$58,7,0))</f>
        <v>0</v>
      </c>
      <c r="G70" s="292">
        <f>IF(ISERR(VLOOKUP(VALUE(G$44),'SJ Data'!$A$4:$AC$58,7,0)="TRUE"),0,VLOOKUP(VALUE(G$44),'SJ Data'!$A$4:$AC$58,7,0))</f>
        <v>0</v>
      </c>
      <c r="H70" s="292">
        <f>IF(ISERR(VLOOKUP(VALUE(H$44),'SJ Data'!$A$4:$AC$58,7,0)="TRUE"),0,VLOOKUP(VALUE(H$44),'SJ Data'!$A$4:$AC$58,7,0))</f>
        <v>12416.81</v>
      </c>
      <c r="I70" s="292">
        <f>IF(ISERR(VLOOKUP(VALUE(I$44),'SJ Data'!$A$4:$AC$58,7,0)="TRUE"),0,VLOOKUP(VALUE(I$44),'SJ Data'!$A$4:$AC$58,7,0))</f>
        <v>0</v>
      </c>
      <c r="J70" s="292">
        <f>IF(ISERR(VLOOKUP(VALUE(J$44),'SJ Data'!$A$4:$AC$58,7,0)="TRUE"),0,VLOOKUP(VALUE(J$44),'SJ Data'!$A$4:$AC$58,7,0))</f>
        <v>15794.86</v>
      </c>
      <c r="K70" s="292">
        <f>IF(ISERR(VLOOKUP(VALUE(K$44),'SJ Data'!$A$4:$AC$58,7,0)="TRUE"),0,VLOOKUP(VALUE(K$44),'SJ Data'!$A$4:$AC$58,7,0))</f>
        <v>0</v>
      </c>
      <c r="L70" s="292">
        <f>IF(ISERR(VLOOKUP(VALUE(L$44),'SJ Data'!$A$4:$AC$58,7,0)="TRUE"),0,VLOOKUP(VALUE(L$44),'SJ Data'!$A$4:$AC$58,7,0))</f>
        <v>0</v>
      </c>
      <c r="M70" s="292">
        <f>IF(ISERR(VLOOKUP(VALUE(M$44),'SJ Data'!$A$4:$AC$58,7,0)="TRUE"),0,VLOOKUP(VALUE(M$44),'SJ Data'!$A$4:$AC$58,7,0))</f>
        <v>0</v>
      </c>
      <c r="N70" s="292">
        <f>IF(ISERR(VLOOKUP(VALUE(N$44),'SJ Data'!$A$4:$AC$58,7,0)="TRUE"),0,VLOOKUP(VALUE(N$44),'SJ Data'!$A$4:$AC$58,7,0))</f>
        <v>0</v>
      </c>
      <c r="O70" s="292">
        <f>IF(ISERR(VLOOKUP(VALUE(O$44),'SJ Data'!$A$4:$AC$58,7,0)="TRUE"),0,VLOOKUP(VALUE(O$44),'SJ Data'!$A$4:$AC$58,7,0))</f>
        <v>88531.58</v>
      </c>
      <c r="P70" s="292">
        <f>IF(ISERR(VLOOKUP(VALUE(P$44),'SJ Data'!$A$4:$AC$58,7,0)="TRUE"),0,VLOOKUP(VALUE(P$44),'SJ Data'!$A$4:$AC$58,7,0))</f>
        <v>12316.369999999999</v>
      </c>
      <c r="Q70" s="292">
        <f>IF(ISERR(VLOOKUP(VALUE(Q$44),'SJ Data'!$A$4:$AC$58,7,0)="TRUE"),0,VLOOKUP(VALUE(Q$44),'SJ Data'!$A$4:$AC$58,7,0))</f>
        <v>0</v>
      </c>
      <c r="R70" s="292">
        <f>IF(ISERR(VLOOKUP(VALUE(R$44),'SJ Data'!$A$4:$AC$58,7,0)="TRUE"),0,VLOOKUP(VALUE(R$44),'SJ Data'!$A$4:$AC$58,7,0))</f>
        <v>0</v>
      </c>
      <c r="S70" s="292">
        <f>IF(ISERR(VLOOKUP(VALUE(S$44),'SJ Data'!$A$4:$AC$58,7,0)="TRUE"),0,VLOOKUP(VALUE(S$44),'SJ Data'!$A$4:$AC$58,7,0))</f>
        <v>0</v>
      </c>
      <c r="T70" s="292">
        <f>IF(ISERR(VLOOKUP(VALUE(T$44),'SJ Data'!$A$4:$AC$58,7,0)="TRUE"),0,VLOOKUP(VALUE(T$44),'SJ Data'!$A$4:$AC$58,7,0))</f>
        <v>0</v>
      </c>
      <c r="U70" s="292">
        <f>IF(ISERR(VLOOKUP(VALUE(U$44),'SJ Data'!$A$4:$AC$58,7,0)="TRUE"),0,VLOOKUP(VALUE(U$44),'SJ Data'!$A$4:$AC$58,7,0))</f>
        <v>12085205.149999999</v>
      </c>
      <c r="V70" s="292">
        <f>IF(ISERR(VLOOKUP(VALUE(V$44),'SJ Data'!$A$4:$AC$58,7,0)="TRUE"),0,VLOOKUP(VALUE(V$44),'SJ Data'!$A$4:$AC$58,7,0))</f>
        <v>1248.18</v>
      </c>
      <c r="W70" s="292">
        <f>IF(ISERR(VLOOKUP(VALUE(W$44),'SJ Data'!$A$4:$AC$58,7,0)="TRUE"),0,VLOOKUP(VALUE(W$44),'SJ Data'!$A$4:$AC$58,7,0))</f>
        <v>0</v>
      </c>
      <c r="X70" s="292">
        <f>IF(ISERR(VLOOKUP(VALUE(X$44),'SJ Data'!$A$4:$AC$58,7,0)="TRUE"),0,VLOOKUP(VALUE(X$44),'SJ Data'!$A$4:$AC$58,7,0))</f>
        <v>0</v>
      </c>
      <c r="Y70" s="292">
        <f>IF(ISERR(VLOOKUP(VALUE(Y$44),'SJ Data'!$A$4:$AC$58,7,0)="TRUE"),0,VLOOKUP(VALUE(Y$44),'SJ Data'!$A$4:$AC$58,7,0))</f>
        <v>11742.5</v>
      </c>
      <c r="Z70" s="292">
        <f>IF(ISERR(VLOOKUP(VALUE(Z$44),'SJ Data'!$A$4:$AC$58,7,0)="TRUE"),0,VLOOKUP(VALUE(Z$44),'SJ Data'!$A$4:$AC$58,7,0))</f>
        <v>0</v>
      </c>
      <c r="AA70" s="292">
        <f>IF(ISERR(VLOOKUP(VALUE(AA$44),'SJ Data'!$A$4:$AC$58,7,0)="TRUE"),0,VLOOKUP(VALUE(AA$44),'SJ Data'!$A$4:$AC$58,7,0))</f>
        <v>0</v>
      </c>
      <c r="AB70" s="292">
        <f>IF(ISERR(VLOOKUP(VALUE(AB$44),'SJ Data'!$A$4:$AC$58,7,0)="TRUE"),0,VLOOKUP(VALUE(AB$44),'SJ Data'!$A$4:$AC$58,7,0))</f>
        <v>4871604.4500000011</v>
      </c>
      <c r="AC70" s="292">
        <f>IF(ISERR(VLOOKUP(VALUE(AC$44),'SJ Data'!$A$4:$AC$58,7,0)="TRUE"),0,VLOOKUP(VALUE(AC$44),'SJ Data'!$A$4:$AC$58,7,0))</f>
        <v>0</v>
      </c>
      <c r="AD70" s="292">
        <f>IF(ISERR(VLOOKUP(VALUE(AD$44),'SJ Data'!$A$4:$AC$58,7,0)="TRUE"),0,VLOOKUP(VALUE(AD$44),'SJ Data'!$A$4:$AC$58,7,0))</f>
        <v>1222596.68</v>
      </c>
      <c r="AE70" s="292">
        <f>IF(ISERR(VLOOKUP(VALUE(AE$44),'SJ Data'!$A$4:$AC$58,7,0)="TRUE"),0,VLOOKUP(VALUE(AE$44),'SJ Data'!$A$4:$AC$58,7,0))</f>
        <v>5681.87</v>
      </c>
      <c r="AF70" s="292">
        <f>IF(ISERR(VLOOKUP(VALUE(AF$44),'SJ Data'!$A$4:$AC$58,7,0)="TRUE"),0,VLOOKUP(VALUE(AF$44),'SJ Data'!$A$4:$AC$58,7,0))</f>
        <v>0</v>
      </c>
      <c r="AG70" s="292">
        <f>IF(ISERR(VLOOKUP(VALUE(AG$44),'SJ Data'!$A$4:$AC$58,7,0)="TRUE"),0,VLOOKUP(VALUE(AG$44),'SJ Data'!$A$4:$AC$58,7,0))</f>
        <v>2000</v>
      </c>
      <c r="AH70" s="292">
        <f>IF(ISERR(VLOOKUP(VALUE(AH$44),'SJ Data'!$A$4:$AC$58,7,0)="TRUE"),0,VLOOKUP(VALUE(AH$44),'SJ Data'!$A$4:$AC$58,7,0))</f>
        <v>0</v>
      </c>
      <c r="AI70" s="292">
        <f>IF(ISERR(VLOOKUP(VALUE(AI$44),'SJ Data'!$A$4:$AC$58,7,0)="TRUE"),0,VLOOKUP(VALUE(AI$44),'SJ Data'!$A$4:$AC$58,7,0))</f>
        <v>4000</v>
      </c>
      <c r="AJ70" s="292">
        <f>IF(ISERR(VLOOKUP(VALUE(AJ$44),'SJ Data'!$A$4:$AC$58,7,0)="TRUE"),0,VLOOKUP(VALUE(AJ$44),'SJ Data'!$A$4:$AC$58,7,0))</f>
        <v>38660</v>
      </c>
      <c r="AK70" s="292">
        <f>IF(ISERR(VLOOKUP(VALUE(AK$44),'SJ Data'!$A$4:$AC$58,7,0)="TRUE"),0,VLOOKUP(VALUE(AK$44),'SJ Data'!$A$4:$AC$58,7,0))</f>
        <v>240</v>
      </c>
      <c r="AL70" s="292">
        <f>IF(ISERR(VLOOKUP(VALUE(AL$44),'SJ Data'!$A$4:$AC$58,7,0)="TRUE"),0,VLOOKUP(VALUE(AL$44),'SJ Data'!$A$4:$AC$58,7,0))</f>
        <v>0</v>
      </c>
      <c r="AM70" s="292">
        <f>IF(ISERR(VLOOKUP(VALUE(AM$44),'SJ Data'!$A$4:$AC$58,7,0)="TRUE"),0,VLOOKUP(VALUE(AM$44),'SJ Data'!$A$4:$AC$58,7,0))</f>
        <v>0</v>
      </c>
      <c r="AN70" s="292">
        <f>IF(ISERR(VLOOKUP(VALUE(AN$44),'SJ Data'!$A$4:$AC$58,7,0)="TRUE"),0,VLOOKUP(VALUE(AN$44),'SJ Data'!$A$4:$AC$58,7,0))</f>
        <v>0</v>
      </c>
      <c r="AO70" s="292">
        <f>IF(ISERR(VLOOKUP(VALUE(AO$44),'SJ Data'!$A$4:$AC$58,7,0)="TRUE"),0,VLOOKUP(VALUE(AO$44),'SJ Data'!$A$4:$AC$58,7,0))</f>
        <v>0</v>
      </c>
      <c r="AP70" s="292">
        <f>IF(ISERR(VLOOKUP(VALUE(AP$44),'SJ Data'!$A$4:$AC$58,7,0)="TRUE"),0,VLOOKUP(VALUE(AP$44),'SJ Data'!$A$4:$AC$58,7,0))</f>
        <v>532966.62000000011</v>
      </c>
      <c r="AQ70" s="292">
        <f>IF(ISERR(VLOOKUP(VALUE(AQ$44),'SJ Data'!$A$4:$AC$58,7,0)="TRUE"),0,VLOOKUP(VALUE(AQ$44),'SJ Data'!$A$4:$AC$58,7,0))</f>
        <v>0</v>
      </c>
      <c r="AR70" s="292">
        <f>IF(ISERR(VLOOKUP(VALUE(AR$44),'SJ Data'!$A$4:$AC$58,7,0)="TRUE"),0,VLOOKUP(VALUE(AR$44),'SJ Data'!$A$4:$AC$58,7,0))</f>
        <v>167128.75</v>
      </c>
      <c r="AS70" s="292">
        <f>IF(ISERR(VLOOKUP(VALUE(AS$44),'SJ Data'!$A$4:$AC$58,7,0)="TRUE"),0,VLOOKUP(VALUE(AS$44),'SJ Data'!$A$4:$AC$58,7,0))</f>
        <v>0</v>
      </c>
      <c r="AT70" s="292">
        <f>IF(ISERR(VLOOKUP(VALUE(AT$44),'SJ Data'!$A$4:$AC$58,7,0)="TRUE"),0,VLOOKUP(VALUE(AT$44),'SJ Data'!$A$4:$AC$58,7,0))</f>
        <v>0</v>
      </c>
      <c r="AU70" s="292">
        <f>IF(ISERR(VLOOKUP(VALUE(AU$44),'SJ Data'!$A$4:$AC$58,7,0)="TRUE"),0,VLOOKUP(VALUE(AU$44),'SJ Data'!$A$4:$AC$58,7,0))</f>
        <v>0</v>
      </c>
      <c r="AV70" s="292">
        <f>IF(ISERR(VLOOKUP(VALUE(AV$44),'SJ Data'!$A$4:$AC$58,7,0)="TRUE"),0,VLOOKUP(VALUE(AV$44),'SJ Data'!$A$4:$AC$58,7,0))+'SJ Data'!G56</f>
        <v>4922703.41</v>
      </c>
      <c r="AW70" s="292">
        <f>IF(ISERR(VLOOKUP(VALUE(AW$44),'SJ Data'!$A$4:$AC$58,7,0)="TRUE"),0,VLOOKUP(VALUE(AW$44),'SJ Data'!$A$4:$AC$58,7,0))</f>
        <v>0</v>
      </c>
      <c r="AX70" s="292">
        <f>IF(ISERR(VLOOKUP(VALUE(AX$44),'SJ Data'!$A$4:$AC$58,7,0)="TRUE"),0,VLOOKUP(VALUE(AX$44),'SJ Data'!$A$4:$AC$58,7,0))</f>
        <v>0</v>
      </c>
      <c r="AY70" s="292">
        <f>IF(ISERR(VLOOKUP(VALUE(AY$44),'SJ Data'!$A$4:$AC$58,7,0)="TRUE"),0,VLOOKUP(VALUE(AY$44),'SJ Data'!$A$4:$AC$58,7,0))</f>
        <v>0</v>
      </c>
      <c r="AZ70" s="292">
        <f>IF(ISERR(VLOOKUP(VALUE(AZ$44),'SJ Data'!$A$4:$AC$58,7,0)="TRUE"),0,VLOOKUP(VALUE(AZ$44),'SJ Data'!$A$4:$AC$58,7,0))</f>
        <v>3722106.5100000002</v>
      </c>
      <c r="BA70" s="292">
        <f>IF(ISERR(VLOOKUP(VALUE(BA$44),'SJ Data'!$A$4:$AC$58,7,0)="TRUE"),0,VLOOKUP(VALUE(BA$44),'SJ Data'!$A$4:$AC$58,7,0))</f>
        <v>0</v>
      </c>
      <c r="BB70" s="292">
        <f>IF(ISERR(VLOOKUP(VALUE(BB$44),'SJ Data'!$A$4:$AC$58,7,0)="TRUE"),0,VLOOKUP(VALUE(BB$44),'SJ Data'!$A$4:$AC$58,7,0))</f>
        <v>0</v>
      </c>
      <c r="BC70" s="292">
        <f>IF(ISERR(VLOOKUP(VALUE(BC$44),'SJ Data'!$A$4:$AC$58,7,0)="TRUE"),0,VLOOKUP(VALUE(BC$44),'SJ Data'!$A$4:$AC$58,7,0))</f>
        <v>0</v>
      </c>
      <c r="BD70" s="292">
        <f>IF(ISERR(VLOOKUP(VALUE(BD$44),'SJ Data'!$A$4:$AC$58,7,0)="TRUE"),0,VLOOKUP(VALUE(BD$44),'SJ Data'!$A$4:$AC$58,7,0))</f>
        <v>0</v>
      </c>
      <c r="BE70" s="292">
        <f>IF(ISERR(VLOOKUP(VALUE(BE$44),'SJ Data'!$A$4:$AC$58,7,0)="TRUE"),0,VLOOKUP(VALUE(BE$44),'SJ Data'!$A$4:$AC$58,7,0))</f>
        <v>4112.4399999999996</v>
      </c>
      <c r="BF70" s="292">
        <f>IF(ISERR(VLOOKUP(VALUE(BF$44),'SJ Data'!$A$4:$AC$58,7,0)="TRUE"),0,VLOOKUP(VALUE(BF$44),'SJ Data'!$A$4:$AC$58,7,0))</f>
        <v>0</v>
      </c>
      <c r="BG70" s="292">
        <f>IF(ISERR(VLOOKUP(VALUE(BG$44),'SJ Data'!$A$4:$AC$58,7,0)="TRUE"),0,VLOOKUP(VALUE(BG$44),'SJ Data'!$A$4:$AC$58,7,0))</f>
        <v>0</v>
      </c>
      <c r="BH70" s="292">
        <f>IF(ISERR(VLOOKUP(VALUE(BH$44),'SJ Data'!$A$4:$AC$58,7,0)="TRUE"),0,VLOOKUP(VALUE(BH$44),'SJ Data'!$A$4:$AC$58,7,0))</f>
        <v>0</v>
      </c>
      <c r="BI70" s="292">
        <f>IF(ISERR(VLOOKUP(VALUE(BI$44),'SJ Data'!$A$4:$AC$58,7,0)="TRUE"),0,VLOOKUP(VALUE(BI$44),'SJ Data'!$A$4:$AC$58,7,0))</f>
        <v>518029.94</v>
      </c>
      <c r="BJ70" s="292">
        <f>IF(ISERR(VLOOKUP(VALUE(BJ$44),'SJ Data'!$A$4:$AC$58,7,0)="TRUE"),0,VLOOKUP(VALUE(BJ$44),'SJ Data'!$A$4:$AC$58,7,0))</f>
        <v>0</v>
      </c>
      <c r="BK70" s="292">
        <f>IF(ISERR(VLOOKUP(VALUE(BK$44),'SJ Data'!$A$4:$AC$58,7,0)="TRUE"),0,VLOOKUP(VALUE(BK$44),'SJ Data'!$A$4:$AC$58,7,0))</f>
        <v>0</v>
      </c>
      <c r="BL70" s="292">
        <f>IF(ISERR(VLOOKUP(VALUE(BL$44),'SJ Data'!$A$4:$AC$58,7,0)="TRUE"),0,VLOOKUP(VALUE(BL$44),'SJ Data'!$A$4:$AC$58,7,0))</f>
        <v>0</v>
      </c>
      <c r="BM70" s="292">
        <f>IF(ISERR(VLOOKUP(VALUE(BM$44),'SJ Data'!$A$4:$AC$58,7,0)="TRUE"),0,VLOOKUP(VALUE(BM$44),'SJ Data'!$A$4:$AC$58,7,0))</f>
        <v>0</v>
      </c>
      <c r="BN70" s="292">
        <f>IF(ISERR(VLOOKUP(VALUE(BN$44),'SJ Data'!$A$4:$AC$58,7,0)="TRUE"),0,VLOOKUP(VALUE(BN$44),'SJ Data'!$A$4:$AC$58,7,0))</f>
        <v>-3429192.7</v>
      </c>
      <c r="BO70" s="292">
        <f>IF(ISERR(VLOOKUP(VALUE(BO$44),'SJ Data'!$A$4:$AC$58,7,0)="TRUE"),0,VLOOKUP(VALUE(BO$44),'SJ Data'!$A$4:$AC$58,7,0))</f>
        <v>0</v>
      </c>
      <c r="BP70" s="292">
        <f>IF(ISERR(VLOOKUP(VALUE(BP$44),'SJ Data'!$A$4:$AC$58,7,0)="TRUE"),0,VLOOKUP(VALUE(BP$44),'SJ Data'!$A$4:$AC$58,7,0))</f>
        <v>0</v>
      </c>
      <c r="BQ70" s="292">
        <f>IF(ISERR(VLOOKUP(VALUE(BQ$44),'SJ Data'!$A$4:$AC$58,7,0)="TRUE"),0,VLOOKUP(VALUE(BQ$44),'SJ Data'!$A$4:$AC$58,7,0))</f>
        <v>0</v>
      </c>
      <c r="BR70" s="292">
        <f>IF(ISERR(VLOOKUP(VALUE(BR$44),'SJ Data'!$A$4:$AC$58,7,0)="TRUE"),0,VLOOKUP(VALUE(BR$44),'SJ Data'!$A$4:$AC$58,7,0))</f>
        <v>0</v>
      </c>
      <c r="BS70" s="292">
        <f>IF(ISERR(VLOOKUP(VALUE(BS$44),'SJ Data'!$A$4:$AC$58,7,0)="TRUE"),0,VLOOKUP(VALUE(BS$44),'SJ Data'!$A$4:$AC$58,7,0))</f>
        <v>0</v>
      </c>
      <c r="BT70" s="292">
        <f>IF(ISERR(VLOOKUP(VALUE(BT$44),'SJ Data'!$A$4:$AC$58,7,0)="TRUE"),0,VLOOKUP(VALUE(BT$44),'SJ Data'!$A$4:$AC$58,7,0))</f>
        <v>13250</v>
      </c>
      <c r="BU70" s="292">
        <f>IF(ISERR(VLOOKUP(VALUE(BU$44),'SJ Data'!$A$4:$AC$58,7,0)="TRUE"),0,VLOOKUP(VALUE(BU$44),'SJ Data'!$A$4:$AC$58,7,0))</f>
        <v>0</v>
      </c>
      <c r="BV70" s="292">
        <f>IF(ISERR(VLOOKUP(VALUE(BV$44),'SJ Data'!$A$4:$AC$58,7,0)="TRUE"),0,VLOOKUP(VALUE(BV$44),'SJ Data'!$A$4:$AC$58,7,0))</f>
        <v>0</v>
      </c>
      <c r="BW70" s="292">
        <f>IF(ISERR(VLOOKUP(VALUE(BW$44),'SJ Data'!$A$4:$AC$58,7,0)="TRUE"),0,VLOOKUP(VALUE(BW$44),'SJ Data'!$A$4:$AC$58,7,0))</f>
        <v>0</v>
      </c>
      <c r="BX70" s="292">
        <f>IF(ISERR(VLOOKUP(VALUE(BX$44),'SJ Data'!$A$4:$AC$58,7,0)="TRUE"),0,VLOOKUP(VALUE(BX$44),'SJ Data'!$A$4:$AC$58,7,0))</f>
        <v>0</v>
      </c>
      <c r="BY70" s="292">
        <f>IF(ISERR(VLOOKUP(VALUE(BY$44),'SJ Data'!$A$4:$AC$58,7,0)="TRUE"),0,VLOOKUP(VALUE(BY$44),'SJ Data'!$A$4:$AC$58,7,0))</f>
        <v>0</v>
      </c>
      <c r="BZ70" s="292">
        <f>IF(ISERR(VLOOKUP(VALUE(BZ$44),'SJ Data'!$A$4:$AC$58,7,0)="TRUE"),0,VLOOKUP(VALUE(BZ$44),'SJ Data'!$A$4:$AC$58,7,0))</f>
        <v>0</v>
      </c>
      <c r="CA70" s="292">
        <f>IF(ISERR(VLOOKUP(VALUE(CA$44),'SJ Data'!$A$4:$AC$58,7,0)="TRUE"),0,VLOOKUP(VALUE(CA$44),'SJ Data'!$A$4:$AC$58,7,0))</f>
        <v>0</v>
      </c>
      <c r="CB70" s="292">
        <f>IF(ISERR(VLOOKUP(VALUE(CB$44),'SJ Data'!$A$4:$AC$58,7,0)="TRUE"),0,VLOOKUP(VALUE(CB$44),'SJ Data'!$A$4:$AC$58,7,0))</f>
        <v>115573.89</v>
      </c>
      <c r="CC70" s="292">
        <f>IF(ISERR(VLOOKUP(VALUE(CC$44),'SJ Data'!$A$4:$AC$58,7,0)="TRUE"),0,VLOOKUP(VALUE(CC$44),'SJ Data'!$A$4:$AC$58,7,0))</f>
        <v>10000</v>
      </c>
      <c r="CD70" s="292">
        <f>IF(ISERR(VLOOKUP(VALUE(CD$44),'SJ Data'!$A$4:$AC$58,7,0)="TRUE"),0,VLOOKUP(VALUE(CD$44),'SJ Data'!$A$4:$AC$58,7,0))</f>
        <v>0</v>
      </c>
      <c r="CE70" s="195">
        <f t="shared" si="0"/>
        <v>25035967.310000006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26551164.93</v>
      </c>
      <c r="D71" s="195">
        <f t="shared" ref="D71:AI71" si="5">SUM(D61:D69)-D70</f>
        <v>0</v>
      </c>
      <c r="E71" s="195">
        <f t="shared" si="5"/>
        <v>45324978.640000001</v>
      </c>
      <c r="F71" s="195">
        <f t="shared" si="5"/>
        <v>0</v>
      </c>
      <c r="G71" s="195">
        <f t="shared" si="5"/>
        <v>4950575.1899999995</v>
      </c>
      <c r="H71" s="195">
        <f t="shared" si="5"/>
        <v>5575060.2699999996</v>
      </c>
      <c r="I71" s="195">
        <f t="shared" si="5"/>
        <v>0</v>
      </c>
      <c r="J71" s="195">
        <f t="shared" si="5"/>
        <v>8128542.6399999987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19261759.660000004</v>
      </c>
      <c r="P71" s="195">
        <f t="shared" si="5"/>
        <v>92160046.105000004</v>
      </c>
      <c r="Q71" s="195">
        <f t="shared" si="5"/>
        <v>2721287.9200000009</v>
      </c>
      <c r="R71" s="195">
        <f t="shared" si="5"/>
        <v>0</v>
      </c>
      <c r="S71" s="195">
        <f t="shared" si="5"/>
        <v>5014774.4713701997</v>
      </c>
      <c r="T71" s="195">
        <f t="shared" si="5"/>
        <v>3079357.0999999996</v>
      </c>
      <c r="U71" s="195">
        <f t="shared" si="5"/>
        <v>20130215.870000001</v>
      </c>
      <c r="V71" s="195">
        <f t="shared" si="5"/>
        <v>6380226.5599999996</v>
      </c>
      <c r="W71" s="195">
        <f t="shared" si="5"/>
        <v>0</v>
      </c>
      <c r="X71" s="195">
        <f t="shared" si="5"/>
        <v>1535419.2900000003</v>
      </c>
      <c r="Y71" s="195">
        <f t="shared" si="5"/>
        <v>14806044.130000001</v>
      </c>
      <c r="Z71" s="195">
        <f t="shared" si="5"/>
        <v>0</v>
      </c>
      <c r="AA71" s="195">
        <f t="shared" si="5"/>
        <v>1506419.68</v>
      </c>
      <c r="AB71" s="195">
        <f t="shared" si="5"/>
        <v>27262122.710000001</v>
      </c>
      <c r="AC71" s="195">
        <f t="shared" si="5"/>
        <v>4299746.16</v>
      </c>
      <c r="AD71" s="195">
        <f t="shared" si="5"/>
        <v>6151571.1399999997</v>
      </c>
      <c r="AE71" s="195">
        <f t="shared" si="5"/>
        <v>5267343.4000000013</v>
      </c>
      <c r="AF71" s="195">
        <f t="shared" si="5"/>
        <v>0</v>
      </c>
      <c r="AG71" s="195">
        <f t="shared" si="5"/>
        <v>21702705.16</v>
      </c>
      <c r="AH71" s="195">
        <f t="shared" si="5"/>
        <v>0</v>
      </c>
      <c r="AI71" s="195">
        <f t="shared" si="5"/>
        <v>14813983.459999997</v>
      </c>
      <c r="AJ71" s="195">
        <f t="shared" ref="AJ71:BO71" si="6">SUM(AJ61:AJ69)-AJ70</f>
        <v>7221632.0799999991</v>
      </c>
      <c r="AK71" s="195">
        <f t="shared" si="6"/>
        <v>2382546.7900000005</v>
      </c>
      <c r="AL71" s="195">
        <f t="shared" si="6"/>
        <v>672614.29999999993</v>
      </c>
      <c r="AM71" s="195">
        <f t="shared" si="6"/>
        <v>0</v>
      </c>
      <c r="AN71" s="195">
        <f t="shared" si="6"/>
        <v>44612</v>
      </c>
      <c r="AO71" s="195">
        <f t="shared" si="6"/>
        <v>0</v>
      </c>
      <c r="AP71" s="195">
        <f t="shared" si="6"/>
        <v>182782.51999999979</v>
      </c>
      <c r="AQ71" s="195">
        <f t="shared" si="6"/>
        <v>0</v>
      </c>
      <c r="AR71" s="195">
        <f t="shared" si="6"/>
        <v>47434101.059999995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15169183.031400003</v>
      </c>
      <c r="AW71" s="195">
        <f t="shared" si="6"/>
        <v>0</v>
      </c>
      <c r="AX71" s="195">
        <f t="shared" si="6"/>
        <v>2285.6268999999998</v>
      </c>
      <c r="AY71" s="195">
        <f t="shared" si="6"/>
        <v>0</v>
      </c>
      <c r="AZ71" s="195">
        <f t="shared" si="6"/>
        <v>8715114.0000000019</v>
      </c>
      <c r="BA71" s="195">
        <f t="shared" si="6"/>
        <v>298453.90000000002</v>
      </c>
      <c r="BB71" s="195">
        <f t="shared" si="6"/>
        <v>0</v>
      </c>
      <c r="BC71" s="195">
        <f t="shared" si="6"/>
        <v>1478429.7300000002</v>
      </c>
      <c r="BD71" s="195">
        <f t="shared" si="6"/>
        <v>0</v>
      </c>
      <c r="BE71" s="195">
        <f t="shared" si="6"/>
        <v>30191842.9322</v>
      </c>
      <c r="BF71" s="195">
        <f t="shared" si="6"/>
        <v>6574842.580000001</v>
      </c>
      <c r="BG71" s="195">
        <f t="shared" si="6"/>
        <v>110463.8404</v>
      </c>
      <c r="BH71" s="195">
        <f t="shared" si="6"/>
        <v>-698446.68900000001</v>
      </c>
      <c r="BI71" s="195">
        <f t="shared" si="6"/>
        <v>-70107.420000000042</v>
      </c>
      <c r="BJ71" s="195">
        <f t="shared" si="6"/>
        <v>1938000.52489797</v>
      </c>
      <c r="BK71" s="195">
        <f t="shared" si="6"/>
        <v>7339247.2191812899</v>
      </c>
      <c r="BL71" s="195">
        <f t="shared" si="6"/>
        <v>7774794.2580751805</v>
      </c>
      <c r="BM71" s="195">
        <f t="shared" si="6"/>
        <v>0</v>
      </c>
      <c r="BN71" s="195">
        <f t="shared" si="6"/>
        <v>28229306.798752606</v>
      </c>
      <c r="BO71" s="195">
        <f t="shared" si="6"/>
        <v>1067275.4931999999</v>
      </c>
      <c r="BP71" s="195">
        <f t="shared" ref="BP71:CC71" si="7">SUM(BP61:BP69)-BP70</f>
        <v>1399108.6538</v>
      </c>
      <c r="BQ71" s="195">
        <f t="shared" si="7"/>
        <v>0</v>
      </c>
      <c r="BR71" s="195">
        <f t="shared" si="7"/>
        <v>4423639.8734999998</v>
      </c>
      <c r="BS71" s="195">
        <f t="shared" si="7"/>
        <v>52.155200000000001</v>
      </c>
      <c r="BT71" s="195">
        <f t="shared" si="7"/>
        <v>382833.01910000003</v>
      </c>
      <c r="BU71" s="195">
        <f t="shared" si="7"/>
        <v>125375.68770000001</v>
      </c>
      <c r="BV71" s="195">
        <f t="shared" si="7"/>
        <v>10641643.689107802</v>
      </c>
      <c r="BW71" s="195">
        <f t="shared" si="7"/>
        <v>1300871.7238059998</v>
      </c>
      <c r="BX71" s="195">
        <f t="shared" si="7"/>
        <v>5362295.0302633392</v>
      </c>
      <c r="BY71" s="195">
        <f t="shared" si="7"/>
        <v>5422947.6624000007</v>
      </c>
      <c r="BZ71" s="195">
        <f t="shared" si="7"/>
        <v>0</v>
      </c>
      <c r="CA71" s="195">
        <f t="shared" si="7"/>
        <v>2351529.0645000003</v>
      </c>
      <c r="CB71" s="195">
        <f t="shared" si="7"/>
        <v>161798.63440000004</v>
      </c>
      <c r="CC71" s="195">
        <f t="shared" si="7"/>
        <v>48173383.736194782</v>
      </c>
      <c r="CD71" s="244">
        <f>CD69-CD70</f>
        <v>33031680.609999999</v>
      </c>
      <c r="CE71" s="195">
        <f>SUM(CE61:CE69)-CE70</f>
        <v>615459478.60234928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5">
      <c r="A73" s="171" t="s">
        <v>245</v>
      </c>
      <c r="B73" s="175"/>
      <c r="C73" s="292">
        <f>IF(ISERR(VLOOKUP(VALUE(C$44),'SJ Data'!$A$4:$AC$58,3,0)="TRUE"),0,VLOOKUP(VALUE(C$44),'SJ Data'!$A$4:$AC$58,3,0))</f>
        <v>93678197.780000001</v>
      </c>
      <c r="D73" s="292">
        <f>IF(ISERR(VLOOKUP(VALUE(D$44),'SJ Data'!$A$4:$AC$58,3,0)="TRUE"),0,VLOOKUP(VALUE(D$44),'SJ Data'!$A$4:$AC$58,3,0))</f>
        <v>0</v>
      </c>
      <c r="E73" s="292">
        <f>IF(ISERR(VLOOKUP(VALUE(E$44),'SJ Data'!$A$4:$AC$58,3,0)="TRUE"),0,VLOOKUP(VALUE(E$44),'SJ Data'!$A$4:$AC$58,3,0))</f>
        <v>190219267.22999996</v>
      </c>
      <c r="F73" s="292">
        <f>IF(ISERR(VLOOKUP(VALUE(F$44),'SJ Data'!$A$4:$AC$58,3,0)="TRUE"),0,VLOOKUP(VALUE(F$44),'SJ Data'!$A$4:$AC$58,3,0))</f>
        <v>0</v>
      </c>
      <c r="G73" s="292">
        <f>IF(ISERR(VLOOKUP(VALUE(G$44),'SJ Data'!$A$4:$AC$58,3,0)="TRUE"),0,VLOOKUP(VALUE(G$44),'SJ Data'!$A$4:$AC$58,3,0))</f>
        <v>17054863.109999999</v>
      </c>
      <c r="H73" s="292">
        <f>IF(ISERR(VLOOKUP(VALUE(H$44),'SJ Data'!$A$4:$AC$58,3,0)="TRUE"),0,VLOOKUP(VALUE(H$44),'SJ Data'!$A$4:$AC$58,3,0))</f>
        <v>22293696.130000003</v>
      </c>
      <c r="I73" s="292">
        <f>IF(ISERR(VLOOKUP(VALUE(I$44),'SJ Data'!$A$4:$AC$58,3,0)="TRUE"),0,VLOOKUP(VALUE(I$44),'SJ Data'!$A$4:$AC$58,3,0))</f>
        <v>0</v>
      </c>
      <c r="J73" s="292">
        <f>IF(ISERR(VLOOKUP(VALUE(J$44),'SJ Data'!$A$4:$AC$58,3,0)="TRUE"),0,VLOOKUP(VALUE(J$44),'SJ Data'!$A$4:$AC$58,3,0))</f>
        <v>42448311.359999999</v>
      </c>
      <c r="K73" s="292">
        <f>IF(ISERR(VLOOKUP(VALUE(K$44),'SJ Data'!$A$4:$AC$58,3,0)="TRUE"),0,VLOOKUP(VALUE(K$44),'SJ Data'!$A$4:$AC$58,3,0))</f>
        <v>0</v>
      </c>
      <c r="L73" s="292">
        <f>IF(ISERR(VLOOKUP(VALUE(L$44),'SJ Data'!$A$4:$AC$58,3,0)="TRUE"),0,VLOOKUP(VALUE(L$44),'SJ Data'!$A$4:$AC$58,3,0))</f>
        <v>0</v>
      </c>
      <c r="M73" s="292">
        <f>IF(ISERR(VLOOKUP(VALUE(M$44),'SJ Data'!$A$4:$AC$58,3,0)="TRUE"),0,VLOOKUP(VALUE(M$44),'SJ Data'!$A$4:$AC$58,3,0))</f>
        <v>0</v>
      </c>
      <c r="N73" s="292">
        <f>IF(ISERR(VLOOKUP(VALUE(N$44),'SJ Data'!$A$4:$AC$58,3,0)="TRUE"),0,VLOOKUP(VALUE(N$44),'SJ Data'!$A$4:$AC$58,3,0))</f>
        <v>0</v>
      </c>
      <c r="O73" s="292">
        <f>IF(ISERR(VLOOKUP(VALUE(O$44),'SJ Data'!$A$4:$AC$58,3,0)="TRUE"),0,VLOOKUP(VALUE(O$44),'SJ Data'!$A$4:$AC$58,3,0))</f>
        <v>118239540.91999999</v>
      </c>
      <c r="P73" s="292">
        <f>IF(ISERR(VLOOKUP(VALUE(P$44),'SJ Data'!$A$4:$AC$58,3,0)="TRUE"),0,VLOOKUP(VALUE(P$44),'SJ Data'!$A$4:$AC$58,3,0))</f>
        <v>505651062.22000009</v>
      </c>
      <c r="Q73" s="292">
        <f>IF(ISERR(VLOOKUP(VALUE(Q$44),'SJ Data'!$A$4:$AC$58,3,0)="TRUE"),0,VLOOKUP(VALUE(Q$44),'SJ Data'!$A$4:$AC$58,3,0))</f>
        <v>16733274.140000001</v>
      </c>
      <c r="R73" s="292">
        <f>IF(ISERR(VLOOKUP(VALUE(R$44),'SJ Data'!$A$4:$AC$58,3,0)="TRUE"),0,VLOOKUP(VALUE(R$44),'SJ Data'!$A$4:$AC$58,3,0))</f>
        <v>0</v>
      </c>
      <c r="S73" s="292">
        <f>IF(ISERR(VLOOKUP(VALUE(S$44),'SJ Data'!$A$4:$AC$58,3,0)="TRUE"),0,VLOOKUP(VALUE(S$44),'SJ Data'!$A$4:$AC$58,3,0))</f>
        <v>0</v>
      </c>
      <c r="T73" s="292">
        <f>IF(ISERR(VLOOKUP(VALUE(T$44),'SJ Data'!$A$4:$AC$58,3,0)="TRUE"),0,VLOOKUP(VALUE(T$44),'SJ Data'!$A$4:$AC$58,3,0))</f>
        <v>11869393.939999999</v>
      </c>
      <c r="U73" s="292">
        <f>IF(ISERR(VLOOKUP(VALUE(U$44),'SJ Data'!$A$4:$AC$58,3,0)="TRUE"),0,VLOOKUP(VALUE(U$44),'SJ Data'!$A$4:$AC$58,3,0))</f>
        <v>87776052.460000008</v>
      </c>
      <c r="V73" s="292">
        <f>IF(ISERR(VLOOKUP(VALUE(V$44),'SJ Data'!$A$4:$AC$58,3,0)="TRUE"),0,VLOOKUP(VALUE(V$44),'SJ Data'!$A$4:$AC$58,3,0))</f>
        <v>19093649.520000003</v>
      </c>
      <c r="W73" s="292">
        <f>IF(ISERR(VLOOKUP(VALUE(W$44),'SJ Data'!$A$4:$AC$58,3,0)="TRUE"),0,VLOOKUP(VALUE(W$44),'SJ Data'!$A$4:$AC$58,3,0))</f>
        <v>0</v>
      </c>
      <c r="X73" s="292">
        <f>IF(ISERR(VLOOKUP(VALUE(X$44),'SJ Data'!$A$4:$AC$58,3,0)="TRUE"),0,VLOOKUP(VALUE(X$44),'SJ Data'!$A$4:$AC$58,3,0))</f>
        <v>55539924.019999996</v>
      </c>
      <c r="Y73" s="292">
        <f>IF(ISERR(VLOOKUP(VALUE(Y$44),'SJ Data'!$A$4:$AC$58,3,0)="TRUE"),0,VLOOKUP(VALUE(Y$44),'SJ Data'!$A$4:$AC$58,3,0))</f>
        <v>66695035.350000001</v>
      </c>
      <c r="Z73" s="292">
        <f>IF(ISERR(VLOOKUP(VALUE(Z$44),'SJ Data'!$A$4:$AC$58,3,0)="TRUE"),0,VLOOKUP(VALUE(Z$44),'SJ Data'!$A$4:$AC$58,3,0))</f>
        <v>0</v>
      </c>
      <c r="AA73" s="292">
        <f>IF(ISERR(VLOOKUP(VALUE(AA$44),'SJ Data'!$A$4:$AC$58,3,0)="TRUE"),0,VLOOKUP(VALUE(AA$44),'SJ Data'!$A$4:$AC$58,3,0))</f>
        <v>3722471.26</v>
      </c>
      <c r="AB73" s="292">
        <f>IF(ISERR(VLOOKUP(VALUE(AB$44),'SJ Data'!$A$4:$AC$58,3,0)="TRUE"),0,VLOOKUP(VALUE(AB$44),'SJ Data'!$A$4:$AC$58,3,0))</f>
        <v>264988198.09999999</v>
      </c>
      <c r="AC73" s="292">
        <f>IF(ISERR(VLOOKUP(VALUE(AC$44),'SJ Data'!$A$4:$AC$58,3,0)="TRUE"),0,VLOOKUP(VALUE(AC$44),'SJ Data'!$A$4:$AC$58,3,0))</f>
        <v>54992915.659999989</v>
      </c>
      <c r="AD73" s="292">
        <f>IF(ISERR(VLOOKUP(VALUE(AD$44),'SJ Data'!$A$4:$AC$58,3,0)="TRUE"),0,VLOOKUP(VALUE(AD$44),'SJ Data'!$A$4:$AC$58,3,0))</f>
        <v>10183630</v>
      </c>
      <c r="AE73" s="292">
        <f>IF(ISERR(VLOOKUP(VALUE(AE$44),'SJ Data'!$A$4:$AC$58,3,0)="TRUE"),0,VLOOKUP(VALUE(AE$44),'SJ Data'!$A$4:$AC$58,3,0))</f>
        <v>11259705.690000001</v>
      </c>
      <c r="AF73" s="292">
        <f>IF(ISERR(VLOOKUP(VALUE(AF$44),'SJ Data'!$A$4:$AC$58,3,0)="TRUE"),0,VLOOKUP(VALUE(AF$44),'SJ Data'!$A$4:$AC$58,3,0))</f>
        <v>0</v>
      </c>
      <c r="AG73" s="292">
        <f>IF(ISERR(VLOOKUP(VALUE(AG$44),'SJ Data'!$A$4:$AC$58,3,0)="TRUE"),0,VLOOKUP(VALUE(AG$44),'SJ Data'!$A$4:$AC$58,3,0))</f>
        <v>67358218.510000005</v>
      </c>
      <c r="AH73" s="292">
        <f>IF(ISERR(VLOOKUP(VALUE(AH$44),'SJ Data'!$A$4:$AC$58,3,0)="TRUE"),0,VLOOKUP(VALUE(AH$44),'SJ Data'!$A$4:$AC$58,3,0))</f>
        <v>0</v>
      </c>
      <c r="AI73" s="292">
        <f>IF(ISERR(VLOOKUP(VALUE(AI$44),'SJ Data'!$A$4:$AC$58,3,0)="TRUE"),0,VLOOKUP(VALUE(AI$44),'SJ Data'!$A$4:$AC$58,3,0))</f>
        <v>46265631.209999993</v>
      </c>
      <c r="AJ73" s="292">
        <f>IF(ISERR(VLOOKUP(VALUE(AJ$44),'SJ Data'!$A$4:$AC$58,3,0)="TRUE"),0,VLOOKUP(VALUE(AJ$44),'SJ Data'!$A$4:$AC$58,3,0))</f>
        <v>80319.350000000006</v>
      </c>
      <c r="AK73" s="292">
        <f>IF(ISERR(VLOOKUP(VALUE(AK$44),'SJ Data'!$A$4:$AC$58,3,0)="TRUE"),0,VLOOKUP(VALUE(AK$44),'SJ Data'!$A$4:$AC$58,3,0))</f>
        <v>9621414.3599999994</v>
      </c>
      <c r="AL73" s="292">
        <f>IF(ISERR(VLOOKUP(VALUE(AL$44),'SJ Data'!$A$4:$AC$58,3,0)="TRUE"),0,VLOOKUP(VALUE(AL$44),'SJ Data'!$A$4:$AC$58,3,0))</f>
        <v>2705544.62</v>
      </c>
      <c r="AM73" s="292">
        <f>IF(ISERR(VLOOKUP(VALUE(AM$44),'SJ Data'!$A$4:$AC$58,3,0)="TRUE"),0,VLOOKUP(VALUE(AM$44),'SJ Data'!$A$4:$AC$58,3,0))</f>
        <v>0</v>
      </c>
      <c r="AN73" s="292">
        <f>IF(ISERR(VLOOKUP(VALUE(AN$44),'SJ Data'!$A$4:$AC$58,3,0)="TRUE"),0,VLOOKUP(VALUE(AN$44),'SJ Data'!$A$4:$AC$58,3,0))</f>
        <v>0</v>
      </c>
      <c r="AO73" s="292">
        <f>IF(ISERR(VLOOKUP(VALUE(AO$44),'SJ Data'!$A$4:$AC$58,3,0)="TRUE"),0,VLOOKUP(VALUE(AO$44),'SJ Data'!$A$4:$AC$58,3,0))</f>
        <v>0</v>
      </c>
      <c r="AP73" s="292">
        <f>IF(ISERR(VLOOKUP(VALUE(AP$44),'SJ Data'!$A$4:$AC$58,3,0)="TRUE"),0,VLOOKUP(VALUE(AP$44),'SJ Data'!$A$4:$AC$58,3,0))</f>
        <v>-526303.94999999995</v>
      </c>
      <c r="AQ73" s="292">
        <f>IF(ISERR(VLOOKUP(VALUE(AQ$44),'SJ Data'!$A$4:$AC$58,3,0)="TRUE"),0,VLOOKUP(VALUE(AQ$44),'SJ Data'!$A$4:$AC$58,3,0))</f>
        <v>0</v>
      </c>
      <c r="AR73" s="292">
        <f>IF(ISERR(VLOOKUP(VALUE(AR$44),'SJ Data'!$A$4:$AC$58,3,0)="TRUE"),0,VLOOKUP(VALUE(AR$44),'SJ Data'!$A$4:$AC$58,3,0))</f>
        <v>0</v>
      </c>
      <c r="AS73" s="292">
        <f>IF(ISERR(VLOOKUP(VALUE(AS$44),'SJ Data'!$A$4:$AC$58,3,0)="TRUE"),0,VLOOKUP(VALUE(AS$44),'SJ Data'!$A$4:$AC$58,3,0))</f>
        <v>0</v>
      </c>
      <c r="AT73" s="292">
        <f>IF(ISERR(VLOOKUP(VALUE(AT$44),'SJ Data'!$A$4:$AC$58,3,0)="TRUE"),0,VLOOKUP(VALUE(AT$44),'SJ Data'!$A$4:$AC$58,3,0))</f>
        <v>0</v>
      </c>
      <c r="AU73" s="292">
        <f>IF(ISERR(VLOOKUP(VALUE(AU$44),'SJ Data'!$A$4:$AC$58,3,0)="TRUE"),0,VLOOKUP(VALUE(AU$44),'SJ Data'!$A$4:$AC$58,3,0))</f>
        <v>0</v>
      </c>
      <c r="AV73" s="292">
        <f>IF(ISERR(VLOOKUP(VALUE(AV$44),'SJ Data'!$A$4:$AC$58,3,0)="TRUE"),0,VLOOKUP(VALUE(AV$44),'SJ Data'!$A$4:$AC$58,3,0))+'SJ Data'!C56</f>
        <v>2142562.42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1720086575.4099996</v>
      </c>
      <c r="CF73" s="251"/>
    </row>
    <row r="74" spans="1:84" ht="12.6" customHeight="1" x14ac:dyDescent="0.25">
      <c r="A74" s="171" t="s">
        <v>246</v>
      </c>
      <c r="B74" s="175"/>
      <c r="C74" s="292">
        <f>IF(ISERR(VLOOKUP(VALUE(C$44),'SJ Data'!$A$4:$AC$58,4,0)="TRUE"),0,VLOOKUP(VALUE(C$44),'SJ Data'!$A$4:$AC$58,4,0))</f>
        <v>721084.04</v>
      </c>
      <c r="D74" s="292">
        <f>IF(ISERR(VLOOKUP(VALUE(D$44),'SJ Data'!$A$4:$AC$58,4,0)="TRUE"),0,VLOOKUP(VALUE(D$44),'SJ Data'!$A$4:$AC$58,4,0))</f>
        <v>0</v>
      </c>
      <c r="E74" s="292">
        <f>IF(ISERR(VLOOKUP(VALUE(E$44),'SJ Data'!$A$4:$AC$58,4,0)="TRUE"),0,VLOOKUP(VALUE(E$44),'SJ Data'!$A$4:$AC$58,4,0))</f>
        <v>14488961.830000002</v>
      </c>
      <c r="F74" s="292">
        <f>IF(ISERR(VLOOKUP(VALUE(F$44),'SJ Data'!$A$4:$AC$58,4,0)="TRUE"),0,VLOOKUP(VALUE(F$44),'SJ Data'!$A$4:$AC$58,4,0))</f>
        <v>0</v>
      </c>
      <c r="G74" s="292">
        <f>IF(ISERR(VLOOKUP(VALUE(G$44),'SJ Data'!$A$4:$AC$58,4,0)="TRUE"),0,VLOOKUP(VALUE(G$44),'SJ Data'!$A$4:$AC$58,4,0))</f>
        <v>6660.1</v>
      </c>
      <c r="H74" s="292">
        <f>IF(ISERR(VLOOKUP(VALUE(H$44),'SJ Data'!$A$4:$AC$58,4,0)="TRUE"),0,VLOOKUP(VALUE(H$44),'SJ Data'!$A$4:$AC$58,4,0))</f>
        <v>1110254.6800000002</v>
      </c>
      <c r="I74" s="292">
        <f>IF(ISERR(VLOOKUP(VALUE(I$44),'SJ Data'!$A$4:$AC$58,4,0)="TRUE"),0,VLOOKUP(VALUE(I$44),'SJ Data'!$A$4:$AC$58,4,0))</f>
        <v>0</v>
      </c>
      <c r="J74" s="292">
        <f>IF(ISERR(VLOOKUP(VALUE(J$44),'SJ Data'!$A$4:$AC$58,4,0)="TRUE"),0,VLOOKUP(VALUE(J$44),'SJ Data'!$A$4:$AC$58,4,0))</f>
        <v>365.38</v>
      </c>
      <c r="K74" s="292">
        <f>IF(ISERR(VLOOKUP(VALUE(K$44),'SJ Data'!$A$4:$AC$58,4,0)="TRUE"),0,VLOOKUP(VALUE(K$44),'SJ Data'!$A$4:$AC$58,4,0))</f>
        <v>0</v>
      </c>
      <c r="L74" s="292">
        <f>IF(ISERR(VLOOKUP(VALUE(L$44),'SJ Data'!$A$4:$AC$58,4,0)="TRUE"),0,VLOOKUP(VALUE(L$44),'SJ Data'!$A$4:$AC$58,4,0))</f>
        <v>0</v>
      </c>
      <c r="M74" s="292">
        <f>IF(ISERR(VLOOKUP(VALUE(M$44),'SJ Data'!$A$4:$AC$58,4,0)="TRUE"),0,VLOOKUP(VALUE(M$44),'SJ Data'!$A$4:$AC$58,4,0))</f>
        <v>0</v>
      </c>
      <c r="N74" s="292">
        <f>IF(ISERR(VLOOKUP(VALUE(N$44),'SJ Data'!$A$4:$AC$58,4,0)="TRUE"),0,VLOOKUP(VALUE(N$44),'SJ Data'!$A$4:$AC$58,4,0))</f>
        <v>0</v>
      </c>
      <c r="O74" s="292">
        <f>IF(ISERR(VLOOKUP(VALUE(O$44),'SJ Data'!$A$4:$AC$58,4,0)="TRUE"),0,VLOOKUP(VALUE(O$44),'SJ Data'!$A$4:$AC$58,4,0))</f>
        <v>10451453.709999999</v>
      </c>
      <c r="P74" s="292">
        <f>IF(ISERR(VLOOKUP(VALUE(P$44),'SJ Data'!$A$4:$AC$58,4,0)="TRUE"),0,VLOOKUP(VALUE(P$44),'SJ Data'!$A$4:$AC$58,4,0))</f>
        <v>406790255.40999997</v>
      </c>
      <c r="Q74" s="292">
        <f>IF(ISERR(VLOOKUP(VALUE(Q$44),'SJ Data'!$A$4:$AC$58,4,0)="TRUE"),0,VLOOKUP(VALUE(Q$44),'SJ Data'!$A$4:$AC$58,4,0))</f>
        <v>9969533.0700000003</v>
      </c>
      <c r="R74" s="292">
        <f>IF(ISERR(VLOOKUP(VALUE(R$44),'SJ Data'!$A$4:$AC$58,4,0)="TRUE"),0,VLOOKUP(VALUE(R$44),'SJ Data'!$A$4:$AC$58,4,0))</f>
        <v>0</v>
      </c>
      <c r="S74" s="292">
        <f>IF(ISERR(VLOOKUP(VALUE(S$44),'SJ Data'!$A$4:$AC$58,4,0)="TRUE"),0,VLOOKUP(VALUE(S$44),'SJ Data'!$A$4:$AC$58,4,0))</f>
        <v>0</v>
      </c>
      <c r="T74" s="292">
        <f>IF(ISERR(VLOOKUP(VALUE(T$44),'SJ Data'!$A$4:$AC$58,4,0)="TRUE"),0,VLOOKUP(VALUE(T$44),'SJ Data'!$A$4:$AC$58,4,0))</f>
        <v>668357.18000000005</v>
      </c>
      <c r="U74" s="292">
        <f>IF(ISERR(VLOOKUP(VALUE(U$44),'SJ Data'!$A$4:$AC$58,4,0)="TRUE"),0,VLOOKUP(VALUE(U$44),'SJ Data'!$A$4:$AC$58,4,0))</f>
        <v>32690499.870000005</v>
      </c>
      <c r="V74" s="292">
        <f>IF(ISERR(VLOOKUP(VALUE(V$44),'SJ Data'!$A$4:$AC$58,4,0)="TRUE"),0,VLOOKUP(VALUE(V$44),'SJ Data'!$A$4:$AC$58,4,0))</f>
        <v>63121094.460000001</v>
      </c>
      <c r="W74" s="292">
        <f>IF(ISERR(VLOOKUP(VALUE(W$44),'SJ Data'!$A$4:$AC$58,4,0)="TRUE"),0,VLOOKUP(VALUE(W$44),'SJ Data'!$A$4:$AC$58,4,0))</f>
        <v>0</v>
      </c>
      <c r="X74" s="292">
        <f>IF(ISERR(VLOOKUP(VALUE(X$44),'SJ Data'!$A$4:$AC$58,4,0)="TRUE"),0,VLOOKUP(VALUE(X$44),'SJ Data'!$A$4:$AC$58,4,0))</f>
        <v>57610742.859999999</v>
      </c>
      <c r="Y74" s="292">
        <f>IF(ISERR(VLOOKUP(VALUE(Y$44),'SJ Data'!$A$4:$AC$58,4,0)="TRUE"),0,VLOOKUP(VALUE(Y$44),'SJ Data'!$A$4:$AC$58,4,0))</f>
        <v>81058280.670000002</v>
      </c>
      <c r="Z74" s="292">
        <f>IF(ISERR(VLOOKUP(VALUE(Z$44),'SJ Data'!$A$4:$AC$58,4,0)="TRUE"),0,VLOOKUP(VALUE(Z$44),'SJ Data'!$A$4:$AC$58,4,0))</f>
        <v>0</v>
      </c>
      <c r="AA74" s="292">
        <f>IF(ISERR(VLOOKUP(VALUE(AA$44),'SJ Data'!$A$4:$AC$58,4,0)="TRUE"),0,VLOOKUP(VALUE(AA$44),'SJ Data'!$A$4:$AC$58,4,0))</f>
        <v>17950115.550000004</v>
      </c>
      <c r="AB74" s="292">
        <f>IF(ISERR(VLOOKUP(VALUE(AB$44),'SJ Data'!$A$4:$AC$58,4,0)="TRUE"),0,VLOOKUP(VALUE(AB$44),'SJ Data'!$A$4:$AC$58,4,0))</f>
        <v>107058366.94000003</v>
      </c>
      <c r="AC74" s="292">
        <f>IF(ISERR(VLOOKUP(VALUE(AC$44),'SJ Data'!$A$4:$AC$58,4,0)="TRUE"),0,VLOOKUP(VALUE(AC$44),'SJ Data'!$A$4:$AC$58,4,0))</f>
        <v>7926337.9099999992</v>
      </c>
      <c r="AD74" s="292">
        <f>IF(ISERR(VLOOKUP(VALUE(AD$44),'SJ Data'!$A$4:$AC$58,4,0)="TRUE"),0,VLOOKUP(VALUE(AD$44),'SJ Data'!$A$4:$AC$58,4,0))</f>
        <v>15560849.449999997</v>
      </c>
      <c r="AE74" s="292">
        <f>IF(ISERR(VLOOKUP(VALUE(AE$44),'SJ Data'!$A$4:$AC$58,4,0)="TRUE"),0,VLOOKUP(VALUE(AE$44),'SJ Data'!$A$4:$AC$58,4,0))</f>
        <v>14839352.490000002</v>
      </c>
      <c r="AF74" s="292">
        <f>IF(ISERR(VLOOKUP(VALUE(AF$44),'SJ Data'!$A$4:$AC$58,4,0)="TRUE"),0,VLOOKUP(VALUE(AF$44),'SJ Data'!$A$4:$AC$58,4,0))</f>
        <v>0</v>
      </c>
      <c r="AG74" s="292">
        <f>IF(ISERR(VLOOKUP(VALUE(AG$44),'SJ Data'!$A$4:$AC$58,4,0)="TRUE"),0,VLOOKUP(VALUE(AG$44),'SJ Data'!$A$4:$AC$58,4,0))</f>
        <v>110797627.98999999</v>
      </c>
      <c r="AH74" s="292">
        <f>IF(ISERR(VLOOKUP(VALUE(AH$44),'SJ Data'!$A$4:$AC$58,4,0)="TRUE"),0,VLOOKUP(VALUE(AH$44),'SJ Data'!$A$4:$AC$58,4,0))</f>
        <v>0</v>
      </c>
      <c r="AI74" s="292">
        <f>IF(ISERR(VLOOKUP(VALUE(AI$44),'SJ Data'!$A$4:$AC$58,4,0)="TRUE"),0,VLOOKUP(VALUE(AI$44),'SJ Data'!$A$4:$AC$58,4,0))</f>
        <v>36586637.549999997</v>
      </c>
      <c r="AJ74" s="292">
        <f>IF(ISERR(VLOOKUP(VALUE(AJ$44),'SJ Data'!$A$4:$AC$58,4,0)="TRUE"),0,VLOOKUP(VALUE(AJ$44),'SJ Data'!$A$4:$AC$58,4,0))</f>
        <v>37855899.890000001</v>
      </c>
      <c r="AK74" s="292">
        <f>IF(ISERR(VLOOKUP(VALUE(AK$44),'SJ Data'!$A$4:$AC$58,4,0)="TRUE"),0,VLOOKUP(VALUE(AK$44),'SJ Data'!$A$4:$AC$58,4,0))</f>
        <v>3891852.07</v>
      </c>
      <c r="AL74" s="292">
        <f>IF(ISERR(VLOOKUP(VALUE(AL$44),'SJ Data'!$A$4:$AC$58,4,0)="TRUE"),0,VLOOKUP(VALUE(AL$44),'SJ Data'!$A$4:$AC$58,4,0))</f>
        <v>749786.7699999999</v>
      </c>
      <c r="AM74" s="292">
        <f>IF(ISERR(VLOOKUP(VALUE(AM$44),'SJ Data'!$A$4:$AC$58,4,0)="TRUE"),0,VLOOKUP(VALUE(AM$44),'SJ Data'!$A$4:$AC$58,4,0))</f>
        <v>0</v>
      </c>
      <c r="AN74" s="292">
        <f>IF(ISERR(VLOOKUP(VALUE(AN$44),'SJ Data'!$A$4:$AC$58,4,0)="TRUE"),0,VLOOKUP(VALUE(AN$44),'SJ Data'!$A$4:$AC$58,4,0))</f>
        <v>0</v>
      </c>
      <c r="AO74" s="292">
        <f>IF(ISERR(VLOOKUP(VALUE(AO$44),'SJ Data'!$A$4:$AC$58,4,0)="TRUE"),0,VLOOKUP(VALUE(AO$44),'SJ Data'!$A$4:$AC$58,4,0))</f>
        <v>0</v>
      </c>
      <c r="AP74" s="292">
        <f>IF(ISERR(VLOOKUP(VALUE(AP$44),'SJ Data'!$A$4:$AC$58,4,0)="TRUE"),0,VLOOKUP(VALUE(AP$44),'SJ Data'!$A$4:$AC$58,4,0))</f>
        <v>5359825.6199999992</v>
      </c>
      <c r="AQ74" s="292">
        <f>IF(ISERR(VLOOKUP(VALUE(AQ$44),'SJ Data'!$A$4:$AC$58,4,0)="TRUE"),0,VLOOKUP(VALUE(AQ$44),'SJ Data'!$A$4:$AC$58,4,0))</f>
        <v>0</v>
      </c>
      <c r="AR74" s="292">
        <f>IF(ISERR(VLOOKUP(VALUE(AR$44),'SJ Data'!$A$4:$AC$58,4,0)="TRUE"),0,VLOOKUP(VALUE(AR$44),'SJ Data'!$A$4:$AC$58,4,0))</f>
        <v>70997700.209999993</v>
      </c>
      <c r="AS74" s="292">
        <f>IF(ISERR(VLOOKUP(VALUE(AS$44),'SJ Data'!$A$4:$AC$58,4,0)="TRUE"),0,VLOOKUP(VALUE(AS$44),'SJ Data'!$A$4:$AC$58,4,0))</f>
        <v>0</v>
      </c>
      <c r="AT74" s="292">
        <f>IF(ISERR(VLOOKUP(VALUE(AT$44),'SJ Data'!$A$4:$AC$58,4,0)="TRUE"),0,VLOOKUP(VALUE(AT$44),'SJ Data'!$A$4:$AC$58,4,0))</f>
        <v>0</v>
      </c>
      <c r="AU74" s="292">
        <f>IF(ISERR(VLOOKUP(VALUE(AU$44),'SJ Data'!$A$4:$AC$58,4,0)="TRUE"),0,VLOOKUP(VALUE(AU$44),'SJ Data'!$A$4:$AC$58,4,0))</f>
        <v>0</v>
      </c>
      <c r="AV74" s="292">
        <f>IF(ISERR(VLOOKUP(VALUE(AV$44),'SJ Data'!$A$4:$AC$58,4,0)="TRUE"),0,VLOOKUP(VALUE(AV$44),'SJ Data'!$A$4:$AC$58,4,0))+'SJ Data'!D56+447</f>
        <v>1829886.01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1110091781.71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94399281.820000008</v>
      </c>
      <c r="D75" s="195">
        <f t="shared" si="9"/>
        <v>0</v>
      </c>
      <c r="E75" s="195">
        <f t="shared" si="9"/>
        <v>204708229.05999997</v>
      </c>
      <c r="F75" s="195">
        <f t="shared" si="9"/>
        <v>0</v>
      </c>
      <c r="G75" s="195">
        <f t="shared" si="9"/>
        <v>17061523.210000001</v>
      </c>
      <c r="H75" s="195">
        <f t="shared" si="9"/>
        <v>23403950.810000002</v>
      </c>
      <c r="I75" s="195">
        <f t="shared" si="9"/>
        <v>0</v>
      </c>
      <c r="J75" s="195">
        <f t="shared" si="9"/>
        <v>42448676.740000002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128690994.62999998</v>
      </c>
      <c r="P75" s="195">
        <f t="shared" si="9"/>
        <v>912441317.63000011</v>
      </c>
      <c r="Q75" s="195">
        <f t="shared" si="9"/>
        <v>26702807.210000001</v>
      </c>
      <c r="R75" s="195">
        <f t="shared" si="9"/>
        <v>0</v>
      </c>
      <c r="S75" s="195">
        <f t="shared" si="9"/>
        <v>0</v>
      </c>
      <c r="T75" s="195">
        <f t="shared" si="9"/>
        <v>12537751.119999999</v>
      </c>
      <c r="U75" s="195">
        <f t="shared" si="9"/>
        <v>120466552.33000001</v>
      </c>
      <c r="V75" s="195">
        <f t="shared" si="9"/>
        <v>82214743.980000004</v>
      </c>
      <c r="W75" s="195">
        <f t="shared" si="9"/>
        <v>0</v>
      </c>
      <c r="X75" s="195">
        <f t="shared" si="9"/>
        <v>113150666.88</v>
      </c>
      <c r="Y75" s="195">
        <f t="shared" si="9"/>
        <v>147753316.02000001</v>
      </c>
      <c r="Z75" s="195">
        <f t="shared" si="9"/>
        <v>0</v>
      </c>
      <c r="AA75" s="195">
        <f t="shared" si="9"/>
        <v>21672586.810000002</v>
      </c>
      <c r="AB75" s="195">
        <f t="shared" si="9"/>
        <v>372046565.04000002</v>
      </c>
      <c r="AC75" s="195">
        <f t="shared" si="9"/>
        <v>62919253.569999985</v>
      </c>
      <c r="AD75" s="195">
        <f t="shared" si="9"/>
        <v>25744479.449999996</v>
      </c>
      <c r="AE75" s="195">
        <f t="shared" si="9"/>
        <v>26099058.180000003</v>
      </c>
      <c r="AF75" s="195">
        <f t="shared" si="9"/>
        <v>0</v>
      </c>
      <c r="AG75" s="195">
        <f t="shared" si="9"/>
        <v>178155846.5</v>
      </c>
      <c r="AH75" s="195">
        <f t="shared" si="9"/>
        <v>0</v>
      </c>
      <c r="AI75" s="195">
        <f t="shared" si="9"/>
        <v>82852268.75999999</v>
      </c>
      <c r="AJ75" s="195">
        <f t="shared" si="9"/>
        <v>37936219.240000002</v>
      </c>
      <c r="AK75" s="195">
        <f t="shared" si="9"/>
        <v>13513266.43</v>
      </c>
      <c r="AL75" s="195">
        <f t="shared" si="9"/>
        <v>3455331.39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4833521.669999999</v>
      </c>
      <c r="AQ75" s="195">
        <f t="shared" si="9"/>
        <v>0</v>
      </c>
      <c r="AR75" s="195">
        <f t="shared" si="9"/>
        <v>70997700.209999993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3972448.4299999997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2830178357.1199994</v>
      </c>
      <c r="CF75" s="251"/>
    </row>
    <row r="76" spans="1:84" ht="12.6" customHeight="1" x14ac:dyDescent="0.25">
      <c r="A76" s="171" t="s">
        <v>248</v>
      </c>
      <c r="B76" s="175"/>
      <c r="C76" s="292">
        <v>20827</v>
      </c>
      <c r="D76" s="292"/>
      <c r="E76" s="293">
        <v>93975</v>
      </c>
      <c r="F76" s="293"/>
      <c r="G76" s="292">
        <v>20301</v>
      </c>
      <c r="H76" s="292"/>
      <c r="I76" s="293"/>
      <c r="J76" s="293">
        <v>2522</v>
      </c>
      <c r="K76" s="293"/>
      <c r="L76" s="293"/>
      <c r="M76" s="293"/>
      <c r="N76" s="293"/>
      <c r="O76" s="293">
        <v>17619</v>
      </c>
      <c r="P76" s="293">
        <v>88022</v>
      </c>
      <c r="Q76" s="293">
        <v>2369</v>
      </c>
      <c r="R76" s="293"/>
      <c r="S76" s="293">
        <v>17441</v>
      </c>
      <c r="T76" s="293"/>
      <c r="U76" s="293">
        <v>18834</v>
      </c>
      <c r="V76" s="293"/>
      <c r="W76" s="293"/>
      <c r="X76" s="293"/>
      <c r="Y76" s="293">
        <v>46504</v>
      </c>
      <c r="Z76" s="293"/>
      <c r="AA76" s="293"/>
      <c r="AB76" s="293">
        <v>19190</v>
      </c>
      <c r="AC76" s="293">
        <v>981</v>
      </c>
      <c r="AD76" s="293">
        <v>40223</v>
      </c>
      <c r="AE76" s="293">
        <v>12994</v>
      </c>
      <c r="AF76" s="293"/>
      <c r="AG76" s="293">
        <v>20182</v>
      </c>
      <c r="AH76" s="293"/>
      <c r="AI76" s="293"/>
      <c r="AJ76" s="293">
        <v>21019</v>
      </c>
      <c r="AK76" s="293">
        <v>5815</v>
      </c>
      <c r="AL76" s="293">
        <v>4171</v>
      </c>
      <c r="AM76" s="293"/>
      <c r="AN76" s="293">
        <v>3310</v>
      </c>
      <c r="AO76" s="293"/>
      <c r="AP76" s="293">
        <v>1709</v>
      </c>
      <c r="AQ76" s="293"/>
      <c r="AR76" s="293"/>
      <c r="AS76" s="293"/>
      <c r="AT76" s="293"/>
      <c r="AU76" s="293"/>
      <c r="AV76" s="293">
        <v>1394</v>
      </c>
      <c r="AW76" s="293"/>
      <c r="AX76" s="293"/>
      <c r="AY76" s="293"/>
      <c r="AZ76" s="293">
        <v>19038</v>
      </c>
      <c r="BA76" s="293">
        <v>4244</v>
      </c>
      <c r="BB76" s="293"/>
      <c r="BC76" s="293"/>
      <c r="BD76" s="293"/>
      <c r="BE76" s="293">
        <v>174493</v>
      </c>
      <c r="BF76" s="293">
        <v>2066</v>
      </c>
      <c r="BG76" s="293"/>
      <c r="BH76" s="293"/>
      <c r="BI76" s="293">
        <v>1333</v>
      </c>
      <c r="BJ76" s="293"/>
      <c r="BK76" s="293"/>
      <c r="BL76" s="293"/>
      <c r="BM76" s="293"/>
      <c r="BN76" s="293">
        <v>201284</v>
      </c>
      <c r="BO76" s="293"/>
      <c r="BP76" s="293"/>
      <c r="BQ76" s="293"/>
      <c r="BR76" s="293">
        <v>16702</v>
      </c>
      <c r="BS76" s="293"/>
      <c r="BT76" s="293"/>
      <c r="BU76" s="293"/>
      <c r="BV76" s="293">
        <v>9455</v>
      </c>
      <c r="BW76" s="293"/>
      <c r="BX76" s="293"/>
      <c r="BY76" s="293">
        <v>978</v>
      </c>
      <c r="BZ76" s="293"/>
      <c r="CA76" s="293"/>
      <c r="CB76" s="293"/>
      <c r="CC76" s="293"/>
      <c r="CD76" s="248" t="s">
        <v>221</v>
      </c>
      <c r="CE76" s="195">
        <f t="shared" si="8"/>
        <v>888995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f>3+36470</f>
        <v>36473</v>
      </c>
      <c r="D77" s="184"/>
      <c r="E77" s="184">
        <v>247757</v>
      </c>
      <c r="F77" s="184"/>
      <c r="G77" s="184">
        <v>26244</v>
      </c>
      <c r="H77" s="184">
        <v>30457</v>
      </c>
      <c r="I77" s="184"/>
      <c r="J77" s="184"/>
      <c r="K77" s="184"/>
      <c r="L77" s="184"/>
      <c r="M77" s="184"/>
      <c r="N77" s="184"/>
      <c r="O77" s="184">
        <v>53848</v>
      </c>
      <c r="P77" s="184">
        <v>48714</v>
      </c>
      <c r="Q77" s="184"/>
      <c r="R77" s="184"/>
      <c r="S77" s="184"/>
      <c r="T77" s="184">
        <v>82421</v>
      </c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>
        <v>51363</v>
      </c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577277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8174</v>
      </c>
      <c r="D78" s="184"/>
      <c r="E78" s="184">
        <f>-2+36881</f>
        <v>36879</v>
      </c>
      <c r="F78" s="184"/>
      <c r="G78" s="184">
        <v>7967</v>
      </c>
      <c r="H78" s="184"/>
      <c r="I78" s="184"/>
      <c r="J78" s="184">
        <v>990</v>
      </c>
      <c r="K78" s="184"/>
      <c r="L78" s="184"/>
      <c r="M78" s="184"/>
      <c r="N78" s="184"/>
      <c r="O78" s="184">
        <v>6915</v>
      </c>
      <c r="P78" s="184">
        <v>30697</v>
      </c>
      <c r="Q78" s="184">
        <v>930</v>
      </c>
      <c r="R78" s="184"/>
      <c r="S78" s="184">
        <v>6845</v>
      </c>
      <c r="T78" s="184"/>
      <c r="U78" s="184">
        <v>6537</v>
      </c>
      <c r="V78" s="184"/>
      <c r="W78" s="184"/>
      <c r="X78" s="184"/>
      <c r="Y78" s="184">
        <v>18250</v>
      </c>
      <c r="Z78" s="184"/>
      <c r="AA78" s="184"/>
      <c r="AB78" s="184">
        <v>6427</v>
      </c>
      <c r="AC78" s="184">
        <v>385</v>
      </c>
      <c r="AD78" s="184">
        <v>20624</v>
      </c>
      <c r="AE78" s="184">
        <v>5100</v>
      </c>
      <c r="AF78" s="184"/>
      <c r="AG78" s="184">
        <v>7920</v>
      </c>
      <c r="AH78" s="184"/>
      <c r="AI78" s="184"/>
      <c r="AJ78" s="184"/>
      <c r="AK78" s="184">
        <v>2282</v>
      </c>
      <c r="AL78" s="184">
        <v>1637</v>
      </c>
      <c r="AM78" s="184"/>
      <c r="AN78" s="184">
        <v>1299</v>
      </c>
      <c r="AO78" s="184"/>
      <c r="AP78" s="184">
        <v>671</v>
      </c>
      <c r="AQ78" s="184"/>
      <c r="AR78" s="184"/>
      <c r="AS78" s="184"/>
      <c r="AT78" s="184"/>
      <c r="AU78" s="184"/>
      <c r="AV78" s="184">
        <v>547</v>
      </c>
      <c r="AW78" s="184"/>
      <c r="AX78" s="248" t="s">
        <v>221</v>
      </c>
      <c r="AY78" s="248" t="s">
        <v>221</v>
      </c>
      <c r="AZ78" s="248" t="s">
        <v>221</v>
      </c>
      <c r="BA78" s="184">
        <v>1666</v>
      </c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>
        <v>523</v>
      </c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>
        <v>3711</v>
      </c>
      <c r="BW78" s="184"/>
      <c r="BX78" s="184"/>
      <c r="BY78" s="184">
        <v>340</v>
      </c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177316</v>
      </c>
      <c r="CF78" s="195"/>
    </row>
    <row r="79" spans="1:84" ht="12.6" customHeight="1" x14ac:dyDescent="0.25">
      <c r="A79" s="171" t="s">
        <v>251</v>
      </c>
      <c r="B79" s="175"/>
      <c r="C79" s="225">
        <v>243480</v>
      </c>
      <c r="D79" s="225"/>
      <c r="E79" s="184">
        <f>751969+12030</f>
        <v>763999</v>
      </c>
      <c r="F79" s="184"/>
      <c r="G79" s="184"/>
      <c r="H79" s="184">
        <v>31331</v>
      </c>
      <c r="I79" s="184"/>
      <c r="J79" s="184"/>
      <c r="K79" s="184"/>
      <c r="L79" s="184"/>
      <c r="M79" s="184"/>
      <c r="N79" s="184"/>
      <c r="O79" s="184">
        <v>305746</v>
      </c>
      <c r="P79" s="184">
        <v>702939</v>
      </c>
      <c r="Q79" s="184">
        <v>66228</v>
      </c>
      <c r="R79" s="184"/>
      <c r="S79" s="184">
        <v>15449</v>
      </c>
      <c r="T79" s="184"/>
      <c r="U79" s="184">
        <v>9380</v>
      </c>
      <c r="V79" s="184"/>
      <c r="W79" s="184"/>
      <c r="X79" s="184"/>
      <c r="Y79" s="184">
        <v>145076</v>
      </c>
      <c r="Z79" s="184"/>
      <c r="AA79" s="184">
        <v>16235</v>
      </c>
      <c r="AB79" s="184"/>
      <c r="AC79" s="184"/>
      <c r="AD79" s="184">
        <v>53515</v>
      </c>
      <c r="AE79" s="184"/>
      <c r="AF79" s="184"/>
      <c r="AG79" s="184">
        <v>281352</v>
      </c>
      <c r="AH79" s="184"/>
      <c r="AI79" s="184"/>
      <c r="AJ79" s="184">
        <v>26342</v>
      </c>
      <c r="AK79" s="184">
        <v>27656</v>
      </c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14737</v>
      </c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2703465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119.07</v>
      </c>
      <c r="D80" s="187"/>
      <c r="E80" s="187">
        <v>225.33</v>
      </c>
      <c r="F80" s="187"/>
      <c r="G80" s="187">
        <v>18.309999999999999</v>
      </c>
      <c r="H80" s="187">
        <v>20.149999999999999</v>
      </c>
      <c r="I80" s="187"/>
      <c r="J80" s="187">
        <v>30.65</v>
      </c>
      <c r="K80" s="187"/>
      <c r="L80" s="187"/>
      <c r="M80" s="187"/>
      <c r="N80" s="187"/>
      <c r="O80" s="187">
        <v>80.73</v>
      </c>
      <c r="P80" s="187">
        <v>79.84</v>
      </c>
      <c r="Q80" s="187">
        <v>14.89</v>
      </c>
      <c r="R80" s="187"/>
      <c r="S80" s="187"/>
      <c r="T80" s="187">
        <v>12.28</v>
      </c>
      <c r="U80" s="187">
        <v>3.26</v>
      </c>
      <c r="V80" s="187">
        <v>2.96</v>
      </c>
      <c r="W80" s="187"/>
      <c r="X80" s="187"/>
      <c r="Y80" s="187">
        <v>5.78</v>
      </c>
      <c r="Z80" s="187"/>
      <c r="AA80" s="187"/>
      <c r="AB80" s="187">
        <v>3.29</v>
      </c>
      <c r="AC80" s="187"/>
      <c r="AD80" s="187"/>
      <c r="AE80" s="187"/>
      <c r="AF80" s="187"/>
      <c r="AG80" s="187">
        <v>50.65</v>
      </c>
      <c r="AH80" s="187"/>
      <c r="AI80" s="187">
        <v>76.94</v>
      </c>
      <c r="AJ80" s="187">
        <v>15.78</v>
      </c>
      <c r="AK80" s="187"/>
      <c r="AL80" s="187"/>
      <c r="AM80" s="187"/>
      <c r="AN80" s="187"/>
      <c r="AO80" s="187"/>
      <c r="AP80" s="187">
        <v>1.88</v>
      </c>
      <c r="AQ80" s="187"/>
      <c r="AR80" s="187">
        <v>106.89</v>
      </c>
      <c r="AS80" s="187"/>
      <c r="AT80" s="187"/>
      <c r="AU80" s="187"/>
      <c r="AV80" s="187">
        <v>3.32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871.99999999999989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0" t="s">
        <v>1280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1266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88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90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89" t="s">
        <v>1268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88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88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88" t="s">
        <v>1271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88" t="s">
        <v>1272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9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90" t="s">
        <v>1274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90" t="s">
        <v>1274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19956</v>
      </c>
      <c r="D111" s="174">
        <v>110758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4415</v>
      </c>
      <c r="D114" s="174">
        <v>10888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35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186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33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26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23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23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366</v>
      </c>
    </row>
    <row r="128" spans="1:5" ht="12.6" customHeight="1" x14ac:dyDescent="0.25">
      <c r="A128" s="173" t="s">
        <v>292</v>
      </c>
      <c r="B128" s="172" t="s">
        <v>256</v>
      </c>
      <c r="C128" s="189">
        <v>366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35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4935+3383</f>
        <v>8318</v>
      </c>
      <c r="C138" s="189">
        <f>608+4328+2</f>
        <v>4938</v>
      </c>
      <c r="D138" s="174">
        <f>19956-13256</f>
        <v>6700</v>
      </c>
      <c r="E138" s="175">
        <f>SUM(B138:D138)</f>
        <v>19956</v>
      </c>
    </row>
    <row r="139" spans="1:6" ht="12.6" customHeight="1" x14ac:dyDescent="0.25">
      <c r="A139" s="173" t="s">
        <v>215</v>
      </c>
      <c r="B139" s="174">
        <f>33047+22774</f>
        <v>55821</v>
      </c>
      <c r="C139" s="189">
        <f>3079+24678+3</f>
        <v>27760</v>
      </c>
      <c r="D139" s="174">
        <f>-83581+110758</f>
        <v>27177</v>
      </c>
      <c r="E139" s="175">
        <f>SUM(B139:D139)</f>
        <v>110758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f>839598453</f>
        <v>839598453</v>
      </c>
      <c r="C141" s="189">
        <f>391494020</f>
        <v>391494020</v>
      </c>
      <c r="D141" s="174">
        <f>-1231092473+1720086575</f>
        <v>488994102</v>
      </c>
      <c r="E141" s="175">
        <f>SUM(B141:D141)</f>
        <v>1720086575</v>
      </c>
      <c r="F141" s="199"/>
    </row>
    <row r="142" spans="1:6" ht="12.6" customHeight="1" x14ac:dyDescent="0.25">
      <c r="A142" s="173" t="s">
        <v>246</v>
      </c>
      <c r="B142" s="174">
        <v>462265557</v>
      </c>
      <c r="C142" s="189">
        <f>1+229380064</f>
        <v>229380065</v>
      </c>
      <c r="D142" s="174">
        <f>-691645621+1110091781</f>
        <v>418446160</v>
      </c>
      <c r="E142" s="175">
        <f>SUM(B142:D142)</f>
        <v>1110091782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14498940.550000001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655974.79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2937393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27390089.41-3801180.56+894378.42+221727.56+1719024.81-600920.79+248875.47-248011.93+657598.87</f>
        <v>26481581.260000002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558090.57-450732.02</f>
        <v>107358.54999999993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5771592.63+3796949.37+193272.04</f>
        <v>9761814.0399999991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456680.49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-54899743+55147027.71+1</f>
        <v>247285.71000000089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55147028.390000001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5541373.8499999996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2726142.83+501598.61</f>
        <v>3227741.44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8769115.2899999991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f>4467183-125547</f>
        <v>4341636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760863.72+51390.37</f>
        <v>812254.09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5153890.09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145587.01999999999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27477069.989999998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27622657.009999998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255133.4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255133.4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287">
        <v>7877315</v>
      </c>
      <c r="C195" s="189"/>
      <c r="D195" s="174"/>
      <c r="E195" s="175">
        <f t="shared" ref="E195:E203" si="10">SUM(B195:C195)-D195</f>
        <v>7877315</v>
      </c>
    </row>
    <row r="196" spans="1:8" ht="12.6" customHeight="1" x14ac:dyDescent="0.25">
      <c r="A196" s="173" t="s">
        <v>333</v>
      </c>
      <c r="B196" s="287">
        <v>4412190</v>
      </c>
      <c r="C196" s="189"/>
      <c r="D196" s="174"/>
      <c r="E196" s="175">
        <f t="shared" si="10"/>
        <v>4412190</v>
      </c>
    </row>
    <row r="197" spans="1:8" ht="12.6" customHeight="1" x14ac:dyDescent="0.25">
      <c r="A197" s="173" t="s">
        <v>334</v>
      </c>
      <c r="B197" s="287">
        <v>170461210.50999999</v>
      </c>
      <c r="C197" s="189">
        <f>1898583.13+4231603.44</f>
        <v>6130186.5700000003</v>
      </c>
      <c r="D197" s="174"/>
      <c r="E197" s="175">
        <f t="shared" si="10"/>
        <v>176591397.07999998</v>
      </c>
    </row>
    <row r="198" spans="1:8" ht="12.6" customHeight="1" x14ac:dyDescent="0.25">
      <c r="A198" s="173" t="s">
        <v>335</v>
      </c>
      <c r="B198" s="287">
        <v>0</v>
      </c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287">
        <v>72677417.920000002</v>
      </c>
      <c r="C199" s="189">
        <f>4279748.92+1806912.5</f>
        <v>6086661.4199999999</v>
      </c>
      <c r="D199" s="174">
        <f>-9974.74+752949.76</f>
        <v>742975.02</v>
      </c>
      <c r="E199" s="175">
        <f t="shared" si="10"/>
        <v>78021104.320000008</v>
      </c>
    </row>
    <row r="200" spans="1:8" ht="12.6" customHeight="1" x14ac:dyDescent="0.25">
      <c r="A200" s="173" t="s">
        <v>337</v>
      </c>
      <c r="B200" s="287">
        <v>230500672.39999998</v>
      </c>
      <c r="C200" s="189">
        <f>21366173.33+1348838.4</f>
        <v>22715011.729999997</v>
      </c>
      <c r="D200" s="174">
        <f>-329289.48+387459</f>
        <v>58169.520000000019</v>
      </c>
      <c r="E200" s="175">
        <f t="shared" si="10"/>
        <v>253157514.60999995</v>
      </c>
    </row>
    <row r="201" spans="1:8" ht="12.6" customHeight="1" x14ac:dyDescent="0.25">
      <c r="A201" s="173" t="s">
        <v>338</v>
      </c>
      <c r="B201" s="287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287">
        <v>26048309.020000003</v>
      </c>
      <c r="C202" s="189">
        <f>5487247.81+2209736.56</f>
        <v>7696984.3699999992</v>
      </c>
      <c r="D202" s="174">
        <f>-323334.27+323334.27</f>
        <v>0</v>
      </c>
      <c r="E202" s="175">
        <f t="shared" si="10"/>
        <v>33745293.390000001</v>
      </c>
    </row>
    <row r="203" spans="1:8" ht="12.6" customHeight="1" x14ac:dyDescent="0.25">
      <c r="A203" s="173" t="s">
        <v>340</v>
      </c>
      <c r="B203" s="287">
        <v>11342590.23</v>
      </c>
      <c r="C203" s="189">
        <f>48603897.77+122850-1</f>
        <v>48726746.770000003</v>
      </c>
      <c r="D203" s="174">
        <v>42114457.590000004</v>
      </c>
      <c r="E203" s="175">
        <f t="shared" si="10"/>
        <v>17954879.409999996</v>
      </c>
    </row>
    <row r="204" spans="1:8" ht="12.6" customHeight="1" x14ac:dyDescent="0.25">
      <c r="A204" s="173" t="s">
        <v>203</v>
      </c>
      <c r="B204" s="175">
        <f>SUM(B195:B203)</f>
        <v>523319705.07999998</v>
      </c>
      <c r="C204" s="191">
        <f>SUM(C195:C203)</f>
        <v>91355590.859999999</v>
      </c>
      <c r="D204" s="175">
        <f>SUM(D195:D203)</f>
        <v>42915602.130000003</v>
      </c>
      <c r="E204" s="175">
        <f>SUM(E195:E203)</f>
        <v>571759693.80999994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3171543.5399999996</v>
      </c>
      <c r="C209" s="189">
        <v>169315.56</v>
      </c>
      <c r="D209" s="174"/>
      <c r="E209" s="175">
        <f t="shared" ref="E209:E216" si="11">SUM(B209:C209)-D209</f>
        <v>3340859.0999999996</v>
      </c>
      <c r="H209" s="258"/>
    </row>
    <row r="210" spans="1:8" ht="12.6" customHeight="1" x14ac:dyDescent="0.25">
      <c r="A210" s="173" t="s">
        <v>334</v>
      </c>
      <c r="B210" s="174">
        <f>8678282+69297423.25</f>
        <v>77975705.25</v>
      </c>
      <c r="C210" s="189">
        <f>2385754.18+2929064.54</f>
        <v>5314818.7200000007</v>
      </c>
      <c r="D210" s="174">
        <f>-(117011.69-50275.72)</f>
        <v>-66735.97</v>
      </c>
      <c r="E210" s="175">
        <f t="shared" si="11"/>
        <v>83357259.939999998</v>
      </c>
      <c r="H210" s="258"/>
    </row>
    <row r="211" spans="1:8" ht="12.6" customHeight="1" x14ac:dyDescent="0.25">
      <c r="A211" s="173" t="s">
        <v>335</v>
      </c>
      <c r="B211" s="174">
        <f>-8678282+12448414.8</f>
        <v>3770132.8000000007</v>
      </c>
      <c r="C211" s="189"/>
      <c r="D211" s="174"/>
      <c r="E211" s="175">
        <f t="shared" si="11"/>
        <v>3770132.8000000007</v>
      </c>
      <c r="H211" s="258"/>
    </row>
    <row r="212" spans="1:8" ht="12.6" customHeight="1" x14ac:dyDescent="0.25">
      <c r="A212" s="173" t="s">
        <v>336</v>
      </c>
      <c r="B212" s="174">
        <v>61630978.329999998</v>
      </c>
      <c r="C212" s="189">
        <v>1282773.8500000001</v>
      </c>
      <c r="D212" s="174">
        <f>-(-10984.53+2337.81-2714.03)</f>
        <v>11360.750000000002</v>
      </c>
      <c r="E212" s="175">
        <f t="shared" si="11"/>
        <v>62902391.43</v>
      </c>
      <c r="H212" s="258"/>
    </row>
    <row r="213" spans="1:8" ht="12.6" customHeight="1" x14ac:dyDescent="0.25">
      <c r="A213" s="173" t="s">
        <v>337</v>
      </c>
      <c r="B213" s="174">
        <v>171580698.22999996</v>
      </c>
      <c r="C213" s="189">
        <f>985886+15919529.43</f>
        <v>16905415.43</v>
      </c>
      <c r="D213" s="174">
        <f>-(1573027.81-140753.09+115182.16-985886)</f>
        <v>-561570.87999999989</v>
      </c>
      <c r="E213" s="175">
        <f t="shared" si="11"/>
        <v>189047684.53999996</v>
      </c>
      <c r="H213" s="258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>
        <f>9323054.5729546-1</f>
        <v>9323053.5729546007</v>
      </c>
      <c r="C215" s="189">
        <v>2070378.18</v>
      </c>
      <c r="D215" s="174">
        <f>-(-94683.7+93328.98)</f>
        <v>1354.7200000000012</v>
      </c>
      <c r="E215" s="175">
        <f t="shared" si="11"/>
        <v>11392077.0329546</v>
      </c>
      <c r="H215" s="258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327452111.72295457</v>
      </c>
      <c r="C217" s="191">
        <f>SUM(C208:C216)</f>
        <v>25742701.740000002</v>
      </c>
      <c r="D217" s="175">
        <f>SUM(D208:D216)</f>
        <v>-615591.37999999989</v>
      </c>
      <c r="E217" s="175">
        <f>SUM(E208:E216)</f>
        <v>353810404.84295452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05" t="s">
        <v>1255</v>
      </c>
      <c r="C220" s="305"/>
      <c r="D220" s="208"/>
      <c r="E220" s="208"/>
    </row>
    <row r="221" spans="1:8" ht="12.6" customHeight="1" x14ac:dyDescent="0.25">
      <c r="A221" s="270" t="s">
        <v>1255</v>
      </c>
      <c r="B221" s="208"/>
      <c r="C221" s="189">
        <v>5300584.28</v>
      </c>
      <c r="D221" s="172">
        <f>C221</f>
        <v>5300584.28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f>691560429.45+348931915.27+87.97+1648466.58+27463.57</f>
        <v>1042168362.8400002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328881166.29+204002071.42+94.02+782987.44</f>
        <v>533666319.17000002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48319090.13+43595360.49+107071.21</f>
        <v>92021521.829999998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2100634273.24-C223-C224-C225-C228-C238-C226</f>
        <v>383088072.80999982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15685111.35+20278038.07+20697.99</f>
        <v>35983847.410000004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2086928124.0600002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10134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17658278.579999998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32458675.19-17658278.58</f>
        <v>14800396.610000003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32458675.190000001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>
        <f>544847.67+72353.86+23391.15+358162.04+12707394.46</f>
        <v>13706149.180000002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13706149.180000002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2138393532.7100003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54008395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401428577.23000002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286599119.16+19677784.96</f>
        <v>306276904.12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7149590.56+287743.65+14310580.73</f>
        <v>21747914.940000001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15532003.699999999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617650.30000000005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187057637.05000001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7877314.96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4412190.25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122860258.49+53731138.59</f>
        <v>176591397.07999998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78021103.969999999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253157514.61000001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33745293.340000004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12934752.62+5020127.62</f>
        <v>17954880.239999998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571759694.45000005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353810405.16000003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217949289.29000002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f>78877688.85+5994224.72</f>
        <v>84871913.569999993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f>32737+1208828.2</f>
        <v>1241565.2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86113478.769999996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491120405.11000001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10547057.119999999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23156488.5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f>21526117.2+572806.07+25064800.41</f>
        <v>47163723.68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4617459.5999999996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46026577.210000001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2025678.77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133536984.87999998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f>3807303.23+2025678.77</f>
        <v>5832982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4935092.9000000004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10768074.9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2025678.77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8742396.1300000008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348841024.04000002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491120405.05000001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491120405.11000001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1720086575.4100001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2830178356.37-1720086575</f>
        <v>1110091781.3699999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2830178356.7799997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5300584.28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291">
        <f>1284355903.64+813459580.25+236.17+2694622.1+72353.86+51577.22-C366</f>
        <v>2086928124.0599999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32458675.190000001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C238</f>
        <v>13706149.180000002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2138393532.71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691784824.06999969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f>26481175.07+430310.38-1875518.14</f>
        <v>25035967.309999999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25035967.309999999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716820791.37999964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f>197830567.79+4489854.14</f>
        <v>202320421.92999998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55147027.710000001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25913592.530000001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105118212.06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4016111.89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7619844+6344552.4+155954702.72+390057.49</f>
        <v>170309156.61000001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3+25742699.1</f>
        <v>25742702.100000001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8769115.2899999991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5153890.09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145587.02+27477069.99</f>
        <v>27622657.009999998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255133.4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-630368018+640495442.72</f>
        <v>10127424.720000029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640495445.34000003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76325346.039999604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7702443.6900000004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84027789.729999602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84027789.729999602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St.Joseph Medical Center   H-0     FYE 06/30/2018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19956</v>
      </c>
      <c r="C414" s="194">
        <f>E138</f>
        <v>19956</v>
      </c>
      <c r="D414" s="179"/>
    </row>
    <row r="415" spans="1:5" ht="12.6" customHeight="1" x14ac:dyDescent="0.25">
      <c r="A415" s="179" t="s">
        <v>464</v>
      </c>
      <c r="B415" s="179">
        <f>D111</f>
        <v>110758</v>
      </c>
      <c r="C415" s="179">
        <f>E139</f>
        <v>110758</v>
      </c>
      <c r="D415" s="194">
        <f>SUM(C59:H59)+N59</f>
        <v>110758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4415</v>
      </c>
    </row>
    <row r="424" spans="1:7" ht="12.6" customHeight="1" x14ac:dyDescent="0.25">
      <c r="A424" s="179" t="s">
        <v>1244</v>
      </c>
      <c r="B424" s="179">
        <f>D114</f>
        <v>10888</v>
      </c>
      <c r="D424" s="179">
        <f>J59</f>
        <v>10888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202320421.92999998</v>
      </c>
      <c r="C427" s="179">
        <f t="shared" ref="C427:C434" si="13">CE61</f>
        <v>202320421.93000001</v>
      </c>
      <c r="D427" s="179"/>
    </row>
    <row r="428" spans="1:7" ht="12.6" customHeight="1" x14ac:dyDescent="0.25">
      <c r="A428" s="179" t="s">
        <v>3</v>
      </c>
      <c r="B428" s="179">
        <f t="shared" si="12"/>
        <v>55147027.710000001</v>
      </c>
      <c r="C428" s="179">
        <f t="shared" si="13"/>
        <v>55147028</v>
      </c>
      <c r="D428" s="179">
        <f>D173</f>
        <v>55147028.390000001</v>
      </c>
    </row>
    <row r="429" spans="1:7" ht="12.6" customHeight="1" x14ac:dyDescent="0.25">
      <c r="A429" s="179" t="s">
        <v>236</v>
      </c>
      <c r="B429" s="179">
        <f t="shared" si="12"/>
        <v>25913592.530000001</v>
      </c>
      <c r="C429" s="179">
        <f t="shared" si="13"/>
        <v>25913592.530000001</v>
      </c>
      <c r="D429" s="179"/>
    </row>
    <row r="430" spans="1:7" ht="12.6" customHeight="1" x14ac:dyDescent="0.25">
      <c r="A430" s="179" t="s">
        <v>237</v>
      </c>
      <c r="B430" s="179">
        <f t="shared" si="12"/>
        <v>105118212.06</v>
      </c>
      <c r="C430" s="179">
        <f t="shared" si="13"/>
        <v>105118212.06000003</v>
      </c>
      <c r="D430" s="179"/>
    </row>
    <row r="431" spans="1:7" ht="12.6" customHeight="1" x14ac:dyDescent="0.25">
      <c r="A431" s="179" t="s">
        <v>444</v>
      </c>
      <c r="B431" s="179">
        <f t="shared" si="12"/>
        <v>4016111.89</v>
      </c>
      <c r="C431" s="179">
        <f t="shared" si="13"/>
        <v>4016111.89</v>
      </c>
      <c r="D431" s="179"/>
    </row>
    <row r="432" spans="1:7" ht="12.6" customHeight="1" x14ac:dyDescent="0.25">
      <c r="A432" s="179" t="s">
        <v>445</v>
      </c>
      <c r="B432" s="179">
        <f t="shared" si="12"/>
        <v>170309156.61000001</v>
      </c>
      <c r="C432" s="179">
        <f t="shared" si="13"/>
        <v>170309156.61234921</v>
      </c>
      <c r="D432" s="179"/>
    </row>
    <row r="433" spans="1:7" ht="12.6" customHeight="1" x14ac:dyDescent="0.25">
      <c r="A433" s="179" t="s">
        <v>6</v>
      </c>
      <c r="B433" s="179">
        <f t="shared" si="12"/>
        <v>25742702.100000001</v>
      </c>
      <c r="C433" s="179">
        <f t="shared" si="13"/>
        <v>25742702</v>
      </c>
      <c r="D433" s="179">
        <f>C217</f>
        <v>25742701.740000002</v>
      </c>
    </row>
    <row r="434" spans="1:7" ht="12.6" customHeight="1" x14ac:dyDescent="0.25">
      <c r="A434" s="179" t="s">
        <v>474</v>
      </c>
      <c r="B434" s="179">
        <f t="shared" si="12"/>
        <v>8769115.2899999991</v>
      </c>
      <c r="C434" s="179">
        <f t="shared" si="13"/>
        <v>8769115.290000001</v>
      </c>
      <c r="D434" s="179">
        <f>D177</f>
        <v>8769115.2899999991</v>
      </c>
    </row>
    <row r="435" spans="1:7" ht="12.6" customHeight="1" x14ac:dyDescent="0.25">
      <c r="A435" s="179" t="s">
        <v>447</v>
      </c>
      <c r="B435" s="179">
        <f t="shared" si="12"/>
        <v>5153890.09</v>
      </c>
      <c r="C435" s="179"/>
      <c r="D435" s="179">
        <f>D181</f>
        <v>5153890.09</v>
      </c>
    </row>
    <row r="436" spans="1:7" ht="12.6" customHeight="1" x14ac:dyDescent="0.25">
      <c r="A436" s="179" t="s">
        <v>475</v>
      </c>
      <c r="B436" s="179">
        <f t="shared" si="12"/>
        <v>27622657.009999998</v>
      </c>
      <c r="C436" s="179"/>
      <c r="D436" s="179">
        <f>D186</f>
        <v>27622657.009999998</v>
      </c>
    </row>
    <row r="437" spans="1:7" ht="12.6" customHeight="1" x14ac:dyDescent="0.25">
      <c r="A437" s="194" t="s">
        <v>449</v>
      </c>
      <c r="B437" s="194">
        <f t="shared" si="12"/>
        <v>255133.4</v>
      </c>
      <c r="C437" s="194"/>
      <c r="D437" s="194">
        <f>D190</f>
        <v>255133.4</v>
      </c>
    </row>
    <row r="438" spans="1:7" ht="12.6" customHeight="1" x14ac:dyDescent="0.25">
      <c r="A438" s="194" t="s">
        <v>476</v>
      </c>
      <c r="B438" s="194">
        <f>C386+C387+C388</f>
        <v>33031680.499999996</v>
      </c>
      <c r="C438" s="194">
        <f>CD69</f>
        <v>33031680.609999999</v>
      </c>
      <c r="D438" s="194">
        <f>D181+D186+D190</f>
        <v>33031680.499999996</v>
      </c>
    </row>
    <row r="439" spans="1:7" ht="12.6" customHeight="1" x14ac:dyDescent="0.25">
      <c r="A439" s="179" t="s">
        <v>451</v>
      </c>
      <c r="B439" s="194">
        <f>C389</f>
        <v>10127424.720000029</v>
      </c>
      <c r="C439" s="194">
        <f>SUM(C69:CC69)</f>
        <v>10127424.990000002</v>
      </c>
      <c r="D439" s="179"/>
    </row>
    <row r="440" spans="1:7" ht="12.6" customHeight="1" x14ac:dyDescent="0.25">
      <c r="A440" s="179" t="s">
        <v>477</v>
      </c>
      <c r="B440" s="194">
        <f>B438+B439</f>
        <v>43159105.220000029</v>
      </c>
      <c r="C440" s="194">
        <f>CE69</f>
        <v>43159105.600000001</v>
      </c>
      <c r="D440" s="179"/>
    </row>
    <row r="441" spans="1:7" ht="12.6" customHeight="1" x14ac:dyDescent="0.25">
      <c r="A441" s="179" t="s">
        <v>478</v>
      </c>
      <c r="B441" s="179">
        <f>D390</f>
        <v>640495445.34000003</v>
      </c>
      <c r="C441" s="179">
        <f>SUM(C427:C437)+C440</f>
        <v>640495445.91234934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5300584.28</v>
      </c>
      <c r="C444" s="179">
        <f>C363</f>
        <v>5300584.28</v>
      </c>
      <c r="D444" s="179"/>
    </row>
    <row r="445" spans="1:7" ht="12.6" customHeight="1" x14ac:dyDescent="0.25">
      <c r="A445" s="179" t="s">
        <v>343</v>
      </c>
      <c r="B445" s="179">
        <f>D229</f>
        <v>2086928124.0600002</v>
      </c>
      <c r="C445" s="179">
        <f>C364</f>
        <v>2086928124.0599999</v>
      </c>
      <c r="D445" s="179"/>
    </row>
    <row r="446" spans="1:7" ht="12.6" customHeight="1" x14ac:dyDescent="0.25">
      <c r="A446" s="179" t="s">
        <v>351</v>
      </c>
      <c r="B446" s="179">
        <f>D236</f>
        <v>32458675.190000001</v>
      </c>
      <c r="C446" s="179">
        <f>C365</f>
        <v>32458675.190000001</v>
      </c>
      <c r="D446" s="179"/>
    </row>
    <row r="447" spans="1:7" ht="12.6" customHeight="1" x14ac:dyDescent="0.25">
      <c r="A447" s="179" t="s">
        <v>356</v>
      </c>
      <c r="B447" s="179">
        <f>D240</f>
        <v>13706149.180000002</v>
      </c>
      <c r="C447" s="179">
        <f>C366</f>
        <v>13706149.180000002</v>
      </c>
      <c r="D447" s="179"/>
    </row>
    <row r="448" spans="1:7" ht="12.6" customHeight="1" x14ac:dyDescent="0.25">
      <c r="A448" s="179" t="s">
        <v>358</v>
      </c>
      <c r="B448" s="179">
        <f>D242</f>
        <v>2138393532.7100003</v>
      </c>
      <c r="C448" s="179">
        <f>D367</f>
        <v>2138393532.71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10134</v>
      </c>
    </row>
    <row r="454" spans="1:7" ht="12.6" customHeight="1" x14ac:dyDescent="0.25">
      <c r="A454" s="179" t="s">
        <v>168</v>
      </c>
      <c r="B454" s="179">
        <f>C233</f>
        <v>17658278.579999998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14800396.610000003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25035967.309999999</v>
      </c>
      <c r="C458" s="194">
        <f>CE70</f>
        <v>25035967.310000006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1720086575.4100001</v>
      </c>
      <c r="C463" s="194">
        <f>CE73</f>
        <v>1720086575.4099996</v>
      </c>
      <c r="D463" s="194">
        <f>E141+E147+E153</f>
        <v>1720086575</v>
      </c>
    </row>
    <row r="464" spans="1:7" ht="12.6" customHeight="1" x14ac:dyDescent="0.25">
      <c r="A464" s="179" t="s">
        <v>246</v>
      </c>
      <c r="B464" s="194">
        <f>C360</f>
        <v>1110091781.3699999</v>
      </c>
      <c r="C464" s="194">
        <f>CE74</f>
        <v>1110091781.71</v>
      </c>
      <c r="D464" s="194">
        <f>E142+E148+E154</f>
        <v>1110091782</v>
      </c>
    </row>
    <row r="465" spans="1:7" ht="12.6" customHeight="1" x14ac:dyDescent="0.25">
      <c r="A465" s="179" t="s">
        <v>247</v>
      </c>
      <c r="B465" s="194">
        <f>D361</f>
        <v>2830178356.7799997</v>
      </c>
      <c r="C465" s="194">
        <f>CE75</f>
        <v>2830178357.1199994</v>
      </c>
      <c r="D465" s="194">
        <f>D463+D464</f>
        <v>2830178357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7877314.96</v>
      </c>
      <c r="C468" s="179">
        <f>E195</f>
        <v>7877315</v>
      </c>
      <c r="D468" s="179"/>
    </row>
    <row r="469" spans="1:7" ht="12.6" customHeight="1" x14ac:dyDescent="0.25">
      <c r="A469" s="179" t="s">
        <v>333</v>
      </c>
      <c r="B469" s="179">
        <f t="shared" si="14"/>
        <v>4412190.25</v>
      </c>
      <c r="C469" s="179">
        <f>E196</f>
        <v>4412190</v>
      </c>
      <c r="D469" s="179"/>
    </row>
    <row r="470" spans="1:7" ht="12.6" customHeight="1" x14ac:dyDescent="0.25">
      <c r="A470" s="179" t="s">
        <v>334</v>
      </c>
      <c r="B470" s="179">
        <f t="shared" si="14"/>
        <v>176591397.07999998</v>
      </c>
      <c r="C470" s="179">
        <f>E197</f>
        <v>176591397.07999998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78021103.969999999</v>
      </c>
      <c r="C472" s="179">
        <f>E199</f>
        <v>78021104.320000008</v>
      </c>
      <c r="D472" s="179"/>
    </row>
    <row r="473" spans="1:7" ht="12.6" customHeight="1" x14ac:dyDescent="0.25">
      <c r="A473" s="179" t="s">
        <v>495</v>
      </c>
      <c r="B473" s="179">
        <f t="shared" si="14"/>
        <v>253157514.61000001</v>
      </c>
      <c r="C473" s="179">
        <f>SUM(E200:E201)</f>
        <v>253157514.60999995</v>
      </c>
      <c r="D473" s="179"/>
    </row>
    <row r="474" spans="1:7" ht="12.6" customHeight="1" x14ac:dyDescent="0.25">
      <c r="A474" s="179" t="s">
        <v>339</v>
      </c>
      <c r="B474" s="179">
        <f t="shared" si="14"/>
        <v>33745293.340000004</v>
      </c>
      <c r="C474" s="179">
        <f>E202</f>
        <v>33745293.390000001</v>
      </c>
      <c r="D474" s="179"/>
    </row>
    <row r="475" spans="1:7" ht="12.6" customHeight="1" x14ac:dyDescent="0.25">
      <c r="A475" s="179" t="s">
        <v>340</v>
      </c>
      <c r="B475" s="179">
        <f t="shared" si="14"/>
        <v>17954880.239999998</v>
      </c>
      <c r="C475" s="179">
        <f>E203</f>
        <v>17954879.409999996</v>
      </c>
      <c r="D475" s="179"/>
    </row>
    <row r="476" spans="1:7" ht="12.6" customHeight="1" x14ac:dyDescent="0.25">
      <c r="A476" s="179" t="s">
        <v>203</v>
      </c>
      <c r="B476" s="179">
        <f>D275</f>
        <v>571759694.45000005</v>
      </c>
      <c r="C476" s="179">
        <f>E204</f>
        <v>571759693.80999994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353810405.16000003</v>
      </c>
      <c r="C478" s="179">
        <f>E217</f>
        <v>353810404.84295452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491120405.11000001</v>
      </c>
    </row>
    <row r="482" spans="1:12" ht="12.6" customHeight="1" x14ac:dyDescent="0.25">
      <c r="A482" s="180" t="s">
        <v>499</v>
      </c>
      <c r="C482" s="180">
        <f>D339</f>
        <v>491120405.05000001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C84</f>
        <v>St.Joseph Medical Center</v>
      </c>
      <c r="B493" s="260" t="str">
        <f>RIGHT('Prior Year'!C82,4)</f>
        <v>2017</v>
      </c>
      <c r="C493" s="260" t="str">
        <f>RIGHT(C82,4)</f>
        <v>2018</v>
      </c>
      <c r="D493" s="260" t="str">
        <f>RIGHT('Prior Year'!C82,4)</f>
        <v>2017</v>
      </c>
      <c r="E493" s="260" t="str">
        <f>RIGHT(C82,4)</f>
        <v>2018</v>
      </c>
      <c r="F493" s="260" t="str">
        <f>RIGHT('Prior Year'!C82,4)</f>
        <v>2017</v>
      </c>
      <c r="G493" s="260" t="str">
        <f>RIGHT(C82,4)</f>
        <v>2018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f>'Prior Year'!C71</f>
        <v>25771402.27</v>
      </c>
      <c r="C496" s="239">
        <f>C71</f>
        <v>26551164.93</v>
      </c>
      <c r="D496" s="239">
        <f>'Prior Year'!C59</f>
        <v>23888</v>
      </c>
      <c r="E496" s="180">
        <f>C59</f>
        <v>25433</v>
      </c>
      <c r="F496" s="262">
        <f t="shared" ref="F496:G511" si="15">IF(B496=0,"",IF(D496=0,"",B496/D496))</f>
        <v>1078.8430287173476</v>
      </c>
      <c r="G496" s="263">
        <f t="shared" si="15"/>
        <v>1043.9651212990996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f>'Prior Year'!E71</f>
        <v>44053398.559999995</v>
      </c>
      <c r="C498" s="239">
        <f>E71</f>
        <v>45324978.640000001</v>
      </c>
      <c r="D498" s="239">
        <f>'Prior Year'!E59</f>
        <v>71992</v>
      </c>
      <c r="E498" s="180">
        <f>E59</f>
        <v>72116</v>
      </c>
      <c r="F498" s="262">
        <f t="shared" si="15"/>
        <v>611.92074897210796</v>
      </c>
      <c r="G498" s="262">
        <f t="shared" si="15"/>
        <v>628.50100726607138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f>'Prior Year'!G71</f>
        <v>6110848.2399999984</v>
      </c>
      <c r="C500" s="239">
        <f>G71</f>
        <v>4950575.1899999995</v>
      </c>
      <c r="D500" s="239">
        <f>'Prior Year'!G59</f>
        <v>7712</v>
      </c>
      <c r="E500" s="180">
        <f>G59</f>
        <v>5646</v>
      </c>
      <c r="F500" s="262">
        <f t="shared" si="15"/>
        <v>792.38177385892095</v>
      </c>
      <c r="G500" s="262">
        <f t="shared" si="15"/>
        <v>876.82876195536653</v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f>'Prior Year'!H71</f>
        <v>8148696.4100000011</v>
      </c>
      <c r="C501" s="239">
        <f>H71</f>
        <v>5575060.2699999996</v>
      </c>
      <c r="D501" s="239">
        <f>'Prior Year'!H59</f>
        <v>7600</v>
      </c>
      <c r="E501" s="180">
        <f>H59</f>
        <v>7563</v>
      </c>
      <c r="F501" s="262">
        <f t="shared" si="15"/>
        <v>1072.1968960526317</v>
      </c>
      <c r="G501" s="262">
        <f t="shared" si="15"/>
        <v>737.14931508660584</v>
      </c>
      <c r="H501" s="264">
        <f t="shared" si="16"/>
        <v>-0.31248699021562842</v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f>'Prior Year'!J71</f>
        <v>7624900.7199999988</v>
      </c>
      <c r="C503" s="239">
        <f>J71</f>
        <v>8128542.6399999987</v>
      </c>
      <c r="D503" s="239">
        <f>'Prior Year'!J59</f>
        <v>11071</v>
      </c>
      <c r="E503" s="180">
        <f>J59</f>
        <v>10888</v>
      </c>
      <c r="F503" s="262">
        <f t="shared" si="15"/>
        <v>688.72737060789439</v>
      </c>
      <c r="G503" s="262">
        <f t="shared" si="15"/>
        <v>746.55975753122698</v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f>'Prior Year'!O71</f>
        <v>18753567.300000001</v>
      </c>
      <c r="C508" s="239">
        <f>O71</f>
        <v>19261759.660000004</v>
      </c>
      <c r="D508" s="239">
        <f>'Prior Year'!O59</f>
        <v>20325</v>
      </c>
      <c r="E508" s="180">
        <f>O59</f>
        <v>19960</v>
      </c>
      <c r="F508" s="262">
        <f t="shared" si="15"/>
        <v>922.68473800738013</v>
      </c>
      <c r="G508" s="262">
        <f t="shared" si="15"/>
        <v>965.01801903807632</v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f>'Prior Year'!P71</f>
        <v>92375846.816099986</v>
      </c>
      <c r="C509" s="239">
        <f>P71</f>
        <v>92160046.105000004</v>
      </c>
      <c r="D509" s="239">
        <f>'Prior Year'!P59</f>
        <v>4119106</v>
      </c>
      <c r="E509" s="180">
        <f>P59</f>
        <v>2611928</v>
      </c>
      <c r="F509" s="262">
        <f t="shared" si="15"/>
        <v>22.426188307875542</v>
      </c>
      <c r="G509" s="262">
        <f t="shared" si="15"/>
        <v>35.284298075980658</v>
      </c>
      <c r="H509" s="264">
        <f t="shared" si="16"/>
        <v>0.57335243919224799</v>
      </c>
      <c r="I509" s="266" t="s">
        <v>1333</v>
      </c>
      <c r="K509" s="260"/>
      <c r="L509" s="260"/>
    </row>
    <row r="510" spans="1:12" ht="12.6" customHeight="1" x14ac:dyDescent="0.25">
      <c r="A510" s="180" t="s">
        <v>526</v>
      </c>
      <c r="B510" s="239">
        <f>'Prior Year'!Q71</f>
        <v>2843634.7000000007</v>
      </c>
      <c r="C510" s="239">
        <f>Q71</f>
        <v>2721287.9200000009</v>
      </c>
      <c r="D510" s="239">
        <f>'Prior Year'!Q59</f>
        <v>1241535</v>
      </c>
      <c r="E510" s="180">
        <f>Q59</f>
        <v>1201215</v>
      </c>
      <c r="F510" s="262">
        <f t="shared" si="15"/>
        <v>2.2904184739052873</v>
      </c>
      <c r="G510" s="262">
        <f t="shared" si="15"/>
        <v>2.2654461690871335</v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f>'Prior Year'!R71</f>
        <v>0</v>
      </c>
      <c r="C511" s="239">
        <f>R71</f>
        <v>0</v>
      </c>
      <c r="D511" s="239">
        <f>'Prior Year'!R59</f>
        <v>0</v>
      </c>
      <c r="E511" s="180">
        <f>R59</f>
        <v>0</v>
      </c>
      <c r="F511" s="262" t="str">
        <f t="shared" si="15"/>
        <v/>
      </c>
      <c r="G511" s="262" t="str">
        <f t="shared" si="15"/>
        <v/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f>'Prior Year'!S71</f>
        <v>4216840.6176576009</v>
      </c>
      <c r="C512" s="239">
        <f>S71</f>
        <v>5014774.4713701997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f>'Prior Year'!T71</f>
        <v>3057276.59</v>
      </c>
      <c r="C513" s="239">
        <f>T71</f>
        <v>3079357.0999999996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f>'Prior Year'!U71</f>
        <v>15864794.110000003</v>
      </c>
      <c r="C514" s="239">
        <f>U71</f>
        <v>20130215.870000001</v>
      </c>
      <c r="D514" s="239">
        <f>'Prior Year'!U59</f>
        <v>3078895</v>
      </c>
      <c r="E514" s="180">
        <f>U59</f>
        <v>2875360</v>
      </c>
      <c r="F514" s="262">
        <f t="shared" si="17"/>
        <v>5.1527558133681088</v>
      </c>
      <c r="G514" s="262">
        <f t="shared" si="17"/>
        <v>7.0009375765121584</v>
      </c>
      <c r="H514" s="264">
        <f t="shared" si="16"/>
        <v>0.35867831313667131</v>
      </c>
      <c r="I514" s="266" t="s">
        <v>1333</v>
      </c>
      <c r="K514" s="260"/>
      <c r="L514" s="260"/>
    </row>
    <row r="515" spans="1:12" ht="12.6" customHeight="1" x14ac:dyDescent="0.25">
      <c r="A515" s="180" t="s">
        <v>531</v>
      </c>
      <c r="B515" s="239">
        <f>'Prior Year'!V71</f>
        <v>135678</v>
      </c>
      <c r="C515" s="239">
        <f>V71</f>
        <v>6380226.5599999996</v>
      </c>
      <c r="D515" s="239">
        <f>'Prior Year'!V59</f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f>'Prior Year'!W71</f>
        <v>0</v>
      </c>
      <c r="C516" s="239">
        <f>W71</f>
        <v>0</v>
      </c>
      <c r="D516" s="239">
        <f>'Prior Year'!W59</f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f>'Prior Year'!X71</f>
        <v>1611090.53</v>
      </c>
      <c r="C517" s="239">
        <f>X71</f>
        <v>1535419.2900000003</v>
      </c>
      <c r="D517" s="239">
        <f>'Prior Year'!X59</f>
        <v>82838</v>
      </c>
      <c r="E517" s="180">
        <f>X59</f>
        <v>25118</v>
      </c>
      <c r="F517" s="262">
        <f t="shared" si="17"/>
        <v>19.448689369612978</v>
      </c>
      <c r="G517" s="262">
        <f t="shared" si="17"/>
        <v>61.128246277569879</v>
      </c>
      <c r="H517" s="264">
        <f t="shared" si="16"/>
        <v>2.1430522188851384</v>
      </c>
      <c r="I517" s="266" t="s">
        <v>1333</v>
      </c>
      <c r="K517" s="260"/>
      <c r="L517" s="260"/>
    </row>
    <row r="518" spans="1:12" ht="12.6" customHeight="1" x14ac:dyDescent="0.25">
      <c r="A518" s="180" t="s">
        <v>534</v>
      </c>
      <c r="B518" s="239">
        <f>'Prior Year'!Y71</f>
        <v>14493118.700000001</v>
      </c>
      <c r="C518" s="239">
        <f>Y71</f>
        <v>14806044.130000001</v>
      </c>
      <c r="D518" s="239">
        <f>'Prior Year'!Y59</f>
        <v>1203618</v>
      </c>
      <c r="E518" s="180">
        <f>Y59</f>
        <v>210018</v>
      </c>
      <c r="F518" s="262">
        <f t="shared" si="17"/>
        <v>12.041294414008432</v>
      </c>
      <c r="G518" s="262">
        <f t="shared" si="17"/>
        <v>70.498929282252007</v>
      </c>
      <c r="H518" s="264">
        <f t="shared" si="16"/>
        <v>4.8547633550290037</v>
      </c>
      <c r="I518" s="266" t="s">
        <v>1333</v>
      </c>
      <c r="K518" s="260"/>
      <c r="L518" s="260"/>
    </row>
    <row r="519" spans="1:12" ht="12.6" customHeight="1" x14ac:dyDescent="0.25">
      <c r="A519" s="180" t="s">
        <v>535</v>
      </c>
      <c r="B519" s="239">
        <f>'Prior Year'!Z71</f>
        <v>0</v>
      </c>
      <c r="C519" s="239">
        <f>Z71</f>
        <v>0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f>'Prior Year'!AA71</f>
        <v>1457768.24</v>
      </c>
      <c r="C520" s="239">
        <f>AA71</f>
        <v>1506419.68</v>
      </c>
      <c r="D520" s="239">
        <f>'Prior Year'!AA59</f>
        <v>38200</v>
      </c>
      <c r="E520" s="180">
        <f>AA59</f>
        <v>4861</v>
      </c>
      <c r="F520" s="262">
        <f t="shared" si="17"/>
        <v>38.161472251308901</v>
      </c>
      <c r="G520" s="262">
        <f t="shared" si="17"/>
        <v>309.8991318658712</v>
      </c>
      <c r="H520" s="264">
        <f t="shared" si="16"/>
        <v>7.1207331264647937</v>
      </c>
      <c r="I520" s="266" t="s">
        <v>1333</v>
      </c>
      <c r="K520" s="260"/>
      <c r="L520" s="260"/>
    </row>
    <row r="521" spans="1:12" ht="12.6" customHeight="1" x14ac:dyDescent="0.25">
      <c r="A521" s="180" t="s">
        <v>537</v>
      </c>
      <c r="B521" s="239">
        <f>'Prior Year'!AB71</f>
        <v>28362084.470000003</v>
      </c>
      <c r="C521" s="239">
        <f>AB71</f>
        <v>27262122.710000001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f>'Prior Year'!AC71</f>
        <v>3944987.6700000009</v>
      </c>
      <c r="C522" s="239">
        <f>AC71</f>
        <v>4299746.16</v>
      </c>
      <c r="D522" s="239">
        <f>'Prior Year'!AC59</f>
        <v>135774</v>
      </c>
      <c r="E522" s="180">
        <f>AC59</f>
        <v>65948</v>
      </c>
      <c r="F522" s="262">
        <f t="shared" si="17"/>
        <v>29.055545759865666</v>
      </c>
      <c r="G522" s="262">
        <f t="shared" si="17"/>
        <v>65.199038029963006</v>
      </c>
      <c r="H522" s="264">
        <f t="shared" si="16"/>
        <v>1.2439447040097327</v>
      </c>
      <c r="I522" s="266" t="s">
        <v>1333</v>
      </c>
      <c r="K522" s="260"/>
      <c r="L522" s="260"/>
    </row>
    <row r="523" spans="1:12" ht="12.6" customHeight="1" x14ac:dyDescent="0.25">
      <c r="A523" s="180" t="s">
        <v>539</v>
      </c>
      <c r="B523" s="239">
        <f>'Prior Year'!AD71</f>
        <v>9447098.5100000016</v>
      </c>
      <c r="C523" s="239">
        <f>AD71</f>
        <v>6151571.1399999997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f>'Prior Year'!AE71</f>
        <v>5568338.879999999</v>
      </c>
      <c r="C524" s="239">
        <f>AE71</f>
        <v>5267343.4000000013</v>
      </c>
      <c r="D524" s="239">
        <f>'Prior Year'!AE59</f>
        <v>177994</v>
      </c>
      <c r="E524" s="180">
        <f>AE59</f>
        <v>164091</v>
      </c>
      <c r="F524" s="262">
        <f t="shared" si="17"/>
        <v>31.28385720866995</v>
      </c>
      <c r="G524" s="262">
        <f t="shared" si="17"/>
        <v>32.100135900201728</v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f>'Prior Year'!AG71</f>
        <v>19030834.780000001</v>
      </c>
      <c r="C526" s="239">
        <f>AG71</f>
        <v>21702705.16</v>
      </c>
      <c r="D526" s="239">
        <f>'Prior Year'!AG59</f>
        <v>53547</v>
      </c>
      <c r="E526" s="180">
        <f>AG59</f>
        <v>50081</v>
      </c>
      <c r="F526" s="262">
        <f t="shared" si="17"/>
        <v>355.40431359366539</v>
      </c>
      <c r="G526" s="262">
        <f t="shared" si="17"/>
        <v>433.35207284199595</v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f>'Prior Year'!AI71</f>
        <v>15343089.200000001</v>
      </c>
      <c r="C528" s="239">
        <f>AI71</f>
        <v>14813983.459999997</v>
      </c>
      <c r="D528" s="239">
        <f>'Prior Year'!AI59</f>
        <v>15376</v>
      </c>
      <c r="E528" s="180">
        <f>AI59</f>
        <v>14940</v>
      </c>
      <c r="F528" s="262">
        <f t="shared" ref="F528:G540" si="18">IF(B528=0,"",IF(D528=0,"",B528/D528))</f>
        <v>997.85959937565042</v>
      </c>
      <c r="G528" s="262">
        <f t="shared" si="18"/>
        <v>991.56515796519398</v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f>'Prior Year'!AJ71</f>
        <v>8837036.459999999</v>
      </c>
      <c r="C529" s="239">
        <f>AJ71</f>
        <v>7221632.0799999991</v>
      </c>
      <c r="D529" s="239">
        <f>'Prior Year'!AJ59</f>
        <v>24775</v>
      </c>
      <c r="E529" s="180">
        <f>AJ59</f>
        <v>25537</v>
      </c>
      <c r="F529" s="262">
        <f t="shared" si="18"/>
        <v>356.69168355196769</v>
      </c>
      <c r="G529" s="262">
        <f t="shared" si="18"/>
        <v>282.79093393899046</v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f>'Prior Year'!AK71</f>
        <v>2396724.9800000004</v>
      </c>
      <c r="C530" s="239">
        <f>AK71</f>
        <v>2382546.7900000005</v>
      </c>
      <c r="D530" s="239">
        <f>'Prior Year'!AK59</f>
        <v>76973</v>
      </c>
      <c r="E530" s="180">
        <f>AK59</f>
        <v>74450</v>
      </c>
      <c r="F530" s="262">
        <f t="shared" si="18"/>
        <v>31.13721668637055</v>
      </c>
      <c r="G530" s="262">
        <f t="shared" si="18"/>
        <v>32.001971658831437</v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f>'Prior Year'!AL71</f>
        <v>654171.52</v>
      </c>
      <c r="C531" s="239">
        <f>AL71</f>
        <v>672614.29999999993</v>
      </c>
      <c r="D531" s="239">
        <f>'Prior Year'!AL59</f>
        <v>8615</v>
      </c>
      <c r="E531" s="180">
        <f>AL59</f>
        <v>8770</v>
      </c>
      <c r="F531" s="262">
        <f t="shared" si="18"/>
        <v>75.934012768427166</v>
      </c>
      <c r="G531" s="262">
        <f t="shared" si="18"/>
        <v>76.694903078677299</v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f>'Prior Year'!AN71</f>
        <v>40270</v>
      </c>
      <c r="C533" s="239">
        <f>AN71</f>
        <v>44612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f>'Prior Year'!AP71</f>
        <v>4476870.9200000009</v>
      </c>
      <c r="C535" s="239">
        <f>AP71</f>
        <v>182782.51999999979</v>
      </c>
      <c r="D535" s="239">
        <f>'Prior Year'!AP59</f>
        <v>19698</v>
      </c>
      <c r="E535" s="180">
        <f>AP59</f>
        <v>888</v>
      </c>
      <c r="F535" s="262">
        <f t="shared" si="18"/>
        <v>227.27540460960509</v>
      </c>
      <c r="G535" s="262">
        <f t="shared" si="18"/>
        <v>205.83617117117092</v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f>'Prior Year'!AR71</f>
        <v>44715184.619999997</v>
      </c>
      <c r="C537" s="239">
        <f>AR71</f>
        <v>47434101.059999995</v>
      </c>
      <c r="D537" s="239">
        <f>'Prior Year'!AR59</f>
        <v>345775</v>
      </c>
      <c r="E537" s="180">
        <f>AR59</f>
        <v>385162</v>
      </c>
      <c r="F537" s="262">
        <f t="shared" si="18"/>
        <v>129.3187321813318</v>
      </c>
      <c r="G537" s="262">
        <f t="shared" si="18"/>
        <v>123.15363680736935</v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f>'Prior Year'!AV71</f>
        <v>-95645446.635200009</v>
      </c>
      <c r="C541" s="239">
        <f>AV71</f>
        <v>15169183.031400003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f>'Prior Year'!AX71</f>
        <v>435101.20400000009</v>
      </c>
      <c r="C543" s="239">
        <f>AX71</f>
        <v>2285.6268999999998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f>'Prior Year'!AY71</f>
        <v>0</v>
      </c>
      <c r="C544" s="239">
        <f>AY71</f>
        <v>0</v>
      </c>
      <c r="D544" s="239">
        <f>'Prior Year'!AY59</f>
        <v>611178</v>
      </c>
      <c r="E544" s="180">
        <f>AY59</f>
        <v>577277</v>
      </c>
      <c r="F544" s="262" t="str">
        <f t="shared" ref="F544:G550" si="19">IF(B544=0,"",IF(D544=0,"",B544/D544))</f>
        <v/>
      </c>
      <c r="G544" s="262" t="str">
        <f t="shared" si="19"/>
        <v/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f>'Prior Year'!AZ71</f>
        <v>8412087.6999999993</v>
      </c>
      <c r="C545" s="239">
        <f>AZ71</f>
        <v>8715114.0000000019</v>
      </c>
      <c r="D545" s="239">
        <f>'Prior Year'!AZ59</f>
        <v>2003232</v>
      </c>
      <c r="E545" s="180">
        <f>AZ59</f>
        <v>1456766</v>
      </c>
      <c r="F545" s="262">
        <f t="shared" si="19"/>
        <v>4.1992578493155062</v>
      </c>
      <c r="G545" s="262">
        <f t="shared" si="19"/>
        <v>5.9825078289855762</v>
      </c>
      <c r="H545" s="264">
        <f t="shared" si="16"/>
        <v>0.42465836670657087</v>
      </c>
      <c r="I545" s="266" t="s">
        <v>1334</v>
      </c>
      <c r="K545" s="260"/>
      <c r="L545" s="260"/>
    </row>
    <row r="546" spans="1:13" ht="12.6" customHeight="1" x14ac:dyDescent="0.25">
      <c r="A546" s="180" t="s">
        <v>560</v>
      </c>
      <c r="B546" s="239">
        <f>'Prior Year'!BA71</f>
        <v>78742.149999999994</v>
      </c>
      <c r="C546" s="239">
        <f>BA71</f>
        <v>298453.90000000002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f>'Prior Year'!BB71</f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f>'Prior Year'!BC71</f>
        <v>1500003.9199999997</v>
      </c>
      <c r="C548" s="239">
        <f>BC71</f>
        <v>1478429.7300000002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f>'Prior Year'!BD71</f>
        <v>0</v>
      </c>
      <c r="C549" s="239">
        <f>BD71</f>
        <v>0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f>'Prior Year'!BE71</f>
        <v>27769183.0242</v>
      </c>
      <c r="C550" s="239">
        <f>BE71</f>
        <v>30191842.9322</v>
      </c>
      <c r="D550" s="239">
        <f>'Prior Year'!BE59</f>
        <v>888995</v>
      </c>
      <c r="E550" s="180">
        <f>BE59</f>
        <v>888995</v>
      </c>
      <c r="F550" s="262">
        <f t="shared" si="19"/>
        <v>31.236602032857327</v>
      </c>
      <c r="G550" s="262">
        <f t="shared" si="19"/>
        <v>33.961769112537191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f>'Prior Year'!BF71</f>
        <v>6423960.0999999987</v>
      </c>
      <c r="C551" s="239">
        <f>BF71</f>
        <v>6574842.580000001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f>'Prior Year'!BG71</f>
        <v>1059846.648</v>
      </c>
      <c r="C552" s="239">
        <f>BG71</f>
        <v>110463.8404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f>'Prior Year'!BH71</f>
        <v>1850726.4030000002</v>
      </c>
      <c r="C553" s="239">
        <f>BH71</f>
        <v>-698446.68900000001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f>'Prior Year'!BI71</f>
        <v>-122654.14999999991</v>
      </c>
      <c r="C554" s="239">
        <f>BI71</f>
        <v>-70107.420000000042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f>'Prior Year'!BJ71</f>
        <v>1555428.2702999997</v>
      </c>
      <c r="C555" s="239">
        <f>BJ71</f>
        <v>1938000.52489797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f>'Prior Year'!BK71</f>
        <v>6786585.2952997433</v>
      </c>
      <c r="C556" s="239">
        <f>BK71</f>
        <v>7339247.2191812899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f>'Prior Year'!BL71</f>
        <v>7296540.7911999999</v>
      </c>
      <c r="C557" s="239">
        <f>BL71</f>
        <v>7774794.2580751805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f>'Prior Year'!BN71</f>
        <v>18937902.057850901</v>
      </c>
      <c r="C559" s="239">
        <f>BN71</f>
        <v>28229306.798752606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f>'Prior Year'!BO71</f>
        <v>872702.76499999978</v>
      </c>
      <c r="C560" s="239">
        <f>BO71</f>
        <v>1067275.4931999999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f>'Prior Year'!BP71</f>
        <v>5647923.7818999998</v>
      </c>
      <c r="C561" s="239">
        <f>BP71</f>
        <v>1399108.6538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f>'Prior Year'!BR71</f>
        <v>2083995.7704000003</v>
      </c>
      <c r="C563" s="239">
        <f>BR71</f>
        <v>4423639.8734999998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f>'Prior Year'!BS71</f>
        <v>283268.31849999999</v>
      </c>
      <c r="C564" s="239">
        <f>BS71</f>
        <v>52.155200000000001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f>'Prior Year'!BT71</f>
        <v>755054.12459999986</v>
      </c>
      <c r="C565" s="239">
        <f>BT71</f>
        <v>382833.01910000003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f>'Prior Year'!BU71</f>
        <v>105989.6931</v>
      </c>
      <c r="C566" s="239">
        <f>BU71</f>
        <v>125375.68770000001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f>'Prior Year'!BV71</f>
        <v>9719861.2224418223</v>
      </c>
      <c r="C567" s="239">
        <f>BV71</f>
        <v>10641643.689107802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f>'Prior Year'!BW71</f>
        <v>1430824.11395264</v>
      </c>
      <c r="C568" s="239">
        <f>BW71</f>
        <v>1300871.7238059998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f>'Prior Year'!BX71</f>
        <v>3415145.7910401607</v>
      </c>
      <c r="C569" s="239">
        <f>BX71</f>
        <v>5362295.0302633392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f>'Prior Year'!BY71</f>
        <v>3249825.5593000003</v>
      </c>
      <c r="C570" s="239">
        <f>BY71</f>
        <v>5422947.6624000007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f>'Prior Year'!CA71</f>
        <v>2090825.3770000003</v>
      </c>
      <c r="C572" s="239">
        <f>CA71</f>
        <v>2351529.0645000003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f>'Prior Year'!CB71</f>
        <v>178011.31089999995</v>
      </c>
      <c r="C573" s="239">
        <f>CB71</f>
        <v>161798.63440000004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f>'Prior Year'!CC71</f>
        <v>63627774.958099991</v>
      </c>
      <c r="C574" s="239">
        <f>CC71</f>
        <v>48173383.736194782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f>'Prior Year'!CD71</f>
        <v>32268709</v>
      </c>
      <c r="C575" s="239">
        <f>CD71</f>
        <v>33031680.609999999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714502</v>
      </c>
      <c r="E612" s="180">
        <f>SUM(C624:D647)+SUM(C668:D713)</f>
        <v>517634286.71285397</v>
      </c>
      <c r="F612" s="180">
        <f>CE64-(AX64+BD64+BE64+BG64+BJ64+BN64+BP64+BQ64+CB64+CC64+CD64)</f>
        <v>105069313.50000003</v>
      </c>
      <c r="G612" s="180">
        <f>CE77-(AX77+AY77+BD77+BE77+BG77+BJ77+BN77+BP77+BQ77+CB77+CC77+CD77)</f>
        <v>577277</v>
      </c>
      <c r="H612" s="197">
        <f>CE60-(AX60+AY60+AZ60+BD60+BE60+BG60+BJ60+BN60+BO60+BP60+BQ60+BR60+CB60+CC60+CD60)</f>
        <v>2385.41</v>
      </c>
      <c r="I612" s="180">
        <f>CE78-(AX78+AY78+AZ78+BD78+BE78+BF78+BG78+BJ78+BN78+BO78+BP78+BQ78+BR78+CB78+CC78+CD78)</f>
        <v>177316</v>
      </c>
      <c r="J612" s="180">
        <f>CE79-(AX79+AY79+AZ79+BA79+BD79+BE79+BF79+BG79+BJ79+BN79+BO79+BP79+BQ79+BR79+CB79+CC79+CD79)</f>
        <v>2703465</v>
      </c>
      <c r="K612" s="180">
        <f>CE75-(AW75+AX75+AY75+AZ75+BA75+BB75+BC75+BD75+BE75+BF75+BG75+BH75+BI75+BJ75+BK75+BL75+BM75+BN75+BO75+BP75+BQ75+BR75+BS75+BT75+BU75+BV75+BW75+BX75+CB75+CC75+CD75)</f>
        <v>2830178357.1199994</v>
      </c>
      <c r="L612" s="197">
        <f>CE80-(AW80+AX80+AY80+AZ80+BA80+BB80+BC80+BD80+BE80+BF80+BG80+BH80+BI80+BJ80+BK80+BL80+BM80+BN80+BO80+BP80+BQ80+BR80+BS80+BT80+BU80+BV80+BW80+BX80+BY80+BZ80+CA80+CB80+CC80+CD80)</f>
        <v>871.99999999999989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30191842.9322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1">
        <f>CD69-CD70</f>
        <v>33031680.609999999</v>
      </c>
      <c r="D615" s="265">
        <f>SUM(C614:C615)</f>
        <v>63223523.542199999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2285.6268999999998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1938000.52489797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110463.8404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28229306.798752606</v>
      </c>
      <c r="D619" s="180">
        <f>(D615/D612)*BN76</f>
        <v>17810844.074149806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48173383.736194782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1399108.6538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161798.63440000004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97825191.889495164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4423639.8734999998</v>
      </c>
      <c r="D626" s="180">
        <f>(D615/D612)*BR76</f>
        <v>1477895.4995252979</v>
      </c>
      <c r="E626" s="180">
        <f>(E623/E612)*SUM(C626:D626)</f>
        <v>1115302.5313972256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1067275.4931999999</v>
      </c>
      <c r="D627" s="180">
        <f>(D615/D612)*BO76</f>
        <v>0</v>
      </c>
      <c r="E627" s="180">
        <f>(E623/E612)*SUM(C627:D627)</f>
        <v>201699.21622514684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8715114.0000000019</v>
      </c>
      <c r="D628" s="180">
        <f>(D615/D612)*AZ76</f>
        <v>1684599.1210611076</v>
      </c>
      <c r="E628" s="180">
        <f>(E623/E612)*SUM(C628:D628)</f>
        <v>1965391.3154092475</v>
      </c>
      <c r="F628" s="180">
        <f>(F624/F612)*AZ64</f>
        <v>0</v>
      </c>
      <c r="G628" s="180">
        <f>(G625/G612)*AZ77</f>
        <v>0</v>
      </c>
      <c r="H628" s="180">
        <f>SUM(C626:G628)</f>
        <v>20650917.050318029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6574842.580000001</v>
      </c>
      <c r="D629" s="180">
        <f>(D615/D612)*BF76</f>
        <v>182812.36390966742</v>
      </c>
      <c r="E629" s="180">
        <f>(E623/E612)*SUM(C629:D629)</f>
        <v>1277096.4145535287</v>
      </c>
      <c r="F629" s="180">
        <f>(F624/F612)*BF64</f>
        <v>0</v>
      </c>
      <c r="G629" s="180">
        <f>(G625/G612)*BF77</f>
        <v>0</v>
      </c>
      <c r="H629" s="180">
        <f>(H628/H612)*BF60</f>
        <v>738024.35578773136</v>
      </c>
      <c r="I629" s="180">
        <f>SUM(C629:H629)</f>
        <v>8772775.7142509278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298453.90000000002</v>
      </c>
      <c r="D630" s="180">
        <f>(D615/D612)*BA76</f>
        <v>375535.17542721616</v>
      </c>
      <c r="E630" s="180">
        <f>(E623/E612)*SUM(C630:D630)</f>
        <v>127373.92465593336</v>
      </c>
      <c r="F630" s="180">
        <f>(F624/F612)*BA64</f>
        <v>0</v>
      </c>
      <c r="G630" s="180">
        <f>(G625/G612)*BA77</f>
        <v>0</v>
      </c>
      <c r="H630" s="180">
        <f>(H628/H612)*BA60</f>
        <v>35407.854723423123</v>
      </c>
      <c r="I630" s="180">
        <f>(I629/I612)*BA78</f>
        <v>82425.975884534084</v>
      </c>
      <c r="J630" s="180">
        <f>SUM(C630:I630)</f>
        <v>919196.83069110685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1478429.7300000002</v>
      </c>
      <c r="D633" s="180">
        <f>(D615/D612)*BC76</f>
        <v>0</v>
      </c>
      <c r="E633" s="180">
        <f>(E623/E612)*SUM(C633:D633)</f>
        <v>279401.26020402799</v>
      </c>
      <c r="F633" s="180">
        <f>(F624/F612)*BC64</f>
        <v>0</v>
      </c>
      <c r="G633" s="180">
        <f>(G625/G612)*BC77</f>
        <v>0</v>
      </c>
      <c r="H633" s="180">
        <f>(H628/H612)*BC60</f>
        <v>220584.87490289027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-70107.420000000042</v>
      </c>
      <c r="D634" s="180">
        <f>(D615/D612)*BI76</f>
        <v>117952.02376165861</v>
      </c>
      <c r="E634" s="180">
        <f>(E623/E612)*SUM(C634:D634)</f>
        <v>9041.9194864065539</v>
      </c>
      <c r="F634" s="180">
        <f>(F624/F612)*BI64</f>
        <v>0</v>
      </c>
      <c r="G634" s="180">
        <f>(G625/G612)*BI77</f>
        <v>0</v>
      </c>
      <c r="H634" s="180">
        <f>(H628/H612)*BI60</f>
        <v>24499.811458994482</v>
      </c>
      <c r="I634" s="180">
        <f>(I629/I612)*BI78</f>
        <v>25875.621481159258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7339247.2191812899</v>
      </c>
      <c r="D635" s="180">
        <f>(D615/D612)*BK76</f>
        <v>0</v>
      </c>
      <c r="E635" s="180">
        <f>(E623/E612)*SUM(C635:D635)</f>
        <v>1387008.716327803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-698446.68900000001</v>
      </c>
      <c r="D636" s="180">
        <f>(D615/D612)*BH76</f>
        <v>0</v>
      </c>
      <c r="E636" s="180">
        <f>(E623/E612)*SUM(C636:D636)</f>
        <v>-131996.05035805848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7774794.2580751805</v>
      </c>
      <c r="D637" s="180">
        <f>(D615/D612)*BL76</f>
        <v>0</v>
      </c>
      <c r="E637" s="180">
        <f>(E623/E612)*SUM(C637:D637)</f>
        <v>1469320.6376019279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52.155200000000001</v>
      </c>
      <c r="D639" s="180">
        <f>(D615/D612)*BS76</f>
        <v>0</v>
      </c>
      <c r="E639" s="180">
        <f>(E623/E612)*SUM(C639:D639)</f>
        <v>9.8565581511899918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382833.01910000003</v>
      </c>
      <c r="D640" s="180">
        <f>(D615/D612)*BT76</f>
        <v>0</v>
      </c>
      <c r="E640" s="180">
        <f>(E623/E612)*SUM(C640:D640)</f>
        <v>72349.754481907454</v>
      </c>
      <c r="F640" s="180">
        <f>(F624/F612)*BT64</f>
        <v>0</v>
      </c>
      <c r="G640" s="180">
        <f>(G625/G612)*BT77</f>
        <v>0</v>
      </c>
      <c r="H640" s="180">
        <f>(H628/H612)*BT60</f>
        <v>30559.835494788167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125375.68770000001</v>
      </c>
      <c r="D641" s="180">
        <f>(D615/D612)*BU76</f>
        <v>0</v>
      </c>
      <c r="E641" s="180">
        <f>(E623/E612)*SUM(C641:D641)</f>
        <v>23694.142799960235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10641643.689107802</v>
      </c>
      <c r="D642" s="180">
        <f>(D615/D612)*BV76</f>
        <v>836636.44761176454</v>
      </c>
      <c r="E642" s="180">
        <f>(E623/E612)*SUM(C642:D642)</f>
        <v>2169224.4616687391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183603.11915216447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1300871.7238059998</v>
      </c>
      <c r="D643" s="180">
        <f>(D615/D612)*BW76</f>
        <v>0</v>
      </c>
      <c r="E643" s="180">
        <f>(E623/E612)*SUM(C643:D643)</f>
        <v>245845.43426029629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5362295.0302633392</v>
      </c>
      <c r="D644" s="180">
        <f>(D615/D612)*BX76</f>
        <v>0</v>
      </c>
      <c r="E644" s="180">
        <f>(E623/E612)*SUM(C644:D644)</f>
        <v>1013394.1158240732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41613994.386152267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5422947.6624000007</v>
      </c>
      <c r="D645" s="180">
        <f>(D615/D612)*BY76</f>
        <v>86539.444290249143</v>
      </c>
      <c r="E645" s="180">
        <f>(E623/E612)*SUM(C645:D645)</f>
        <v>1041211.2320597746</v>
      </c>
      <c r="F645" s="180">
        <f>(F624/F612)*BY64</f>
        <v>0</v>
      </c>
      <c r="G645" s="180">
        <f>(G625/G612)*BY77</f>
        <v>0</v>
      </c>
      <c r="H645" s="180">
        <f>(H628/H612)*BY60</f>
        <v>342304.78625040344</v>
      </c>
      <c r="I645" s="180">
        <f>(I629/I612)*BY78</f>
        <v>16821.627731537566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2351529.0645000003</v>
      </c>
      <c r="D647" s="180">
        <f>(D615/D612)*CA76</f>
        <v>0</v>
      </c>
      <c r="E647" s="180">
        <f>(E623/E612)*SUM(C647:D647)</f>
        <v>444404.06648728519</v>
      </c>
      <c r="F647" s="180">
        <f>(F624/F612)*CA64</f>
        <v>0</v>
      </c>
      <c r="G647" s="180">
        <f>(G625/G612)*CA77</f>
        <v>0</v>
      </c>
      <c r="H647" s="180">
        <f>(H628/H612)*CA60</f>
        <v>57829.943655859766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9763587.8273751102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205728662.33457902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26551164.93</v>
      </c>
      <c r="D668" s="180">
        <f>(D615/D612)*C76</f>
        <v>1842900.82436914</v>
      </c>
      <c r="E668" s="180">
        <f>(E623/E612)*SUM(C668:D668)</f>
        <v>5366056.6972545739</v>
      </c>
      <c r="F668" s="180">
        <f>(F624/F612)*C64</f>
        <v>0</v>
      </c>
      <c r="G668" s="180">
        <f>(G625/G612)*C77</f>
        <v>0</v>
      </c>
      <c r="H668" s="180">
        <f>(H628/H612)*C60</f>
        <v>1511196.850983066</v>
      </c>
      <c r="I668" s="180">
        <f>(I629/I612)*C78</f>
        <v>404411.72081643553</v>
      </c>
      <c r="J668" s="180">
        <f>(J630/J612)*C79</f>
        <v>82784.886927210347</v>
      </c>
      <c r="K668" s="180">
        <f>(K644/K612)*C75</f>
        <v>1388015.4138807603</v>
      </c>
      <c r="L668" s="180">
        <f>(L647/L612)*C80</f>
        <v>1333200.0029880211</v>
      </c>
      <c r="M668" s="180">
        <f t="shared" ref="M668:M713" si="20">ROUND(SUM(D668:L668),0)</f>
        <v>11928566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45324978.640000001</v>
      </c>
      <c r="D670" s="180">
        <f>(D615/D612)*E76</f>
        <v>8315484.945987897</v>
      </c>
      <c r="E670" s="180">
        <f>(E623/E612)*SUM(C670:D670)</f>
        <v>10137250.908674091</v>
      </c>
      <c r="F670" s="180">
        <f>(F624/F612)*E64</f>
        <v>0</v>
      </c>
      <c r="G670" s="180">
        <f>(G625/G612)*E77</f>
        <v>0</v>
      </c>
      <c r="H670" s="180">
        <f>(H628/H612)*E60</f>
        <v>3471354.9112465046</v>
      </c>
      <c r="I670" s="180">
        <f>(I629/I612)*E78</f>
        <v>1824602.3797393353</v>
      </c>
      <c r="J670" s="180">
        <f>(J630/J612)*E79</f>
        <v>259764.95329185878</v>
      </c>
      <c r="K670" s="180">
        <f>(K644/K612)*E75</f>
        <v>3009961.2179815765</v>
      </c>
      <c r="L670" s="180">
        <f>(L647/L612)*E80</f>
        <v>2522969.317823892</v>
      </c>
      <c r="M670" s="180">
        <f t="shared" si="20"/>
        <v>29541389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4950575.1899999995</v>
      </c>
      <c r="D672" s="180">
        <f>(D615/D612)*G76</f>
        <v>1796357.1150678403</v>
      </c>
      <c r="E672" s="180">
        <f>(E623/E612)*SUM(C672:D672)</f>
        <v>1275069.9950732335</v>
      </c>
      <c r="F672" s="180">
        <f>(F624/F612)*G64</f>
        <v>0</v>
      </c>
      <c r="G672" s="180">
        <f>(G625/G612)*G77</f>
        <v>0</v>
      </c>
      <c r="H672" s="180">
        <f>(H628/H612)*G60</f>
        <v>325250.14717824123</v>
      </c>
      <c r="I672" s="180">
        <f>(I629/I612)*G78</f>
        <v>394170.31805047003</v>
      </c>
      <c r="J672" s="180">
        <f>(J630/J612)*G79</f>
        <v>0</v>
      </c>
      <c r="K672" s="180">
        <f>(K644/K612)*G75</f>
        <v>250866.92126451121</v>
      </c>
      <c r="L672" s="180">
        <f>(L647/L612)*G80</f>
        <v>205012.95082481453</v>
      </c>
      <c r="M672" s="180">
        <f t="shared" si="20"/>
        <v>4246727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5575060.2699999996</v>
      </c>
      <c r="D673" s="180">
        <f>(D615/D612)*H76</f>
        <v>0</v>
      </c>
      <c r="E673" s="180">
        <f>(E623/E612)*SUM(C673:D673)</f>
        <v>1053603.585982682</v>
      </c>
      <c r="F673" s="180">
        <f>(F624/F612)*H64</f>
        <v>0</v>
      </c>
      <c r="G673" s="180">
        <f>(G625/G612)*H77</f>
        <v>0</v>
      </c>
      <c r="H673" s="180">
        <f>(H628/H612)*H60</f>
        <v>394074.70587046957</v>
      </c>
      <c r="I673" s="180">
        <f>(I629/I612)*H78</f>
        <v>0</v>
      </c>
      <c r="J673" s="180">
        <f>(J630/J612)*H79</f>
        <v>10652.757073749084</v>
      </c>
      <c r="K673" s="180">
        <f>(K644/K612)*H75</f>
        <v>344123.85183109122</v>
      </c>
      <c r="L673" s="180">
        <f>(L647/L612)*H80</f>
        <v>225615.01688257852</v>
      </c>
      <c r="M673" s="180">
        <f t="shared" si="20"/>
        <v>2028070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8128542.6399999987</v>
      </c>
      <c r="D675" s="180">
        <f>(D615/D612)*J76</f>
        <v>223162.04345604125</v>
      </c>
      <c r="E675" s="180">
        <f>(E623/E612)*SUM(C675:D675)</f>
        <v>1578348.1392852538</v>
      </c>
      <c r="F675" s="180">
        <f>(F624/F612)*J64</f>
        <v>0</v>
      </c>
      <c r="G675" s="180">
        <f>(G625/G612)*J77</f>
        <v>0</v>
      </c>
      <c r="H675" s="180">
        <f>(H628/H612)*J60</f>
        <v>441775.7522093599</v>
      </c>
      <c r="I675" s="180">
        <f>(I629/I612)*J78</f>
        <v>48980.621924182917</v>
      </c>
      <c r="J675" s="180">
        <f>(J630/J612)*J79</f>
        <v>0</v>
      </c>
      <c r="K675" s="180">
        <f>(K644/K612)*J75</f>
        <v>624151.12147048849</v>
      </c>
      <c r="L675" s="180">
        <f>(L647/L612)*J80</f>
        <v>343181.15471221</v>
      </c>
      <c r="M675" s="180">
        <f t="shared" si="20"/>
        <v>3259599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19261759.660000004</v>
      </c>
      <c r="D680" s="180">
        <f>(D615/D612)*O76</f>
        <v>1559037.2893148258</v>
      </c>
      <c r="E680" s="180">
        <f>(E623/E612)*SUM(C680:D680)</f>
        <v>3934821.3770638555</v>
      </c>
      <c r="F680" s="180">
        <f>(F624/F612)*O64</f>
        <v>0</v>
      </c>
      <c r="G680" s="180">
        <f>(G625/G612)*O77</f>
        <v>0</v>
      </c>
      <c r="H680" s="180">
        <f>(H628/H612)*O60</f>
        <v>1172787.7944699584</v>
      </c>
      <c r="I680" s="180">
        <f>(I629/I612)*O78</f>
        <v>342122.22283406556</v>
      </c>
      <c r="J680" s="180">
        <f>(J630/J612)*O79</f>
        <v>103955.7583310615</v>
      </c>
      <c r="K680" s="180">
        <f>(K644/K612)*O75</f>
        <v>1892229.2705010974</v>
      </c>
      <c r="L680" s="180">
        <f>(L647/L612)*O80</f>
        <v>903915.64828439534</v>
      </c>
      <c r="M680" s="180">
        <f t="shared" si="20"/>
        <v>9908869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92160046.105000004</v>
      </c>
      <c r="D681" s="180">
        <f>(D615/D612)*P76</f>
        <v>7788726.9584011352</v>
      </c>
      <c r="E681" s="180">
        <f>(E623/E612)*SUM(C681:D681)</f>
        <v>18888833.593572743</v>
      </c>
      <c r="F681" s="180">
        <f>(F624/F612)*P64</f>
        <v>0</v>
      </c>
      <c r="G681" s="180">
        <f>(G625/G612)*P77</f>
        <v>0</v>
      </c>
      <c r="H681" s="180">
        <f>(H628/H612)*P60</f>
        <v>1676116.0765285944</v>
      </c>
      <c r="I681" s="180">
        <f>(I629/I612)*P78</f>
        <v>1518745.6072794374</v>
      </c>
      <c r="J681" s="180">
        <f>(J630/J612)*P79</f>
        <v>239004.13024365989</v>
      </c>
      <c r="K681" s="180">
        <f>(K644/K612)*P75</f>
        <v>13416231.444928071</v>
      </c>
      <c r="L681" s="180">
        <f>(L647/L612)*P80</f>
        <v>893950.51850645512</v>
      </c>
      <c r="M681" s="180">
        <f t="shared" si="20"/>
        <v>44421608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2721287.9200000009</v>
      </c>
      <c r="D682" s="180">
        <f>(D615/D612)*Q76</f>
        <v>209623.66413456056</v>
      </c>
      <c r="E682" s="180">
        <f>(E623/E612)*SUM(C682:D682)</f>
        <v>553898.75726713124</v>
      </c>
      <c r="F682" s="180">
        <f>(F624/F612)*Q64</f>
        <v>0</v>
      </c>
      <c r="G682" s="180">
        <f>(G625/G612)*Q77</f>
        <v>0</v>
      </c>
      <c r="H682" s="180">
        <f>(H628/H612)*Q60</f>
        <v>175048.12286249766</v>
      </c>
      <c r="I682" s="180">
        <f>(I629/I612)*Q78</f>
        <v>46012.099383323352</v>
      </c>
      <c r="J682" s="180">
        <f>(J630/J612)*Q79</f>
        <v>22517.978854178109</v>
      </c>
      <c r="K682" s="180">
        <f>(K644/K612)*Q75</f>
        <v>392629.13114147988</v>
      </c>
      <c r="L682" s="180">
        <f>(L647/L612)*Q80</f>
        <v>166719.98021744887</v>
      </c>
      <c r="M682" s="180">
        <f t="shared" si="20"/>
        <v>1566450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5014774.4713701997</v>
      </c>
      <c r="D684" s="180">
        <f>(D615/D612)*S76</f>
        <v>1543286.756509443</v>
      </c>
      <c r="E684" s="180">
        <f>(E623/E612)*SUM(C684:D684)</f>
        <v>1239376.1667419574</v>
      </c>
      <c r="F684" s="180">
        <f>(F624/F612)*S64</f>
        <v>0</v>
      </c>
      <c r="G684" s="180">
        <f>(G625/G612)*S77</f>
        <v>0</v>
      </c>
      <c r="H684" s="180">
        <f>(H628/H612)*S60</f>
        <v>533368.68692178442</v>
      </c>
      <c r="I684" s="180">
        <f>(I629/I612)*S78</f>
        <v>338658.94653639605</v>
      </c>
      <c r="J684" s="180">
        <f>(J630/J612)*S79</f>
        <v>5252.7670368756062</v>
      </c>
      <c r="K684" s="180">
        <f>(K644/K612)*S75</f>
        <v>0</v>
      </c>
      <c r="L684" s="180">
        <f>(L647/L612)*S80</f>
        <v>0</v>
      </c>
      <c r="M684" s="180">
        <f t="shared" si="20"/>
        <v>3659943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3079357.0999999996</v>
      </c>
      <c r="D685" s="180">
        <f>(D615/D612)*T76</f>
        <v>0</v>
      </c>
      <c r="E685" s="180">
        <f>(E623/E612)*SUM(C685:D685)</f>
        <v>581952.75493967568</v>
      </c>
      <c r="F685" s="180">
        <f>(F624/F612)*T64</f>
        <v>0</v>
      </c>
      <c r="G685" s="180">
        <f>(G625/G612)*T77</f>
        <v>0</v>
      </c>
      <c r="H685" s="180">
        <f>(H628/H612)*T60</f>
        <v>122758.77261079213</v>
      </c>
      <c r="I685" s="180">
        <f>(I629/I612)*T78</f>
        <v>0</v>
      </c>
      <c r="J685" s="180">
        <f>(J630/J612)*T79</f>
        <v>0</v>
      </c>
      <c r="K685" s="180">
        <f>(K644/K612)*T75</f>
        <v>184350.8920241991</v>
      </c>
      <c r="L685" s="180">
        <f>(L647/L612)*T80</f>
        <v>137496.39738551187</v>
      </c>
      <c r="M685" s="180">
        <f t="shared" si="20"/>
        <v>1026559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20130215.870000001</v>
      </c>
      <c r="D686" s="180">
        <f>(D615/D612)*U76</f>
        <v>1666547.9486324666</v>
      </c>
      <c r="E686" s="180">
        <f>(E623/E612)*SUM(C686:D686)</f>
        <v>4119264.6195605607</v>
      </c>
      <c r="F686" s="180">
        <f>(F624/F612)*U64</f>
        <v>0</v>
      </c>
      <c r="G686" s="180">
        <f>(G625/G612)*U77</f>
        <v>0</v>
      </c>
      <c r="H686" s="180">
        <f>(H628/H612)*U60</f>
        <v>1605386.9388536878</v>
      </c>
      <c r="I686" s="180">
        <f>(I629/I612)*U78</f>
        <v>323420.53082665027</v>
      </c>
      <c r="J686" s="180">
        <f>(J630/J612)*U79</f>
        <v>3189.2649884065754</v>
      </c>
      <c r="K686" s="180">
        <f>(K644/K612)*U75</f>
        <v>1771299.8263053228</v>
      </c>
      <c r="L686" s="180">
        <f>(L647/L612)*U80</f>
        <v>36501.486602342731</v>
      </c>
      <c r="M686" s="180">
        <f t="shared" si="20"/>
        <v>9525611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6380226.5599999996</v>
      </c>
      <c r="D687" s="180">
        <f>(D615/D612)*V76</f>
        <v>0</v>
      </c>
      <c r="E687" s="180">
        <f>(E623/E612)*SUM(C687:D687)</f>
        <v>1205768.0558488297</v>
      </c>
      <c r="F687" s="180">
        <f>(F624/F612)*V64</f>
        <v>0</v>
      </c>
      <c r="G687" s="180">
        <f>(G625/G612)*V77</f>
        <v>0</v>
      </c>
      <c r="H687" s="180">
        <f>(H628/H612)*V60</f>
        <v>45190.46495263293</v>
      </c>
      <c r="I687" s="180">
        <f>(I629/I612)*V78</f>
        <v>0</v>
      </c>
      <c r="J687" s="180">
        <f>(J630/J612)*V79</f>
        <v>0</v>
      </c>
      <c r="K687" s="180">
        <f>(K644/K612)*V75</f>
        <v>1208858.0515908466</v>
      </c>
      <c r="L687" s="180">
        <f>(L647/L612)*V80</f>
        <v>33142.454092924687</v>
      </c>
      <c r="M687" s="180">
        <f t="shared" si="20"/>
        <v>2492959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1535419.2900000003</v>
      </c>
      <c r="D689" s="180">
        <f>(D615/D612)*X76</f>
        <v>0</v>
      </c>
      <c r="E689" s="180">
        <f>(E623/E612)*SUM(C689:D689)</f>
        <v>290171.44059161603</v>
      </c>
      <c r="F689" s="180">
        <f>(F624/F612)*X64</f>
        <v>0</v>
      </c>
      <c r="G689" s="180">
        <f>(G625/G612)*X77</f>
        <v>0</v>
      </c>
      <c r="H689" s="180">
        <f>(H628/H612)*X60</f>
        <v>78001.166517858757</v>
      </c>
      <c r="I689" s="180">
        <f>(I629/I612)*X78</f>
        <v>0</v>
      </c>
      <c r="J689" s="180">
        <f>(J630/J612)*X79</f>
        <v>0</v>
      </c>
      <c r="K689" s="180">
        <f>(K644/K612)*X75</f>
        <v>1663729.4976438328</v>
      </c>
      <c r="L689" s="180">
        <f>(L647/L612)*X80</f>
        <v>0</v>
      </c>
      <c r="M689" s="180">
        <f t="shared" si="20"/>
        <v>2031902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14806044.130000001</v>
      </c>
      <c r="D690" s="180">
        <f>(D615/D612)*Y76</f>
        <v>4114959.4246152826</v>
      </c>
      <c r="E690" s="180">
        <f>(E623/E612)*SUM(C690:D690)</f>
        <v>3575788.6426461423</v>
      </c>
      <c r="F690" s="180">
        <f>(F624/F612)*Y64</f>
        <v>0</v>
      </c>
      <c r="G690" s="180">
        <f>(G625/G612)*Y77</f>
        <v>0</v>
      </c>
      <c r="H690" s="180">
        <f>(H628/H612)*Y60</f>
        <v>569036.25696102739</v>
      </c>
      <c r="I690" s="180">
        <f>(I629/I612)*Y78</f>
        <v>902925.60617811943</v>
      </c>
      <c r="J690" s="180">
        <f>(J630/J612)*Y79</f>
        <v>49326.845144783831</v>
      </c>
      <c r="K690" s="180">
        <f>(K644/K612)*Y75</f>
        <v>2172515.2578894384</v>
      </c>
      <c r="L690" s="180">
        <f>(L647/L612)*Y80</f>
        <v>64717.359681454291</v>
      </c>
      <c r="M690" s="180">
        <f t="shared" si="20"/>
        <v>11449269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1506419.68</v>
      </c>
      <c r="D692" s="180">
        <f>(D615/D612)*AA76</f>
        <v>0</v>
      </c>
      <c r="E692" s="180">
        <f>(E623/E612)*SUM(C692:D692)</f>
        <v>284690.94502594217</v>
      </c>
      <c r="F692" s="180">
        <f>(F624/F612)*AA64</f>
        <v>0</v>
      </c>
      <c r="G692" s="180">
        <f>(G625/G612)*AA77</f>
        <v>0</v>
      </c>
      <c r="H692" s="180">
        <f>(H628/H612)*AA60</f>
        <v>47181.615707250858</v>
      </c>
      <c r="I692" s="180">
        <f>(I629/I612)*AA78</f>
        <v>0</v>
      </c>
      <c r="J692" s="180">
        <f>(J630/J612)*AA79</f>
        <v>5520.012482599227</v>
      </c>
      <c r="K692" s="180">
        <f>(K644/K612)*AA75</f>
        <v>318666.45562313515</v>
      </c>
      <c r="L692" s="180">
        <f>(L647/L612)*AA80</f>
        <v>0</v>
      </c>
      <c r="M692" s="180">
        <f t="shared" si="20"/>
        <v>656059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27262122.710000001</v>
      </c>
      <c r="D693" s="180">
        <f>(D615/D612)*AB76</f>
        <v>1698049.0142432323</v>
      </c>
      <c r="E693" s="180">
        <f>(E623/E612)*SUM(C693:D693)</f>
        <v>5473042.3173231352</v>
      </c>
      <c r="F693" s="180">
        <f>(F624/F612)*AB64</f>
        <v>0</v>
      </c>
      <c r="G693" s="180">
        <f>(G625/G612)*AB77</f>
        <v>0</v>
      </c>
      <c r="H693" s="180">
        <f>(H628/H612)*AB60</f>
        <v>811610.36193665466</v>
      </c>
      <c r="I693" s="180">
        <f>(I629/I612)*AB78</f>
        <v>317978.23950174102</v>
      </c>
      <c r="J693" s="180">
        <f>(J630/J612)*AB79</f>
        <v>0</v>
      </c>
      <c r="K693" s="180">
        <f>(K644/K612)*AB75</f>
        <v>5470448.0479162056</v>
      </c>
      <c r="L693" s="180">
        <f>(L647/L612)*AB80</f>
        <v>36837.389853284534</v>
      </c>
      <c r="M693" s="180">
        <f t="shared" si="20"/>
        <v>13807965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4299746.16</v>
      </c>
      <c r="D694" s="180">
        <f>(D615/D612)*AC76</f>
        <v>86804.902708317401</v>
      </c>
      <c r="E694" s="180">
        <f>(E623/E612)*SUM(C694:D694)</f>
        <v>828992.99844979576</v>
      </c>
      <c r="F694" s="180">
        <f>(F624/F612)*AC64</f>
        <v>0</v>
      </c>
      <c r="G694" s="180">
        <f>(G625/G612)*AC77</f>
        <v>0</v>
      </c>
      <c r="H694" s="180">
        <f>(H628/H612)*AC60</f>
        <v>260148.17467942904</v>
      </c>
      <c r="I694" s="180">
        <f>(I629/I612)*AC78</f>
        <v>19048.019637182246</v>
      </c>
      <c r="J694" s="180">
        <f>(J630/J612)*AC79</f>
        <v>0</v>
      </c>
      <c r="K694" s="180">
        <f>(K644/K612)*AC75</f>
        <v>925143.62504958326</v>
      </c>
      <c r="L694" s="180">
        <f>(L647/L612)*AC80</f>
        <v>0</v>
      </c>
      <c r="M694" s="180">
        <f t="shared" si="20"/>
        <v>2120138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6151571.1399999997</v>
      </c>
      <c r="D695" s="180">
        <f>(D615/D612)*AD76</f>
        <v>3559177.9833197254</v>
      </c>
      <c r="E695" s="180">
        <f>(E623/E612)*SUM(C695:D695)</f>
        <v>1835187.3528549043</v>
      </c>
      <c r="F695" s="180">
        <f>(F624/F612)*AD64</f>
        <v>0</v>
      </c>
      <c r="G695" s="180">
        <f>(G625/G612)*AD77</f>
        <v>0</v>
      </c>
      <c r="H695" s="180">
        <f>(H628/H612)*AD60</f>
        <v>8657.1771939909831</v>
      </c>
      <c r="I695" s="180">
        <f>(I629/I612)*AD78</f>
        <v>1020380.1480447965</v>
      </c>
      <c r="J695" s="180">
        <f>(J630/J612)*AD79</f>
        <v>18195.470773409157</v>
      </c>
      <c r="K695" s="180">
        <f>(K644/K612)*AD75</f>
        <v>378538.20082099084</v>
      </c>
      <c r="L695" s="180">
        <f>(L647/L612)*AD80</f>
        <v>0</v>
      </c>
      <c r="M695" s="180">
        <f t="shared" si="20"/>
        <v>6820136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5267343.4000000013</v>
      </c>
      <c r="D696" s="180">
        <f>(D615/D612)*AE76</f>
        <v>1149788.8947929421</v>
      </c>
      <c r="E696" s="180">
        <f>(E623/E612)*SUM(C696:D696)</f>
        <v>1212742.6915725744</v>
      </c>
      <c r="F696" s="180">
        <f>(F624/F612)*AE64</f>
        <v>0</v>
      </c>
      <c r="G696" s="180">
        <f>(G625/G612)*AE77</f>
        <v>0</v>
      </c>
      <c r="H696" s="180">
        <f>(H628/H612)*AE60</f>
        <v>345854.2288999398</v>
      </c>
      <c r="I696" s="180">
        <f>(I629/I612)*AE78</f>
        <v>252324.41597306353</v>
      </c>
      <c r="J696" s="180">
        <f>(J630/J612)*AE79</f>
        <v>0</v>
      </c>
      <c r="K696" s="180">
        <f>(K644/K612)*AE75</f>
        <v>383751.80767461844</v>
      </c>
      <c r="L696" s="180">
        <f>(L647/L612)*AE80</f>
        <v>0</v>
      </c>
      <c r="M696" s="180">
        <f t="shared" si="20"/>
        <v>3344462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21702705.16</v>
      </c>
      <c r="D698" s="180">
        <f>(D615/D612)*AG76</f>
        <v>1785827.2644844665</v>
      </c>
      <c r="E698" s="180">
        <f>(E623/E612)*SUM(C698:D698)</f>
        <v>4438983.7586289151</v>
      </c>
      <c r="F698" s="180">
        <f>(F624/F612)*AG64</f>
        <v>0</v>
      </c>
      <c r="G698" s="180">
        <f>(G625/G612)*AG77</f>
        <v>0</v>
      </c>
      <c r="H698" s="180">
        <f>(H628/H612)*AG60</f>
        <v>748586.11196440028</v>
      </c>
      <c r="I698" s="180">
        <f>(I629/I612)*AG78</f>
        <v>391844.97539346333</v>
      </c>
      <c r="J698" s="180">
        <f>(J630/J612)*AG79</f>
        <v>95661.629319633983</v>
      </c>
      <c r="K698" s="180">
        <f>(K644/K612)*AG75</f>
        <v>2619543.8804978682</v>
      </c>
      <c r="L698" s="180">
        <f>(L647/L612)*AG80</f>
        <v>567116.65534007957</v>
      </c>
      <c r="M698" s="180">
        <f t="shared" si="20"/>
        <v>10647564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14813983.459999997</v>
      </c>
      <c r="D700" s="180">
        <f>(D615/D612)*AI76</f>
        <v>0</v>
      </c>
      <c r="E700" s="180">
        <f>(E623/E612)*SUM(C700:D700)</f>
        <v>2799622.845358789</v>
      </c>
      <c r="F700" s="180">
        <f>(F624/F612)*AI64</f>
        <v>0</v>
      </c>
      <c r="G700" s="180">
        <f>(G625/G612)*AI77</f>
        <v>0</v>
      </c>
      <c r="H700" s="180">
        <f>(H628/H612)*AI60</f>
        <v>1197893.6083325325</v>
      </c>
      <c r="I700" s="180">
        <f>(I629/I612)*AI78</f>
        <v>0</v>
      </c>
      <c r="J700" s="180">
        <f>(J630/J612)*AI79</f>
        <v>0</v>
      </c>
      <c r="K700" s="180">
        <f>(K644/K612)*AI75</f>
        <v>1218232.0023700299</v>
      </c>
      <c r="L700" s="180">
        <f>(L647/L612)*AI80</f>
        <v>861479.87091541395</v>
      </c>
      <c r="M700" s="180">
        <f t="shared" si="20"/>
        <v>6077228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7221632.0799999991</v>
      </c>
      <c r="D701" s="180">
        <f>(D615/D612)*AJ76</f>
        <v>1859890.163125508</v>
      </c>
      <c r="E701" s="180">
        <f>(E623/E612)*SUM(C701:D701)</f>
        <v>1716272.8182557435</v>
      </c>
      <c r="F701" s="180">
        <f>(F624/F612)*AJ64</f>
        <v>0</v>
      </c>
      <c r="G701" s="180">
        <f>(G625/G612)*AJ77</f>
        <v>0</v>
      </c>
      <c r="H701" s="180">
        <f>(H628/H612)*AJ60</f>
        <v>334426.75500387169</v>
      </c>
      <c r="I701" s="180">
        <f>(I629/I612)*AJ78</f>
        <v>0</v>
      </c>
      <c r="J701" s="180">
        <f>(J630/J612)*AJ79</f>
        <v>8956.4625079537327</v>
      </c>
      <c r="K701" s="180">
        <f>(K644/K612)*AJ75</f>
        <v>557801.4581708801</v>
      </c>
      <c r="L701" s="180">
        <f>(L647/L612)*AJ80</f>
        <v>176685.10999538904</v>
      </c>
      <c r="M701" s="180">
        <f t="shared" si="20"/>
        <v>4654033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2382546.7900000005</v>
      </c>
      <c r="D702" s="180">
        <f>(D615/D612)*AK76</f>
        <v>514546.90035562246</v>
      </c>
      <c r="E702" s="180">
        <f>(E623/E612)*SUM(C702:D702)</f>
        <v>547507.67763206374</v>
      </c>
      <c r="F702" s="180">
        <f>(F624/F612)*AK64</f>
        <v>0</v>
      </c>
      <c r="G702" s="180">
        <f>(G625/G612)*AK77</f>
        <v>0</v>
      </c>
      <c r="H702" s="180">
        <f>(H628/H612)*AK60</f>
        <v>167689.52224760535</v>
      </c>
      <c r="I702" s="180">
        <f>(I629/I612)*AK78</f>
        <v>112902.80730402567</v>
      </c>
      <c r="J702" s="180">
        <f>(J630/J612)*AK79</f>
        <v>9403.2316118733743</v>
      </c>
      <c r="K702" s="180">
        <f>(K644/K612)*AK75</f>
        <v>198694.54232165081</v>
      </c>
      <c r="L702" s="180">
        <f>(L647/L612)*AK80</f>
        <v>0</v>
      </c>
      <c r="M702" s="180">
        <f t="shared" si="20"/>
        <v>1550745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672614.29999999993</v>
      </c>
      <c r="D703" s="180">
        <f>(D615/D612)*AL76</f>
        <v>369075.68725422205</v>
      </c>
      <c r="E703" s="180">
        <f>(E623/E612)*SUM(C703:D703)</f>
        <v>196863.93561684358</v>
      </c>
      <c r="F703" s="180">
        <f>(F624/F612)*AL64</f>
        <v>0</v>
      </c>
      <c r="G703" s="180">
        <f>(G625/G612)*AL77</f>
        <v>0</v>
      </c>
      <c r="H703" s="180">
        <f>(H628/H612)*AL60</f>
        <v>49432.48177768851</v>
      </c>
      <c r="I703" s="180">
        <f>(I629/I612)*AL78</f>
        <v>80991.189989785285</v>
      </c>
      <c r="J703" s="180">
        <f>(J630/J612)*AL79</f>
        <v>0</v>
      </c>
      <c r="K703" s="180">
        <f>(K644/K612)*AL75</f>
        <v>50806.035140512176</v>
      </c>
      <c r="L703" s="180">
        <f>(L647/L612)*AL80</f>
        <v>0</v>
      </c>
      <c r="M703" s="180">
        <f t="shared" si="20"/>
        <v>747169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44612</v>
      </c>
      <c r="D705" s="180">
        <f>(D615/D612)*AN76</f>
        <v>292889.12126863463</v>
      </c>
      <c r="E705" s="180">
        <f>(E623/E612)*SUM(C705:D705)</f>
        <v>63782.699095701348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64268.513009609705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420940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182782.51999999979</v>
      </c>
      <c r="D707" s="180">
        <f>(D615/D612)*AP76</f>
        <v>151222.81215954581</v>
      </c>
      <c r="E707" s="180">
        <f>(E623/E612)*SUM(C707:D707)</f>
        <v>63122.046876209664</v>
      </c>
      <c r="F707" s="180">
        <f>(F624/F612)*AP64</f>
        <v>0</v>
      </c>
      <c r="G707" s="180">
        <f>(G625/G612)*AP77</f>
        <v>0</v>
      </c>
      <c r="H707" s="180">
        <f>(H628/H612)*AP60</f>
        <v>25278.957406453672</v>
      </c>
      <c r="I707" s="180">
        <f>(I629/I612)*AP78</f>
        <v>33197.977081946199</v>
      </c>
      <c r="J707" s="180">
        <f>(J630/J612)*AP79</f>
        <v>0</v>
      </c>
      <c r="K707" s="180">
        <f>(K644/K612)*AP75</f>
        <v>71070.48329116909</v>
      </c>
      <c r="L707" s="180">
        <f>(L647/L612)*AP80</f>
        <v>21049.937059019732</v>
      </c>
      <c r="M707" s="180">
        <f t="shared" si="20"/>
        <v>364942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47434101.059999995</v>
      </c>
      <c r="D709" s="180">
        <f>(D615/D612)*AR76</f>
        <v>0</v>
      </c>
      <c r="E709" s="180">
        <f>(E623/E612)*SUM(C709:D709)</f>
        <v>8964340.5728923064</v>
      </c>
      <c r="F709" s="180">
        <f>(F624/F612)*AR64</f>
        <v>0</v>
      </c>
      <c r="G709" s="180">
        <f>(G625/G612)*AR77</f>
        <v>0</v>
      </c>
      <c r="H709" s="180">
        <f>(H628/H612)*AR60</f>
        <v>2803453.6907301</v>
      </c>
      <c r="I709" s="180">
        <f>(I629/I612)*AR78</f>
        <v>0</v>
      </c>
      <c r="J709" s="180">
        <f>(J630/J612)*AR79</f>
        <v>0</v>
      </c>
      <c r="K709" s="180">
        <f>(K644/K612)*AR75</f>
        <v>1043926.3979727306</v>
      </c>
      <c r="L709" s="180">
        <f>(L647/L612)*AR80</f>
        <v>1196823.2831056486</v>
      </c>
      <c r="M709" s="180">
        <f t="shared" si="20"/>
        <v>14008544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15169183.031400003</v>
      </c>
      <c r="D713" s="180">
        <f>(D615/D612)*AV76</f>
        <v>123349.67826237966</v>
      </c>
      <c r="E713" s="180">
        <f>(E623/E612)*SUM(C713:D713)</f>
        <v>2890061.5457665264</v>
      </c>
      <c r="F713" s="180">
        <f>(F624/F612)*AV64</f>
        <v>0</v>
      </c>
      <c r="G713" s="180">
        <f>(G625/G612)*AV77</f>
        <v>0</v>
      </c>
      <c r="H713" s="180">
        <f>(H628/H612)*AV60</f>
        <v>280146.25399754819</v>
      </c>
      <c r="I713" s="180">
        <f>(I629/I612)*AV78</f>
        <v>27063.030497503089</v>
      </c>
      <c r="J713" s="180">
        <f>(J630/J612)*AV79</f>
        <v>5010.6821038537</v>
      </c>
      <c r="K713" s="180">
        <f>(K644/K612)*AV75</f>
        <v>58409.550850187021</v>
      </c>
      <c r="L713" s="180">
        <f>(L647/L612)*AV80</f>
        <v>37173.293104226337</v>
      </c>
      <c r="M713" s="180">
        <f t="shared" si="20"/>
        <v>3421214</v>
      </c>
      <c r="N713" s="199" t="s">
        <v>741</v>
      </c>
    </row>
    <row r="715" spans="1:15" ht="12.6" customHeight="1" x14ac:dyDescent="0.25">
      <c r="C715" s="180">
        <f>SUM(C614:C647)+SUM(C668:C713)</f>
        <v>615459478.60234916</v>
      </c>
      <c r="D715" s="180">
        <f>SUM(D616:D647)+SUM(D668:D713)</f>
        <v>63223523.542200014</v>
      </c>
      <c r="E715" s="180">
        <f>SUM(E624:E647)+SUM(E668:E713)</f>
        <v>97825191.889495179</v>
      </c>
      <c r="F715" s="180">
        <f>SUM(F625:F648)+SUM(F668:F713)</f>
        <v>0</v>
      </c>
      <c r="G715" s="180">
        <f>SUM(G626:G647)+SUM(G668:G713)</f>
        <v>0</v>
      </c>
      <c r="H715" s="180">
        <f>SUM(H629:H647)+SUM(H668:H713)</f>
        <v>20650917.050318029</v>
      </c>
      <c r="I715" s="180">
        <f>SUM(I630:I647)+SUM(I668:I713)</f>
        <v>8772775.7142509297</v>
      </c>
      <c r="J715" s="180">
        <f>SUM(J631:J647)+SUM(J668:J713)</f>
        <v>919196.83069110685</v>
      </c>
      <c r="K715" s="180">
        <f>SUM(K668:K713)</f>
        <v>41613994.386152282</v>
      </c>
      <c r="L715" s="180">
        <f>SUM(L668:L713)</f>
        <v>9763587.8273751102</v>
      </c>
      <c r="M715" s="180">
        <f>SUM(M668:M713)</f>
        <v>205728660</v>
      </c>
      <c r="N715" s="198" t="s">
        <v>742</v>
      </c>
    </row>
    <row r="716" spans="1:15" ht="12.6" customHeight="1" x14ac:dyDescent="0.25">
      <c r="C716" s="180">
        <f>CE71</f>
        <v>615459478.60234928</v>
      </c>
      <c r="D716" s="180">
        <f>D615</f>
        <v>63223523.542199999</v>
      </c>
      <c r="E716" s="180">
        <f>E623</f>
        <v>97825191.889495164</v>
      </c>
      <c r="F716" s="180">
        <f>F624</f>
        <v>0</v>
      </c>
      <c r="G716" s="180">
        <f>G625</f>
        <v>0</v>
      </c>
      <c r="H716" s="180">
        <f>H628</f>
        <v>20650917.050318029</v>
      </c>
      <c r="I716" s="180">
        <f>I629</f>
        <v>8772775.7142509278</v>
      </c>
      <c r="J716" s="180">
        <f>J630</f>
        <v>919196.83069110685</v>
      </c>
      <c r="K716" s="180">
        <f>K644</f>
        <v>41613994.386152267</v>
      </c>
      <c r="L716" s="180">
        <f>L647</f>
        <v>9763587.8273751102</v>
      </c>
      <c r="M716" s="180">
        <f>C648</f>
        <v>205728662.33457902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St.Joseph Medical Center</v>
      </c>
      <c r="B4" s="77"/>
      <c r="C4" s="77"/>
      <c r="D4" s="77"/>
      <c r="E4" s="77"/>
      <c r="F4" s="77"/>
      <c r="G4" s="80"/>
      <c r="H4" s="79" t="str">
        <f>"FYE: "&amp;data!C82</f>
        <v>FYE: 06/30/2018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25433</v>
      </c>
      <c r="D9" s="14">
        <f>data!D59</f>
        <v>0</v>
      </c>
      <c r="E9" s="14">
        <f>data!E59</f>
        <v>72116</v>
      </c>
      <c r="F9" s="14">
        <f>data!F59</f>
        <v>0</v>
      </c>
      <c r="G9" s="14">
        <f>data!G59</f>
        <v>5646</v>
      </c>
      <c r="H9" s="14">
        <f>data!H59</f>
        <v>7563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174.56</v>
      </c>
      <c r="D10" s="26">
        <f>data!D60</f>
        <v>0</v>
      </c>
      <c r="E10" s="26">
        <f>data!E60</f>
        <v>400.98</v>
      </c>
      <c r="F10" s="26">
        <f>data!F60</f>
        <v>0</v>
      </c>
      <c r="G10" s="26">
        <f>data!G60</f>
        <v>37.57</v>
      </c>
      <c r="H10" s="26">
        <f>data!H60</f>
        <v>45.52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15935944.920000004</v>
      </c>
      <c r="D11" s="14">
        <f>data!D61</f>
        <v>0</v>
      </c>
      <c r="E11" s="14">
        <f>data!E61</f>
        <v>30475084.5</v>
      </c>
      <c r="F11" s="14">
        <f>data!F61</f>
        <v>0</v>
      </c>
      <c r="G11" s="14">
        <f>data!G61</f>
        <v>2995544.3499999996</v>
      </c>
      <c r="H11" s="14">
        <f>data!H61</f>
        <v>3823633.9699999997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3928891</v>
      </c>
      <c r="D12" s="14">
        <f>data!D62</f>
        <v>0</v>
      </c>
      <c r="E12" s="14">
        <f>data!E62</f>
        <v>8122528</v>
      </c>
      <c r="F12" s="14">
        <f>data!F62</f>
        <v>0</v>
      </c>
      <c r="G12" s="14">
        <f>data!G62</f>
        <v>841966</v>
      </c>
      <c r="H12" s="14">
        <f>data!H62</f>
        <v>1011616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3326964.9</v>
      </c>
      <c r="D13" s="14">
        <f>data!D63</f>
        <v>0</v>
      </c>
      <c r="E13" s="14">
        <f>data!E63</f>
        <v>50654.879999999997</v>
      </c>
      <c r="F13" s="14">
        <f>data!F63</f>
        <v>0</v>
      </c>
      <c r="G13" s="14">
        <f>data!G63</f>
        <v>389826.93</v>
      </c>
      <c r="H13" s="14">
        <f>data!H63</f>
        <v>365221.63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2416303.7999999998</v>
      </c>
      <c r="D14" s="14">
        <f>data!D64</f>
        <v>0</v>
      </c>
      <c r="E14" s="14">
        <f>data!E64</f>
        <v>2683865.8200000003</v>
      </c>
      <c r="F14" s="14">
        <f>data!F64</f>
        <v>0</v>
      </c>
      <c r="G14" s="14">
        <f>data!G64</f>
        <v>147429.62</v>
      </c>
      <c r="H14" s="14">
        <f>data!H64</f>
        <v>60666.749999999993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3326.1800000000003</v>
      </c>
      <c r="D15" s="14">
        <f>data!D65</f>
        <v>0</v>
      </c>
      <c r="E15" s="14">
        <f>data!E65</f>
        <v>5776.5399999999991</v>
      </c>
      <c r="F15" s="14">
        <f>data!F65</f>
        <v>0</v>
      </c>
      <c r="G15" s="14">
        <f>data!G65</f>
        <v>724.05</v>
      </c>
      <c r="H15" s="14">
        <f>data!H65</f>
        <v>1164.43</v>
      </c>
      <c r="I15" s="14">
        <f>data!I65</f>
        <v>0</v>
      </c>
      <c r="M15" s="267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191140.21</v>
      </c>
      <c r="D16" s="14">
        <f>data!D66</f>
        <v>0</v>
      </c>
      <c r="E16" s="14">
        <f>data!E66</f>
        <v>1503568.8900000001</v>
      </c>
      <c r="F16" s="14">
        <f>data!F66</f>
        <v>0</v>
      </c>
      <c r="G16" s="14">
        <f>data!G66</f>
        <v>192463.66</v>
      </c>
      <c r="H16" s="14">
        <f>data!H66</f>
        <v>144619.85999999999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697256</v>
      </c>
      <c r="D17" s="14">
        <f>data!D67</f>
        <v>0</v>
      </c>
      <c r="E17" s="14">
        <f>data!E67</f>
        <v>2425800</v>
      </c>
      <c r="F17" s="14">
        <f>data!F67</f>
        <v>0</v>
      </c>
      <c r="G17" s="14">
        <f>data!G67</f>
        <v>340115</v>
      </c>
      <c r="H17" s="14">
        <f>data!H67</f>
        <v>155966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3956.95</v>
      </c>
      <c r="D18" s="14">
        <f>data!D68</f>
        <v>0</v>
      </c>
      <c r="E18" s="14">
        <f>data!E68</f>
        <v>52607.570000000007</v>
      </c>
      <c r="F18" s="14">
        <f>data!F68</f>
        <v>0</v>
      </c>
      <c r="G18" s="14">
        <f>data!G68</f>
        <v>17255.670000000002</v>
      </c>
      <c r="H18" s="14">
        <f>data!H68</f>
        <v>1992.1799999999998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66380.97</v>
      </c>
      <c r="D19" s="14">
        <f>data!D69</f>
        <v>0</v>
      </c>
      <c r="E19" s="14">
        <f>data!E69</f>
        <v>73342.44</v>
      </c>
      <c r="F19" s="14">
        <f>data!F69</f>
        <v>0</v>
      </c>
      <c r="G19" s="14">
        <f>data!G69</f>
        <v>25249.909999999996</v>
      </c>
      <c r="H19" s="14">
        <f>data!H69</f>
        <v>22596.260000000002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-19000</v>
      </c>
      <c r="D20" s="14">
        <f>-data!D70</f>
        <v>0</v>
      </c>
      <c r="E20" s="14">
        <f>-data!E70</f>
        <v>-68250</v>
      </c>
      <c r="F20" s="14">
        <f>-data!F70</f>
        <v>0</v>
      </c>
      <c r="G20" s="14">
        <f>-data!G70</f>
        <v>0</v>
      </c>
      <c r="H20" s="14">
        <f>-data!H70</f>
        <v>-12416.81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26551164.93</v>
      </c>
      <c r="D21" s="14">
        <f>data!D71</f>
        <v>0</v>
      </c>
      <c r="E21" s="14">
        <f>data!E71</f>
        <v>45324978.640000001</v>
      </c>
      <c r="F21" s="14">
        <f>data!F71</f>
        <v>0</v>
      </c>
      <c r="G21" s="14">
        <f>data!G71</f>
        <v>4950575.1899999995</v>
      </c>
      <c r="H21" s="14">
        <f>data!H71</f>
        <v>5575060.2699999996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11928566</v>
      </c>
      <c r="D23" s="48">
        <f>+data!M669</f>
        <v>0</v>
      </c>
      <c r="E23" s="48">
        <f>+data!M670</f>
        <v>29541389</v>
      </c>
      <c r="F23" s="48">
        <f>+data!M671</f>
        <v>0</v>
      </c>
      <c r="G23" s="48">
        <f>+data!M672</f>
        <v>4246727</v>
      </c>
      <c r="H23" s="48">
        <f>+data!M673</f>
        <v>2028070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93678197.780000001</v>
      </c>
      <c r="D24" s="14">
        <f>data!D73</f>
        <v>0</v>
      </c>
      <c r="E24" s="14">
        <f>data!E73</f>
        <v>190219267.22999996</v>
      </c>
      <c r="F24" s="14">
        <f>data!F73</f>
        <v>0</v>
      </c>
      <c r="G24" s="14">
        <f>data!G73</f>
        <v>17054863.109999999</v>
      </c>
      <c r="H24" s="14">
        <f>data!H73</f>
        <v>22293696.130000003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721084.04</v>
      </c>
      <c r="D25" s="14">
        <f>data!D74</f>
        <v>0</v>
      </c>
      <c r="E25" s="14">
        <f>data!E74</f>
        <v>14488961.830000002</v>
      </c>
      <c r="F25" s="14">
        <f>data!F74</f>
        <v>0</v>
      </c>
      <c r="G25" s="14">
        <f>data!G74</f>
        <v>6660.1</v>
      </c>
      <c r="H25" s="14">
        <f>data!H74</f>
        <v>1110254.6800000002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94399281.820000008</v>
      </c>
      <c r="D26" s="14">
        <f>data!D75</f>
        <v>0</v>
      </c>
      <c r="E26" s="14">
        <f>data!E75</f>
        <v>204708229.05999997</v>
      </c>
      <c r="F26" s="14">
        <f>data!F75</f>
        <v>0</v>
      </c>
      <c r="G26" s="14">
        <f>data!G75</f>
        <v>17061523.210000001</v>
      </c>
      <c r="H26" s="14">
        <f>data!H75</f>
        <v>23403950.810000002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20827</v>
      </c>
      <c r="D28" s="14">
        <f>data!D76</f>
        <v>0</v>
      </c>
      <c r="E28" s="14">
        <f>data!E76</f>
        <v>93975</v>
      </c>
      <c r="F28" s="14">
        <f>data!F76</f>
        <v>0</v>
      </c>
      <c r="G28" s="14">
        <f>data!G76</f>
        <v>20301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36473</v>
      </c>
      <c r="D29" s="14">
        <f>data!D77</f>
        <v>0</v>
      </c>
      <c r="E29" s="14">
        <f>data!E77</f>
        <v>247757</v>
      </c>
      <c r="F29" s="14">
        <f>data!F77</f>
        <v>0</v>
      </c>
      <c r="G29" s="14">
        <f>data!G77</f>
        <v>26244</v>
      </c>
      <c r="H29" s="14">
        <f>data!H77</f>
        <v>30457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8174</v>
      </c>
      <c r="D30" s="14">
        <f>data!D78</f>
        <v>0</v>
      </c>
      <c r="E30" s="14">
        <f>data!E78</f>
        <v>36879</v>
      </c>
      <c r="F30" s="14">
        <f>data!F78</f>
        <v>0</v>
      </c>
      <c r="G30" s="14">
        <f>data!G78</f>
        <v>7967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243480</v>
      </c>
      <c r="D31" s="14">
        <f>data!D79</f>
        <v>0</v>
      </c>
      <c r="E31" s="14">
        <f>data!E79</f>
        <v>763999</v>
      </c>
      <c r="F31" s="14">
        <f>data!F79</f>
        <v>0</v>
      </c>
      <c r="G31" s="14">
        <f>data!G79</f>
        <v>0</v>
      </c>
      <c r="H31" s="14">
        <f>data!H79</f>
        <v>31331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119.07</v>
      </c>
      <c r="D32" s="84">
        <f>data!D80</f>
        <v>0</v>
      </c>
      <c r="E32" s="84">
        <f>data!E80</f>
        <v>225.33</v>
      </c>
      <c r="F32" s="84">
        <f>data!F80</f>
        <v>0</v>
      </c>
      <c r="G32" s="84">
        <f>data!G80</f>
        <v>18.309999999999999</v>
      </c>
      <c r="H32" s="84">
        <f>data!H80</f>
        <v>20.149999999999999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St.Joseph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10888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19960</v>
      </c>
      <c r="I41" s="14">
        <f>data!P59</f>
        <v>2611928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51.03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135.47</v>
      </c>
      <c r="I42" s="26">
        <f>data!P60</f>
        <v>193.61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4578524.7899999991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12002990.780000001</v>
      </c>
      <c r="I43" s="14">
        <f>data!P61</f>
        <v>17407214.210000001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1175047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3097922</v>
      </c>
      <c r="I44" s="14">
        <f>data!P62</f>
        <v>4361568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959014.76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1425039.24</v>
      </c>
      <c r="I45" s="14">
        <f>data!P63</f>
        <v>3702679.6300000004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673961.81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1292791.4500000002</v>
      </c>
      <c r="I46" s="14">
        <f>data!P64</f>
        <v>52753132.38000001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1614.56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3503.5699999999997</v>
      </c>
      <c r="I47" s="14">
        <f>data!P65</f>
        <v>11950.69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496704.96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560874.46000000008</v>
      </c>
      <c r="I48" s="14">
        <f>data!P66</f>
        <v>4144258.9249999998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215698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704430</v>
      </c>
      <c r="I49" s="14">
        <f>data!P67</f>
        <v>8471715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2259.4300000000003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199920.58</v>
      </c>
      <c r="I50" s="14">
        <f>data!P68</f>
        <v>1165682.27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41512.19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62819.159999999996</v>
      </c>
      <c r="I51" s="14">
        <f>data!P69</f>
        <v>154161.37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-15794.86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-88531.58</v>
      </c>
      <c r="I52" s="14">
        <f>-data!P70</f>
        <v>-12316.369999999999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8128542.6399999987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19261759.660000004</v>
      </c>
      <c r="I53" s="14">
        <f>data!P71</f>
        <v>92160046.105000004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3259599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9908869</v>
      </c>
      <c r="I55" s="48">
        <f>+data!M681</f>
        <v>44421608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42448311.359999999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118239540.91999999</v>
      </c>
      <c r="I56" s="14">
        <f>data!P73</f>
        <v>505651062.22000009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365.38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10451453.709999999</v>
      </c>
      <c r="I57" s="14">
        <f>data!P74</f>
        <v>406790255.40999997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42448676.740000002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128690994.62999998</v>
      </c>
      <c r="I58" s="14">
        <f>data!P75</f>
        <v>912441317.63000011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2522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17619</v>
      </c>
      <c r="I60" s="14">
        <f>data!P76</f>
        <v>88022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53848</v>
      </c>
      <c r="I61" s="14">
        <f>data!P77</f>
        <v>48714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990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6915</v>
      </c>
      <c r="I62" s="14">
        <f>data!P78</f>
        <v>30697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305746</v>
      </c>
      <c r="I63" s="14">
        <f>data!P79</f>
        <v>702939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30.65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80.73</v>
      </c>
      <c r="I64" s="26">
        <f>data!P80</f>
        <v>79.84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St.Joseph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1201215</v>
      </c>
      <c r="D73" s="48">
        <f>data!R59</f>
        <v>0</v>
      </c>
      <c r="E73" s="212"/>
      <c r="F73" s="212"/>
      <c r="G73" s="14">
        <f>data!U59</f>
        <v>2875360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20.22</v>
      </c>
      <c r="D74" s="26">
        <f>data!R60</f>
        <v>0</v>
      </c>
      <c r="E74" s="26">
        <f>data!S60</f>
        <v>61.61</v>
      </c>
      <c r="F74" s="26">
        <f>data!T60</f>
        <v>14.18</v>
      </c>
      <c r="G74" s="26">
        <f>data!U60</f>
        <v>185.44</v>
      </c>
      <c r="H74" s="26">
        <f>data!V60</f>
        <v>5.22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2011851.24</v>
      </c>
      <c r="D75" s="14">
        <f>data!R61</f>
        <v>0</v>
      </c>
      <c r="E75" s="14">
        <f>data!S61</f>
        <v>2805769.5</v>
      </c>
      <c r="F75" s="14">
        <f>data!T61</f>
        <v>1667485.0399999998</v>
      </c>
      <c r="G75" s="14">
        <f>data!U61</f>
        <v>10693258.27</v>
      </c>
      <c r="H75" s="14">
        <f>data!V61</f>
        <v>598528.0199999999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486073</v>
      </c>
      <c r="D76" s="14">
        <f>data!R62</f>
        <v>0</v>
      </c>
      <c r="E76" s="14">
        <f>data!S62</f>
        <v>1072822</v>
      </c>
      <c r="F76" s="14">
        <f>data!T62</f>
        <v>372733</v>
      </c>
      <c r="G76" s="14">
        <f>data!U62</f>
        <v>3518885</v>
      </c>
      <c r="H76" s="14">
        <f>data!V62</f>
        <v>137607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73456.03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122161.23999999999</v>
      </c>
      <c r="D78" s="14">
        <f>data!R64</f>
        <v>0</v>
      </c>
      <c r="E78" s="14">
        <f>data!S64</f>
        <v>466248.2200000002</v>
      </c>
      <c r="F78" s="14">
        <f>data!T64</f>
        <v>1020942.45</v>
      </c>
      <c r="G78" s="14">
        <f>data!U64</f>
        <v>7877521.3200000003</v>
      </c>
      <c r="H78" s="14">
        <f>data!V64</f>
        <v>5213392.72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907.07999999999993</v>
      </c>
      <c r="D79" s="14">
        <f>data!R65</f>
        <v>0</v>
      </c>
      <c r="E79" s="14">
        <f>data!S65</f>
        <v>0</v>
      </c>
      <c r="F79" s="14">
        <f>data!T65</f>
        <v>749.96</v>
      </c>
      <c r="G79" s="14">
        <f>data!U65</f>
        <v>215143.92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22125.7</v>
      </c>
      <c r="D80" s="14">
        <f>data!R66</f>
        <v>0</v>
      </c>
      <c r="E80" s="14">
        <f>data!S66</f>
        <v>249705.97137020002</v>
      </c>
      <c r="F80" s="14">
        <f>data!T66</f>
        <v>10.31</v>
      </c>
      <c r="G80" s="14">
        <f>data!U66</f>
        <v>7865081.5999999996</v>
      </c>
      <c r="H80" s="14">
        <f>data!V66</f>
        <v>272355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63252</v>
      </c>
      <c r="D81" s="14">
        <f>data!R67</f>
        <v>0</v>
      </c>
      <c r="E81" s="14">
        <f>data!S67</f>
        <v>327750</v>
      </c>
      <c r="F81" s="14">
        <f>data!T67</f>
        <v>16084</v>
      </c>
      <c r="G81" s="14">
        <f>data!U67</f>
        <v>569152</v>
      </c>
      <c r="H81" s="14">
        <f>data!V67</f>
        <v>159592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2439.1699999999996</v>
      </c>
      <c r="D82" s="14">
        <f>data!R68</f>
        <v>0</v>
      </c>
      <c r="E82" s="14">
        <f>data!S68</f>
        <v>32071.35</v>
      </c>
      <c r="F82" s="14">
        <f>data!T68</f>
        <v>397.34</v>
      </c>
      <c r="G82" s="14">
        <f>data!U68</f>
        <v>1212894.77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12478.490000000002</v>
      </c>
      <c r="D83" s="14">
        <f>data!R69</f>
        <v>0</v>
      </c>
      <c r="E83" s="14">
        <f>data!S69</f>
        <v>60407.43</v>
      </c>
      <c r="F83" s="14">
        <f>data!T69</f>
        <v>955</v>
      </c>
      <c r="G83" s="14">
        <f>data!U69</f>
        <v>190028.11000000002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-12085205.149999999</v>
      </c>
      <c r="H84" s="14">
        <f>-data!V70</f>
        <v>-1248.18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2721287.9200000009</v>
      </c>
      <c r="D85" s="14">
        <f>data!R71</f>
        <v>0</v>
      </c>
      <c r="E85" s="14">
        <f>data!S71</f>
        <v>5014774.4713701997</v>
      </c>
      <c r="F85" s="14">
        <f>data!T71</f>
        <v>3079357.0999999996</v>
      </c>
      <c r="G85" s="14">
        <f>data!U71</f>
        <v>20130215.870000001</v>
      </c>
      <c r="H85" s="14">
        <f>data!V71</f>
        <v>6380226.5599999996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1566450</v>
      </c>
      <c r="D87" s="48">
        <f>+data!M683</f>
        <v>0</v>
      </c>
      <c r="E87" s="48">
        <f>+data!M684</f>
        <v>3659943</v>
      </c>
      <c r="F87" s="48">
        <f>+data!M685</f>
        <v>1026559</v>
      </c>
      <c r="G87" s="48">
        <f>+data!M686</f>
        <v>9525611</v>
      </c>
      <c r="H87" s="48">
        <f>+data!M687</f>
        <v>2492959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16733274.140000001</v>
      </c>
      <c r="D88" s="14">
        <f>data!R73</f>
        <v>0</v>
      </c>
      <c r="E88" s="14">
        <f>data!S73</f>
        <v>0</v>
      </c>
      <c r="F88" s="14">
        <f>data!T73</f>
        <v>11869393.939999999</v>
      </c>
      <c r="G88" s="14">
        <f>data!U73</f>
        <v>87776052.460000008</v>
      </c>
      <c r="H88" s="14">
        <f>data!V73</f>
        <v>19093649.520000003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9969533.0700000003</v>
      </c>
      <c r="D89" s="14">
        <f>data!R74</f>
        <v>0</v>
      </c>
      <c r="E89" s="14">
        <f>data!S74</f>
        <v>0</v>
      </c>
      <c r="F89" s="14">
        <f>data!T74</f>
        <v>668357.18000000005</v>
      </c>
      <c r="G89" s="14">
        <f>data!U74</f>
        <v>32690499.870000005</v>
      </c>
      <c r="H89" s="14">
        <f>data!V74</f>
        <v>63121094.460000001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26702807.210000001</v>
      </c>
      <c r="D90" s="14">
        <f>data!R75</f>
        <v>0</v>
      </c>
      <c r="E90" s="14">
        <f>data!S75</f>
        <v>0</v>
      </c>
      <c r="F90" s="14">
        <f>data!T75</f>
        <v>12537751.119999999</v>
      </c>
      <c r="G90" s="14">
        <f>data!U75</f>
        <v>120466552.33000001</v>
      </c>
      <c r="H90" s="14">
        <f>data!V75</f>
        <v>82214743.980000004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2369</v>
      </c>
      <c r="D92" s="14">
        <f>data!R76</f>
        <v>0</v>
      </c>
      <c r="E92" s="14">
        <f>data!S76</f>
        <v>17441</v>
      </c>
      <c r="F92" s="14">
        <f>data!T76</f>
        <v>0</v>
      </c>
      <c r="G92" s="14">
        <f>data!U76</f>
        <v>18834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82421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930</v>
      </c>
      <c r="D94" s="14">
        <f>data!R78</f>
        <v>0</v>
      </c>
      <c r="E94" s="14">
        <f>data!S78</f>
        <v>6845</v>
      </c>
      <c r="F94" s="14">
        <f>data!T78</f>
        <v>0</v>
      </c>
      <c r="G94" s="14">
        <f>data!U78</f>
        <v>6537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66228</v>
      </c>
      <c r="D95" s="14">
        <f>data!R79</f>
        <v>0</v>
      </c>
      <c r="E95" s="14">
        <f>data!S79</f>
        <v>15449</v>
      </c>
      <c r="F95" s="14">
        <f>data!T79</f>
        <v>0</v>
      </c>
      <c r="G95" s="14">
        <f>data!U79</f>
        <v>9380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14.89</v>
      </c>
      <c r="D96" s="84">
        <f>data!R80</f>
        <v>0</v>
      </c>
      <c r="E96" s="84">
        <f>data!S80</f>
        <v>0</v>
      </c>
      <c r="F96" s="84">
        <f>data!T80</f>
        <v>12.28</v>
      </c>
      <c r="G96" s="84">
        <f>data!U80</f>
        <v>3.26</v>
      </c>
      <c r="H96" s="84">
        <f>data!V80</f>
        <v>2.96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St.Joseph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25118</v>
      </c>
      <c r="D105" s="14">
        <f>data!Y59</f>
        <v>210018</v>
      </c>
      <c r="E105" s="14">
        <f>data!Z59</f>
        <v>0</v>
      </c>
      <c r="F105" s="14">
        <f>data!AA59</f>
        <v>4861</v>
      </c>
      <c r="G105" s="212"/>
      <c r="H105" s="14">
        <f>data!AC59</f>
        <v>65948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9.01</v>
      </c>
      <c r="D106" s="26">
        <f>data!Y60</f>
        <v>65.73</v>
      </c>
      <c r="E106" s="26">
        <f>data!Z60</f>
        <v>0</v>
      </c>
      <c r="F106" s="26">
        <f>data!AA60</f>
        <v>5.45</v>
      </c>
      <c r="G106" s="26">
        <f>data!AB60</f>
        <v>93.75</v>
      </c>
      <c r="H106" s="26">
        <f>data!AC60</f>
        <v>30.05</v>
      </c>
      <c r="I106" s="26">
        <f>data!AD60</f>
        <v>1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820984.75</v>
      </c>
      <c r="D107" s="14">
        <f>data!Y61</f>
        <v>5630524.5699999994</v>
      </c>
      <c r="E107" s="14">
        <f>data!Z61</f>
        <v>0</v>
      </c>
      <c r="F107" s="14">
        <f>data!AA61</f>
        <v>556924.66</v>
      </c>
      <c r="G107" s="14">
        <f>data!AB61</f>
        <v>8786566.6700000018</v>
      </c>
      <c r="H107" s="14">
        <f>data!AC61</f>
        <v>2496461.39</v>
      </c>
      <c r="I107" s="14">
        <f>data!AD61</f>
        <v>161859.78000000003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209508</v>
      </c>
      <c r="D108" s="14">
        <f>data!Y62</f>
        <v>1466558</v>
      </c>
      <c r="E108" s="14">
        <f>data!Z62</f>
        <v>0</v>
      </c>
      <c r="F108" s="14">
        <f>data!AA62</f>
        <v>134127</v>
      </c>
      <c r="G108" s="14">
        <f>data!AB62</f>
        <v>2196461</v>
      </c>
      <c r="H108" s="14">
        <f>data!AC62</f>
        <v>664070</v>
      </c>
      <c r="I108" s="14">
        <f>data!AD62</f>
        <v>30555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60139.8</v>
      </c>
      <c r="E109" s="14">
        <f>data!Z63</f>
        <v>0</v>
      </c>
      <c r="F109" s="14">
        <f>data!AA63</f>
        <v>0</v>
      </c>
      <c r="G109" s="14">
        <f>data!AB63</f>
        <v>12875.27</v>
      </c>
      <c r="H109" s="14">
        <f>data!AC63</f>
        <v>26203.8</v>
      </c>
      <c r="I109" s="14">
        <f>data!AD63</f>
        <v>1240.43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274245.77</v>
      </c>
      <c r="D110" s="14">
        <f>data!Y64</f>
        <v>4185559.3699999996</v>
      </c>
      <c r="E110" s="14">
        <f>data!Z64</f>
        <v>0</v>
      </c>
      <c r="F110" s="14">
        <f>data!AA64</f>
        <v>707464.38</v>
      </c>
      <c r="G110" s="14">
        <f>data!AB64</f>
        <v>15674384.509999998</v>
      </c>
      <c r="H110" s="14">
        <f>data!AC64</f>
        <v>754621.34</v>
      </c>
      <c r="I110" s="14">
        <f>data!AD64</f>
        <v>336008.63999999996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414.62</v>
      </c>
      <c r="D111" s="14">
        <f>data!Y65</f>
        <v>6140.64</v>
      </c>
      <c r="E111" s="14">
        <f>data!Z65</f>
        <v>0</v>
      </c>
      <c r="F111" s="14">
        <f>data!AA65</f>
        <v>0</v>
      </c>
      <c r="G111" s="14">
        <f>data!AB65</f>
        <v>6652.24</v>
      </c>
      <c r="H111" s="14">
        <f>data!AC65</f>
        <v>817.22</v>
      </c>
      <c r="I111" s="14">
        <f>data!AD65</f>
        <v>10582.7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225157.09</v>
      </c>
      <c r="D112" s="14">
        <f>data!Y66</f>
        <v>2448756.9700000002</v>
      </c>
      <c r="E112" s="14">
        <f>data!Z66</f>
        <v>0</v>
      </c>
      <c r="F112" s="14">
        <f>data!AA66</f>
        <v>103611.71</v>
      </c>
      <c r="G112" s="14">
        <f>data!AB66</f>
        <v>1612793.53</v>
      </c>
      <c r="H112" s="14">
        <f>data!AC66</f>
        <v>76452.81</v>
      </c>
      <c r="I112" s="14">
        <f>data!AD66</f>
        <v>6215599.8999999994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4649</v>
      </c>
      <c r="D113" s="14">
        <f>data!Y67</f>
        <v>973742</v>
      </c>
      <c r="E113" s="14">
        <f>data!Z67</f>
        <v>0</v>
      </c>
      <c r="F113" s="14">
        <f>data!AA67</f>
        <v>3951</v>
      </c>
      <c r="G113" s="14">
        <f>data!AB67</f>
        <v>809942</v>
      </c>
      <c r="H113" s="14">
        <f>data!AC67</f>
        <v>153283</v>
      </c>
      <c r="I113" s="14">
        <f>data!AD67</f>
        <v>542454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460.06</v>
      </c>
      <c r="D114" s="14">
        <f>data!Y68</f>
        <v>39121.390000000007</v>
      </c>
      <c r="E114" s="14">
        <f>data!Z68</f>
        <v>0</v>
      </c>
      <c r="F114" s="14">
        <f>data!AA68</f>
        <v>338.22</v>
      </c>
      <c r="G114" s="14">
        <f>data!AB68</f>
        <v>85851.89</v>
      </c>
      <c r="H114" s="14">
        <f>data!AC68</f>
        <v>122778.28</v>
      </c>
      <c r="I114" s="14">
        <f>data!AD68</f>
        <v>9059.11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7243.8899999999994</v>
      </c>
      <c r="E115" s="14">
        <f>data!Z69</f>
        <v>0</v>
      </c>
      <c r="F115" s="14">
        <f>data!AA69</f>
        <v>2.71</v>
      </c>
      <c r="G115" s="14">
        <f>data!AB69</f>
        <v>2948200.05</v>
      </c>
      <c r="H115" s="14">
        <f>data!AC69</f>
        <v>5058.32</v>
      </c>
      <c r="I115" s="14">
        <f>data!AD69</f>
        <v>66808.259999999995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-11742.5</v>
      </c>
      <c r="E116" s="14">
        <f>-data!Z70</f>
        <v>0</v>
      </c>
      <c r="F116" s="14">
        <f>-data!AA70</f>
        <v>0</v>
      </c>
      <c r="G116" s="14">
        <f>-data!AB70</f>
        <v>-4871604.4500000011</v>
      </c>
      <c r="H116" s="14">
        <f>-data!AC70</f>
        <v>0</v>
      </c>
      <c r="I116" s="14">
        <f>-data!AD70</f>
        <v>-1222596.68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1535419.2900000003</v>
      </c>
      <c r="D117" s="14">
        <f>data!Y71</f>
        <v>14806044.130000001</v>
      </c>
      <c r="E117" s="14">
        <f>data!Z71</f>
        <v>0</v>
      </c>
      <c r="F117" s="14">
        <f>data!AA71</f>
        <v>1506419.68</v>
      </c>
      <c r="G117" s="14">
        <f>data!AB71</f>
        <v>27262122.710000001</v>
      </c>
      <c r="H117" s="14">
        <f>data!AC71</f>
        <v>4299746.16</v>
      </c>
      <c r="I117" s="14">
        <f>data!AD71</f>
        <v>6151571.1399999997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2031902</v>
      </c>
      <c r="D119" s="48">
        <f>+data!M690</f>
        <v>11449269</v>
      </c>
      <c r="E119" s="48">
        <f>+data!M691</f>
        <v>0</v>
      </c>
      <c r="F119" s="48">
        <f>+data!M692</f>
        <v>656059</v>
      </c>
      <c r="G119" s="48">
        <f>+data!M693</f>
        <v>13807965</v>
      </c>
      <c r="H119" s="48">
        <f>+data!M694</f>
        <v>2120138</v>
      </c>
      <c r="I119" s="48">
        <f>+data!M695</f>
        <v>6820136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55539924.019999996</v>
      </c>
      <c r="D120" s="14">
        <f>data!Y73</f>
        <v>66695035.350000001</v>
      </c>
      <c r="E120" s="14">
        <f>data!Z73</f>
        <v>0</v>
      </c>
      <c r="F120" s="14">
        <f>data!AA73</f>
        <v>3722471.26</v>
      </c>
      <c r="G120" s="14">
        <f>data!AB73</f>
        <v>264988198.09999999</v>
      </c>
      <c r="H120" s="14">
        <f>data!AC73</f>
        <v>54992915.659999989</v>
      </c>
      <c r="I120" s="14">
        <f>data!AD73</f>
        <v>10183630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57610742.859999999</v>
      </c>
      <c r="D121" s="14">
        <f>data!Y74</f>
        <v>81058280.670000002</v>
      </c>
      <c r="E121" s="14">
        <f>data!Z74</f>
        <v>0</v>
      </c>
      <c r="F121" s="14">
        <f>data!AA74</f>
        <v>17950115.550000004</v>
      </c>
      <c r="G121" s="14">
        <f>data!AB74</f>
        <v>107058366.94000003</v>
      </c>
      <c r="H121" s="14">
        <f>data!AC74</f>
        <v>7926337.9099999992</v>
      </c>
      <c r="I121" s="14">
        <f>data!AD74</f>
        <v>15560849.449999997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113150666.88</v>
      </c>
      <c r="D122" s="14">
        <f>data!Y75</f>
        <v>147753316.02000001</v>
      </c>
      <c r="E122" s="14">
        <f>data!Z75</f>
        <v>0</v>
      </c>
      <c r="F122" s="14">
        <f>data!AA75</f>
        <v>21672586.810000002</v>
      </c>
      <c r="G122" s="14">
        <f>data!AB75</f>
        <v>372046565.04000002</v>
      </c>
      <c r="H122" s="14">
        <f>data!AC75</f>
        <v>62919253.569999985</v>
      </c>
      <c r="I122" s="14">
        <f>data!AD75</f>
        <v>25744479.449999996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46504</v>
      </c>
      <c r="E124" s="14">
        <f>data!Z76</f>
        <v>0</v>
      </c>
      <c r="F124" s="14">
        <f>data!AA76</f>
        <v>0</v>
      </c>
      <c r="G124" s="14">
        <f>data!AB76</f>
        <v>19190</v>
      </c>
      <c r="H124" s="14">
        <f>data!AC76</f>
        <v>981</v>
      </c>
      <c r="I124" s="14">
        <f>data!AD76</f>
        <v>40223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18250</v>
      </c>
      <c r="E126" s="14">
        <f>data!Z78</f>
        <v>0</v>
      </c>
      <c r="F126" s="14">
        <f>data!AA78</f>
        <v>0</v>
      </c>
      <c r="G126" s="14">
        <f>data!AB78</f>
        <v>6427</v>
      </c>
      <c r="H126" s="14">
        <f>data!AC78</f>
        <v>385</v>
      </c>
      <c r="I126" s="14">
        <f>data!AD78</f>
        <v>20624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145076</v>
      </c>
      <c r="E127" s="14">
        <f>data!Z79</f>
        <v>0</v>
      </c>
      <c r="F127" s="14">
        <f>data!AA79</f>
        <v>16235</v>
      </c>
      <c r="G127" s="14">
        <f>data!AB79</f>
        <v>0</v>
      </c>
      <c r="H127" s="14">
        <f>data!AC79</f>
        <v>0</v>
      </c>
      <c r="I127" s="14">
        <f>data!AD79</f>
        <v>53515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5.78</v>
      </c>
      <c r="E128" s="26">
        <f>data!Z80</f>
        <v>0</v>
      </c>
      <c r="F128" s="26">
        <f>data!AA80</f>
        <v>0</v>
      </c>
      <c r="G128" s="26">
        <f>data!AB80</f>
        <v>3.29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St.Joseph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164091</v>
      </c>
      <c r="D137" s="14">
        <f>data!AF59</f>
        <v>0</v>
      </c>
      <c r="E137" s="14">
        <f>data!AG59</f>
        <v>50081</v>
      </c>
      <c r="F137" s="14">
        <f>data!AH59</f>
        <v>0</v>
      </c>
      <c r="G137" s="14">
        <f>data!AI59</f>
        <v>14940</v>
      </c>
      <c r="H137" s="14">
        <f>data!AJ59</f>
        <v>25537</v>
      </c>
      <c r="I137" s="14">
        <f>data!AK59</f>
        <v>74450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39.950000000000003</v>
      </c>
      <c r="D138" s="26">
        <f>data!AF60</f>
        <v>0</v>
      </c>
      <c r="E138" s="26">
        <f>data!AG60</f>
        <v>86.47</v>
      </c>
      <c r="F138" s="26">
        <f>data!AH60</f>
        <v>0</v>
      </c>
      <c r="G138" s="26">
        <f>data!AI60</f>
        <v>138.37</v>
      </c>
      <c r="H138" s="26">
        <f>data!AJ60</f>
        <v>38.630000000000003</v>
      </c>
      <c r="I138" s="26">
        <f>data!AK60</f>
        <v>19.37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3746897.6200000006</v>
      </c>
      <c r="D139" s="14">
        <f>data!AF61</f>
        <v>0</v>
      </c>
      <c r="E139" s="14">
        <f>data!AG61</f>
        <v>8210275</v>
      </c>
      <c r="F139" s="14">
        <f>data!AH61</f>
        <v>0</v>
      </c>
      <c r="G139" s="14">
        <f>data!AI61</f>
        <v>10795620.049999999</v>
      </c>
      <c r="H139" s="14">
        <f>data!AJ61</f>
        <v>3407510.2499999995</v>
      </c>
      <c r="I139" s="14">
        <f>data!AK61</f>
        <v>1812481.54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949243</v>
      </c>
      <c r="D140" s="14">
        <f>data!AF62</f>
        <v>0</v>
      </c>
      <c r="E140" s="14">
        <f>data!AG62</f>
        <v>2268823</v>
      </c>
      <c r="F140" s="14">
        <f>data!AH62</f>
        <v>0</v>
      </c>
      <c r="G140" s="14">
        <f>data!AI62</f>
        <v>2974661</v>
      </c>
      <c r="H140" s="14">
        <f>data!AJ62</f>
        <v>884109</v>
      </c>
      <c r="I140" s="14">
        <f>data!AK62</f>
        <v>465667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6541247.7300000004</v>
      </c>
      <c r="F141" s="14">
        <f>data!AH63</f>
        <v>0</v>
      </c>
      <c r="G141" s="14">
        <f>data!AI63</f>
        <v>0</v>
      </c>
      <c r="H141" s="14">
        <f>data!AJ63</f>
        <v>-198388.8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49262.44</v>
      </c>
      <c r="D142" s="14">
        <f>data!AF64</f>
        <v>0</v>
      </c>
      <c r="E142" s="14">
        <f>data!AG64</f>
        <v>1701627.33</v>
      </c>
      <c r="F142" s="14">
        <f>data!AH64</f>
        <v>0</v>
      </c>
      <c r="G142" s="14">
        <f>data!AI64</f>
        <v>802285.16999999993</v>
      </c>
      <c r="H142" s="14">
        <f>data!AJ64</f>
        <v>1198512.01</v>
      </c>
      <c r="I142" s="14">
        <f>data!AK64</f>
        <v>5740.87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1676.57</v>
      </c>
      <c r="D143" s="14">
        <f>data!AF65</f>
        <v>0</v>
      </c>
      <c r="E143" s="14">
        <f>data!AG65</f>
        <v>2003.81</v>
      </c>
      <c r="F143" s="14">
        <f>data!AH65</f>
        <v>0</v>
      </c>
      <c r="G143" s="14">
        <f>data!AI65</f>
        <v>2370.52</v>
      </c>
      <c r="H143" s="14">
        <f>data!AJ65</f>
        <v>1975.31</v>
      </c>
      <c r="I143" s="14">
        <f>data!AK65</f>
        <v>1373.24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154090.78999999998</v>
      </c>
      <c r="D144" s="14">
        <f>data!AF66</f>
        <v>0</v>
      </c>
      <c r="E144" s="14">
        <f>data!AG66</f>
        <v>2212723.0000000005</v>
      </c>
      <c r="F144" s="14">
        <f>data!AH66</f>
        <v>0</v>
      </c>
      <c r="G144" s="14">
        <f>data!AI66</f>
        <v>163318.10999999999</v>
      </c>
      <c r="H144" s="14">
        <f>data!AJ66</f>
        <v>1044667.3799999999</v>
      </c>
      <c r="I144" s="14">
        <f>data!AK66</f>
        <v>7207.5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192806</v>
      </c>
      <c r="D145" s="14">
        <f>data!AF67</f>
        <v>0</v>
      </c>
      <c r="E145" s="14">
        <f>data!AG67</f>
        <v>677618</v>
      </c>
      <c r="F145" s="14">
        <f>data!AH67</f>
        <v>0</v>
      </c>
      <c r="G145" s="14">
        <f>data!AI67</f>
        <v>25318</v>
      </c>
      <c r="H145" s="14">
        <f>data!AJ67</f>
        <v>438021</v>
      </c>
      <c r="I145" s="14">
        <f>data!AK67</f>
        <v>83320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158241.76999999999</v>
      </c>
      <c r="D146" s="14">
        <f>data!AF68</f>
        <v>0</v>
      </c>
      <c r="E146" s="14">
        <f>data!AG68</f>
        <v>33389.199999999997</v>
      </c>
      <c r="F146" s="14">
        <f>data!AH68</f>
        <v>0</v>
      </c>
      <c r="G146" s="14">
        <f>data!AI68</f>
        <v>16751.620000000003</v>
      </c>
      <c r="H146" s="14">
        <f>data!AJ68</f>
        <v>457580.91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20807.079999999998</v>
      </c>
      <c r="D147" s="14">
        <f>data!AF69</f>
        <v>0</v>
      </c>
      <c r="E147" s="14">
        <f>data!AG69</f>
        <v>56998.09</v>
      </c>
      <c r="F147" s="14">
        <f>data!AH69</f>
        <v>0</v>
      </c>
      <c r="G147" s="14">
        <f>data!AI69</f>
        <v>37658.99</v>
      </c>
      <c r="H147" s="14">
        <f>data!AJ69</f>
        <v>26305.019999999997</v>
      </c>
      <c r="I147" s="14">
        <f>data!AK69</f>
        <v>6996.64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-5681.87</v>
      </c>
      <c r="D148" s="14">
        <f>-data!AF70</f>
        <v>0</v>
      </c>
      <c r="E148" s="14">
        <f>-data!AG70</f>
        <v>-2000</v>
      </c>
      <c r="F148" s="14">
        <f>-data!AH70</f>
        <v>0</v>
      </c>
      <c r="G148" s="14">
        <f>-data!AI70</f>
        <v>-4000</v>
      </c>
      <c r="H148" s="14">
        <f>-data!AJ70</f>
        <v>-38660</v>
      </c>
      <c r="I148" s="14">
        <f>-data!AK70</f>
        <v>-240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5267343.4000000013</v>
      </c>
      <c r="D149" s="14">
        <f>data!AF71</f>
        <v>0</v>
      </c>
      <c r="E149" s="14">
        <f>data!AG71</f>
        <v>21702705.16</v>
      </c>
      <c r="F149" s="14">
        <f>data!AH71</f>
        <v>0</v>
      </c>
      <c r="G149" s="14">
        <f>data!AI71</f>
        <v>14813983.459999997</v>
      </c>
      <c r="H149" s="14">
        <f>data!AJ71</f>
        <v>7221632.0799999991</v>
      </c>
      <c r="I149" s="14">
        <f>data!AK71</f>
        <v>2382546.7900000005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3344462</v>
      </c>
      <c r="D151" s="48">
        <f>+data!M697</f>
        <v>0</v>
      </c>
      <c r="E151" s="48">
        <f>+data!M698</f>
        <v>10647564</v>
      </c>
      <c r="F151" s="48">
        <f>+data!M699</f>
        <v>0</v>
      </c>
      <c r="G151" s="48">
        <f>+data!M700</f>
        <v>6077228</v>
      </c>
      <c r="H151" s="48">
        <f>+data!M701</f>
        <v>4654033</v>
      </c>
      <c r="I151" s="48">
        <f>+data!M702</f>
        <v>1550745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11259705.690000001</v>
      </c>
      <c r="D152" s="14">
        <f>data!AF73</f>
        <v>0</v>
      </c>
      <c r="E152" s="14">
        <f>data!AG73</f>
        <v>67358218.510000005</v>
      </c>
      <c r="F152" s="14">
        <f>data!AH73</f>
        <v>0</v>
      </c>
      <c r="G152" s="14">
        <f>data!AI73</f>
        <v>46265631.209999993</v>
      </c>
      <c r="H152" s="14">
        <f>data!AJ73</f>
        <v>80319.350000000006</v>
      </c>
      <c r="I152" s="14">
        <f>data!AK73</f>
        <v>9621414.3599999994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14839352.490000002</v>
      </c>
      <c r="D153" s="14">
        <f>data!AF74</f>
        <v>0</v>
      </c>
      <c r="E153" s="14">
        <f>data!AG74</f>
        <v>110797627.98999999</v>
      </c>
      <c r="F153" s="14">
        <f>data!AH74</f>
        <v>0</v>
      </c>
      <c r="G153" s="14">
        <f>data!AI74</f>
        <v>36586637.549999997</v>
      </c>
      <c r="H153" s="14">
        <f>data!AJ74</f>
        <v>37855899.890000001</v>
      </c>
      <c r="I153" s="14">
        <f>data!AK74</f>
        <v>3891852.07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26099058.180000003</v>
      </c>
      <c r="D154" s="14">
        <f>data!AF75</f>
        <v>0</v>
      </c>
      <c r="E154" s="14">
        <f>data!AG75</f>
        <v>178155846.5</v>
      </c>
      <c r="F154" s="14">
        <f>data!AH75</f>
        <v>0</v>
      </c>
      <c r="G154" s="14">
        <f>data!AI75</f>
        <v>82852268.75999999</v>
      </c>
      <c r="H154" s="14">
        <f>data!AJ75</f>
        <v>37936219.240000002</v>
      </c>
      <c r="I154" s="14">
        <f>data!AK75</f>
        <v>13513266.43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12994</v>
      </c>
      <c r="D156" s="14">
        <f>data!AF76</f>
        <v>0</v>
      </c>
      <c r="E156" s="14">
        <f>data!AG76</f>
        <v>20182</v>
      </c>
      <c r="F156" s="14">
        <f>data!AH76</f>
        <v>0</v>
      </c>
      <c r="G156" s="14">
        <f>data!AI76</f>
        <v>0</v>
      </c>
      <c r="H156" s="14">
        <f>data!AJ76</f>
        <v>21019</v>
      </c>
      <c r="I156" s="14">
        <f>data!AK76</f>
        <v>5815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5100</v>
      </c>
      <c r="D158" s="14">
        <f>data!AF78</f>
        <v>0</v>
      </c>
      <c r="E158" s="14">
        <f>data!AG78</f>
        <v>7920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2282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281352</v>
      </c>
      <c r="F159" s="14">
        <f>data!AH79</f>
        <v>0</v>
      </c>
      <c r="G159" s="14">
        <f>data!AI79</f>
        <v>0</v>
      </c>
      <c r="H159" s="14">
        <f>data!AJ79</f>
        <v>26342</v>
      </c>
      <c r="I159" s="14">
        <f>data!AK79</f>
        <v>27656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50.65</v>
      </c>
      <c r="F160" s="26">
        <f>data!AH80</f>
        <v>0</v>
      </c>
      <c r="G160" s="26">
        <f>data!AI80</f>
        <v>76.94</v>
      </c>
      <c r="H160" s="26">
        <f>data!AJ80</f>
        <v>15.78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St.Joseph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8770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888</v>
      </c>
      <c r="H169" s="14">
        <f>data!AQ59</f>
        <v>0</v>
      </c>
      <c r="I169" s="14">
        <f>data!AR59</f>
        <v>385162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5.71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2.92</v>
      </c>
      <c r="H170" s="26">
        <f>data!AQ60</f>
        <v>0</v>
      </c>
      <c r="I170" s="26">
        <f>data!AR60</f>
        <v>323.83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480877.93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289928.42</v>
      </c>
      <c r="H171" s="14">
        <f>data!AQ61</f>
        <v>0</v>
      </c>
      <c r="I171" s="14">
        <f>data!AR61</f>
        <v>26680107.27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128711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70823</v>
      </c>
      <c r="H172" s="14">
        <f>data!AQ62</f>
        <v>0</v>
      </c>
      <c r="I172" s="14">
        <f>data!AR62</f>
        <v>7068820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17584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139.75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65341.03</v>
      </c>
      <c r="H174" s="14">
        <f>data!AQ64</f>
        <v>0</v>
      </c>
      <c r="I174" s="14">
        <f>data!AR64</f>
        <v>1407726.85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724.6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1352.15</v>
      </c>
      <c r="H175" s="14">
        <f>data!AQ65</f>
        <v>0</v>
      </c>
      <c r="I175" s="14">
        <f>data!AR65</f>
        <v>337461.6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1038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93027.82</v>
      </c>
      <c r="H176" s="14">
        <f>data!AQ66</f>
        <v>0</v>
      </c>
      <c r="I176" s="14">
        <f>data!AR66</f>
        <v>9440483.1500000004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56217</v>
      </c>
      <c r="D177" s="14">
        <f>data!AM67</f>
        <v>0</v>
      </c>
      <c r="E177" s="14">
        <f>data!AN67</f>
        <v>44612</v>
      </c>
      <c r="F177" s="14">
        <f>data!AO67</f>
        <v>0</v>
      </c>
      <c r="G177" s="14">
        <f>data!AP67</f>
        <v>23230</v>
      </c>
      <c r="H177" s="14">
        <f>data!AQ67</f>
        <v>0</v>
      </c>
      <c r="I177" s="14">
        <f>data!AR67</f>
        <v>257012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171658.51</v>
      </c>
      <c r="H178" s="14">
        <f>data!AQ68</f>
        <v>0</v>
      </c>
      <c r="I178" s="14">
        <f>data!AR68</f>
        <v>1342851.29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4906.0200000000004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388.21000000000004</v>
      </c>
      <c r="H179" s="14">
        <f>data!AQ69</f>
        <v>0</v>
      </c>
      <c r="I179" s="14">
        <f>data!AR69</f>
        <v>1049183.6500000001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-532966.62000000011</v>
      </c>
      <c r="H180" s="14">
        <f>-data!AQ70</f>
        <v>0</v>
      </c>
      <c r="I180" s="14">
        <f>-data!AR70</f>
        <v>-167128.75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672614.29999999993</v>
      </c>
      <c r="D181" s="14">
        <f>data!AM71</f>
        <v>0</v>
      </c>
      <c r="E181" s="14">
        <f>data!AN71</f>
        <v>44612</v>
      </c>
      <c r="F181" s="14">
        <f>data!AO71</f>
        <v>0</v>
      </c>
      <c r="G181" s="14">
        <f>data!AP71</f>
        <v>182782.51999999979</v>
      </c>
      <c r="H181" s="14">
        <f>data!AQ71</f>
        <v>0</v>
      </c>
      <c r="I181" s="14">
        <f>data!AR71</f>
        <v>47434101.059999995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747169</v>
      </c>
      <c r="D183" s="48">
        <f>+data!M704</f>
        <v>0</v>
      </c>
      <c r="E183" s="48">
        <f>+data!M705</f>
        <v>420940</v>
      </c>
      <c r="F183" s="48">
        <f>+data!M706</f>
        <v>0</v>
      </c>
      <c r="G183" s="48">
        <f>+data!M707</f>
        <v>364942</v>
      </c>
      <c r="H183" s="48">
        <f>+data!M708</f>
        <v>0</v>
      </c>
      <c r="I183" s="48">
        <f>+data!M709</f>
        <v>14008544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2705544.62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-526303.94999999995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749786.7699999999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5359825.6199999992</v>
      </c>
      <c r="H185" s="14">
        <f>data!AQ74</f>
        <v>0</v>
      </c>
      <c r="I185" s="14">
        <f>data!AR74</f>
        <v>70997700.209999993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3455331.39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4833521.669999999</v>
      </c>
      <c r="H186" s="14">
        <f>data!AQ75</f>
        <v>0</v>
      </c>
      <c r="I186" s="14">
        <f>data!AR75</f>
        <v>70997700.209999993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4171</v>
      </c>
      <c r="D188" s="14">
        <f>data!AM76</f>
        <v>0</v>
      </c>
      <c r="E188" s="14">
        <f>data!AN76</f>
        <v>3310</v>
      </c>
      <c r="F188" s="14">
        <f>data!AO76</f>
        <v>0</v>
      </c>
      <c r="G188" s="14">
        <f>data!AP76</f>
        <v>1709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1637</v>
      </c>
      <c r="D190" s="14">
        <f>data!AM78</f>
        <v>0</v>
      </c>
      <c r="E190" s="14">
        <f>data!AN78</f>
        <v>1299</v>
      </c>
      <c r="F190" s="14">
        <f>data!AO78</f>
        <v>0</v>
      </c>
      <c r="G190" s="14">
        <f>data!AP78</f>
        <v>671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1.88</v>
      </c>
      <c r="H192" s="26">
        <f>data!AQ80</f>
        <v>0</v>
      </c>
      <c r="I192" s="26">
        <f>data!AR80</f>
        <v>106.89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St.Joseph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577277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32.36</v>
      </c>
      <c r="G202" s="26">
        <f>data!AW60</f>
        <v>0</v>
      </c>
      <c r="H202" s="26">
        <f>data!AX60</f>
        <v>0</v>
      </c>
      <c r="I202" s="26">
        <f>data!AY60</f>
        <v>0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2665524.46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697992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8980232.3000000007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-554340.69999999995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9607.6200000000008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4098576.911400002</v>
      </c>
      <c r="G208" s="14">
        <f>data!AW66</f>
        <v>0</v>
      </c>
      <c r="H208" s="14">
        <f>data!AX66</f>
        <v>2285.6268999999998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54973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991383.83000000007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3147937.02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-4922703.41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15169183.031400003</v>
      </c>
      <c r="G213" s="14">
        <f>data!AW71</f>
        <v>0</v>
      </c>
      <c r="H213" s="14">
        <f>data!AX71</f>
        <v>2285.6268999999998</v>
      </c>
      <c r="I213" s="14">
        <f>data!AY71</f>
        <v>0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3421214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2142562.42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1829886.01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3972448.4299999997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1394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547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14737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3.32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St.Joseph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1456766</v>
      </c>
      <c r="D233" s="14">
        <f>data!BA59</f>
        <v>0</v>
      </c>
      <c r="E233" s="212"/>
      <c r="F233" s="212"/>
      <c r="G233" s="212"/>
      <c r="H233" s="14">
        <f>data!BE59</f>
        <v>888995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115.19</v>
      </c>
      <c r="D234" s="26">
        <f>data!BA60</f>
        <v>4.09</v>
      </c>
      <c r="E234" s="26">
        <f>data!BB60</f>
        <v>0</v>
      </c>
      <c r="F234" s="26">
        <f>data!BC60</f>
        <v>25.48</v>
      </c>
      <c r="G234" s="26">
        <f>data!BD60</f>
        <v>0</v>
      </c>
      <c r="H234" s="26">
        <f>data!BE60</f>
        <v>19.829999999999998</v>
      </c>
      <c r="I234" s="26">
        <f>data!BF60</f>
        <v>85.25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4871532.8500000006</v>
      </c>
      <c r="D235" s="14">
        <f>data!BA61</f>
        <v>156339.29000000004</v>
      </c>
      <c r="E235" s="14">
        <f>data!BB61</f>
        <v>0</v>
      </c>
      <c r="F235" s="14">
        <f>data!BC61</f>
        <v>1025606.14</v>
      </c>
      <c r="G235" s="14">
        <f>data!BD61</f>
        <v>0</v>
      </c>
      <c r="H235" s="14">
        <f>data!BE61</f>
        <v>1256549.3799999999</v>
      </c>
      <c r="I235" s="14">
        <f>data!BF61</f>
        <v>3630360.9500000007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1973854</v>
      </c>
      <c r="D236" s="14">
        <f>data!BA62</f>
        <v>67916</v>
      </c>
      <c r="E236" s="14">
        <f>data!BB62</f>
        <v>0</v>
      </c>
      <c r="F236" s="14">
        <f>data!BC62</f>
        <v>433488</v>
      </c>
      <c r="G236" s="14">
        <f>data!BD62</f>
        <v>0</v>
      </c>
      <c r="H236" s="14">
        <f>data!BE62</f>
        <v>391565</v>
      </c>
      <c r="I236" s="14">
        <f>data!BF62</f>
        <v>1465668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2866187.1599999992</v>
      </c>
      <c r="D238" s="14">
        <f>data!BA64</f>
        <v>10349.48</v>
      </c>
      <c r="E238" s="14">
        <f>data!BB64</f>
        <v>0</v>
      </c>
      <c r="F238" s="14">
        <f>data!BC64</f>
        <v>16191.86</v>
      </c>
      <c r="G238" s="14">
        <f>data!BD64</f>
        <v>0</v>
      </c>
      <c r="H238" s="14">
        <f>data!BE64</f>
        <v>44087.729999999996</v>
      </c>
      <c r="I238" s="14">
        <f>data!BF64</f>
        <v>547683.61999999988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2904.71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3376071.87</v>
      </c>
      <c r="I239" s="14">
        <f>data!BF65</f>
        <v>2297.0299999999997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1972006.8800000004</v>
      </c>
      <c r="D240" s="14">
        <f>data!BA66</f>
        <v>6618.6200000000008</v>
      </c>
      <c r="E240" s="14">
        <f>data!BB66</f>
        <v>0</v>
      </c>
      <c r="F240" s="14">
        <f>data!BC66</f>
        <v>109.42</v>
      </c>
      <c r="G240" s="14">
        <f>data!BD66</f>
        <v>0</v>
      </c>
      <c r="H240" s="14">
        <f>data!BE66</f>
        <v>18900967.4322</v>
      </c>
      <c r="I240" s="14">
        <f>data!BF66</f>
        <v>856342.8899999999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517697</v>
      </c>
      <c r="D241" s="14">
        <f>data!BA67</f>
        <v>57201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3373487</v>
      </c>
      <c r="I241" s="14">
        <f>data!BF67</f>
        <v>63752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98711.98000000001</v>
      </c>
      <c r="D242" s="14">
        <f>data!BA68</f>
        <v>29.51</v>
      </c>
      <c r="E242" s="14">
        <f>data!BB68</f>
        <v>0</v>
      </c>
      <c r="F242" s="14">
        <f>data!BC68</f>
        <v>1851.12</v>
      </c>
      <c r="G242" s="14">
        <f>data!BD68</f>
        <v>0</v>
      </c>
      <c r="H242" s="14">
        <f>data!BE68</f>
        <v>2440647.35</v>
      </c>
      <c r="I242" s="14">
        <f>data!BF68</f>
        <v>3718.32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134325.93</v>
      </c>
      <c r="D243" s="14">
        <f>data!BA69</f>
        <v>0</v>
      </c>
      <c r="E243" s="14">
        <f>data!BB69</f>
        <v>0</v>
      </c>
      <c r="F243" s="14">
        <f>data!BC69</f>
        <v>1183.19</v>
      </c>
      <c r="G243" s="14">
        <f>data!BD69</f>
        <v>0</v>
      </c>
      <c r="H243" s="14">
        <f>data!BE69</f>
        <v>412579.61000000004</v>
      </c>
      <c r="I243" s="14">
        <f>data!BF69</f>
        <v>5019.7700000000004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-3722106.5100000002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-4112.4399999999996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8715114.0000000019</v>
      </c>
      <c r="D245" s="14">
        <f>data!BA71</f>
        <v>298453.90000000002</v>
      </c>
      <c r="E245" s="14">
        <f>data!BB71</f>
        <v>0</v>
      </c>
      <c r="F245" s="14">
        <f>data!BC71</f>
        <v>1478429.7300000002</v>
      </c>
      <c r="G245" s="14">
        <f>data!BD71</f>
        <v>0</v>
      </c>
      <c r="H245" s="14">
        <f>data!BE71</f>
        <v>30191842.9322</v>
      </c>
      <c r="I245" s="14">
        <f>data!BF71</f>
        <v>6574842.580000001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19038</v>
      </c>
      <c r="D252" s="85">
        <f>data!BA76</f>
        <v>4244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174493</v>
      </c>
      <c r="I252" s="85">
        <f>data!BF76</f>
        <v>2066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1666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St.Joseph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2.83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115885.51999999999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48024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262532.34000000003</v>
      </c>
      <c r="F270" s="14">
        <f>data!BJ64</f>
        <v>0</v>
      </c>
      <c r="G270" s="14">
        <f>data!BK64</f>
        <v>0</v>
      </c>
      <c r="H270" s="14">
        <f>data!BL64</f>
        <v>25614.140000000007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0.43</v>
      </c>
      <c r="F271" s="14">
        <f>data!BJ65</f>
        <v>0</v>
      </c>
      <c r="G271" s="14">
        <f>data!BK65</f>
        <v>0</v>
      </c>
      <c r="H271" s="14">
        <f>data!BL65</f>
        <v>335.16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110463.8404</v>
      </c>
      <c r="D272" s="14">
        <f>data!BH66</f>
        <v>-698446.68900000001</v>
      </c>
      <c r="E272" s="14">
        <f>data!BI66</f>
        <v>803.11</v>
      </c>
      <c r="F272" s="14">
        <f>data!BJ66</f>
        <v>1938000.52489797</v>
      </c>
      <c r="G272" s="14">
        <f>data!BK66</f>
        <v>7339247.2191812899</v>
      </c>
      <c r="H272" s="14">
        <f>data!BL66</f>
        <v>7725465.4680751804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18038</v>
      </c>
      <c r="F273" s="14">
        <f>data!BJ67</f>
        <v>0</v>
      </c>
      <c r="G273" s="14">
        <f>data!BK67</f>
        <v>0</v>
      </c>
      <c r="H273" s="14">
        <f>data!BL67</f>
        <v>241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15809.16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2639.12</v>
      </c>
      <c r="F275" s="14">
        <f>data!BJ69</f>
        <v>0</v>
      </c>
      <c r="G275" s="14">
        <f>data!BK69</f>
        <v>0</v>
      </c>
      <c r="H275" s="14">
        <f>data!BL69</f>
        <v>7329.33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-518029.94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110463.8404</v>
      </c>
      <c r="D277" s="14">
        <f>data!BH71</f>
        <v>-698446.68900000001</v>
      </c>
      <c r="E277" s="14">
        <f>data!BI71</f>
        <v>-70107.420000000042</v>
      </c>
      <c r="F277" s="14">
        <f>data!BJ71</f>
        <v>1938000.52489797</v>
      </c>
      <c r="G277" s="14">
        <f>data!BK71</f>
        <v>7339247.2191812899</v>
      </c>
      <c r="H277" s="14">
        <f>data!BL71</f>
        <v>7774794.2580751805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1333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51363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523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St.Joseph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65.08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3.53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5416725.7699999996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-5657.13</v>
      </c>
      <c r="H299" s="14">
        <f>data!BS61</f>
        <v>0</v>
      </c>
      <c r="I299" s="14">
        <f>data!BT61</f>
        <v>230257.16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1371020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13</v>
      </c>
      <c r="H300" s="14">
        <f>data!BS62</f>
        <v>0</v>
      </c>
      <c r="I300" s="14">
        <f>data!BT62</f>
        <v>71137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179600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-5920.8599999999869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320.71999999999997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963.29000000000008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14590971.008752607</v>
      </c>
      <c r="D304" s="14">
        <f>data!BO66</f>
        <v>1067275.4931999999</v>
      </c>
      <c r="E304" s="14">
        <f>data!BP66</f>
        <v>1399108.6538</v>
      </c>
      <c r="F304" s="14">
        <f>data!BQ66</f>
        <v>0</v>
      </c>
      <c r="G304" s="14">
        <f>data!BR66</f>
        <v>4204371.2534999996</v>
      </c>
      <c r="H304" s="14">
        <f>data!BS66</f>
        <v>52.155200000000001</v>
      </c>
      <c r="I304" s="14">
        <f>data!BT66</f>
        <v>77535.00910000001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2735158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225109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82284.510000000009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429312.37999999989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-196.25</v>
      </c>
      <c r="H307" s="14">
        <f>data!BS69</f>
        <v>0</v>
      </c>
      <c r="I307" s="14">
        <f>data!BT69</f>
        <v>16833.129999999997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3429192.7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-13250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28229306.798752606</v>
      </c>
      <c r="D309" s="14">
        <f>data!BO71</f>
        <v>1067275.4931999999</v>
      </c>
      <c r="E309" s="14">
        <f>data!BP71</f>
        <v>1399108.6538</v>
      </c>
      <c r="F309" s="14">
        <f>data!BQ71</f>
        <v>0</v>
      </c>
      <c r="G309" s="14">
        <f>data!BR71</f>
        <v>4423639.8734999998</v>
      </c>
      <c r="H309" s="14">
        <f>data!BS71</f>
        <v>52.155200000000001</v>
      </c>
      <c r="I309" s="14">
        <f>data!BT71</f>
        <v>382833.01910000003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201284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16702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St.Joseph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39.54</v>
      </c>
      <c r="H330" s="26">
        <f>data!BZ60</f>
        <v>0</v>
      </c>
      <c r="I330" s="26">
        <f>data!CA60</f>
        <v>6.68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3719665.1900000004</v>
      </c>
      <c r="H331" s="86">
        <f>data!BZ61</f>
        <v>0</v>
      </c>
      <c r="I331" s="86">
        <f>data!CA61</f>
        <v>670484.05000000005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928071</v>
      </c>
      <c r="H332" s="86">
        <f>data!BZ62</f>
        <v>0</v>
      </c>
      <c r="I332" s="86">
        <f>data!CA62</f>
        <v>162870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3437.8399999999997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5525.58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125375.68770000001</v>
      </c>
      <c r="D336" s="86">
        <f>data!BV66</f>
        <v>10514209.689107802</v>
      </c>
      <c r="E336" s="86">
        <f>data!BW66</f>
        <v>1300871.7238059998</v>
      </c>
      <c r="F336" s="86">
        <f>data!BX66</f>
        <v>5362295.0302633392</v>
      </c>
      <c r="G336" s="86">
        <f>data!BY66</f>
        <v>621047.81239999994</v>
      </c>
      <c r="H336" s="86">
        <f>data!BZ66</f>
        <v>0</v>
      </c>
      <c r="I336" s="86">
        <f>data!CA66</f>
        <v>1518040.0145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127434</v>
      </c>
      <c r="E337" s="86">
        <f>data!BW67</f>
        <v>0</v>
      </c>
      <c r="F337" s="86">
        <f>data!BX67</f>
        <v>0</v>
      </c>
      <c r="G337" s="86">
        <f>data!BY67</f>
        <v>136627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5141.4399999999996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3431.7999999999997</v>
      </c>
      <c r="H339" s="86">
        <f>data!BZ69</f>
        <v>0</v>
      </c>
      <c r="I339" s="86">
        <f>data!CA69</f>
        <v>135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125375.68770000001</v>
      </c>
      <c r="D341" s="14">
        <f>data!BV71</f>
        <v>10641643.689107802</v>
      </c>
      <c r="E341" s="14">
        <f>data!BW71</f>
        <v>1300871.7238059998</v>
      </c>
      <c r="F341" s="14">
        <f>data!BX71</f>
        <v>5362295.0302633392</v>
      </c>
      <c r="G341" s="14">
        <f>data!BY71</f>
        <v>5422947.6624000007</v>
      </c>
      <c r="H341" s="14">
        <f>data!BZ71</f>
        <v>0</v>
      </c>
      <c r="I341" s="14">
        <f>data!CA71</f>
        <v>2351529.0645000003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9455</v>
      </c>
      <c r="E348" s="85">
        <f>data!BW76</f>
        <v>0</v>
      </c>
      <c r="F348" s="85">
        <f>data!BX76</f>
        <v>0</v>
      </c>
      <c r="G348" s="85">
        <f>data!BY76</f>
        <v>978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3711</v>
      </c>
      <c r="E350" s="85">
        <f>data!BW78</f>
        <v>0</v>
      </c>
      <c r="F350" s="85">
        <f>data!BX78</f>
        <v>0</v>
      </c>
      <c r="G350" s="85">
        <f>data!BY78</f>
        <v>340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St.Joseph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1.18</v>
      </c>
      <c r="D362" s="26">
        <f>data!CC60</f>
        <v>0.06</v>
      </c>
      <c r="E362" s="217"/>
      <c r="F362" s="211"/>
      <c r="G362" s="211"/>
      <c r="H362" s="211"/>
      <c r="I362" s="87">
        <f>data!CE60</f>
        <v>2586.75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87161.330000000016</v>
      </c>
      <c r="D363" s="86">
        <f>data!CC61</f>
        <v>-392862.5199999999</v>
      </c>
      <c r="E363" s="218"/>
      <c r="F363" s="219"/>
      <c r="G363" s="219"/>
      <c r="H363" s="219"/>
      <c r="I363" s="86">
        <f>data!CE61</f>
        <v>202320421.93000001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24742</v>
      </c>
      <c r="D364" s="86">
        <f>data!CC62</f>
        <v>-129126</v>
      </c>
      <c r="E364" s="218"/>
      <c r="F364" s="219"/>
      <c r="G364" s="219"/>
      <c r="H364" s="219"/>
      <c r="I364" s="86">
        <f>data!CE62</f>
        <v>55147028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25913592.530000001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4363.8</v>
      </c>
      <c r="D366" s="86">
        <f>data!CC64</f>
        <v>6367.89</v>
      </c>
      <c r="E366" s="218"/>
      <c r="F366" s="219"/>
      <c r="G366" s="219"/>
      <c r="H366" s="219"/>
      <c r="I366" s="86">
        <f>data!CE64</f>
        <v>105118212.06000003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4016111.89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155964.64440000002</v>
      </c>
      <c r="D368" s="86">
        <f>data!CC66</f>
        <v>47677759.876194783</v>
      </c>
      <c r="E368" s="218"/>
      <c r="F368" s="219"/>
      <c r="G368" s="219"/>
      <c r="H368" s="219"/>
      <c r="I368" s="86">
        <f>data!CE66</f>
        <v>170309156.61234921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25742702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-21.46</v>
      </c>
      <c r="D370" s="86">
        <f>data!CC68</f>
        <v>0</v>
      </c>
      <c r="E370" s="218"/>
      <c r="F370" s="219"/>
      <c r="G370" s="219"/>
      <c r="H370" s="219"/>
      <c r="I370" s="86">
        <f>data!CE68</f>
        <v>8769115.290000001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5162.21</v>
      </c>
      <c r="D371" s="86">
        <f>data!CC69</f>
        <v>1021244.49</v>
      </c>
      <c r="E371" s="86">
        <f>data!CD69</f>
        <v>33031680.609999999</v>
      </c>
      <c r="F371" s="219"/>
      <c r="G371" s="219"/>
      <c r="H371" s="219"/>
      <c r="I371" s="86">
        <f>data!CE69</f>
        <v>43159105.600000001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-115573.89</v>
      </c>
      <c r="D372" s="14">
        <f>-data!CC70</f>
        <v>-10000</v>
      </c>
      <c r="E372" s="228">
        <f>data!CD70</f>
        <v>0</v>
      </c>
      <c r="F372" s="220"/>
      <c r="G372" s="220"/>
      <c r="H372" s="220"/>
      <c r="I372" s="14">
        <f>-data!CE70</f>
        <v>-25035967.310000006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161798.63440000004</v>
      </c>
      <c r="D373" s="86">
        <f>data!CC71</f>
        <v>48173383.736194782</v>
      </c>
      <c r="E373" s="86">
        <f>data!CD71</f>
        <v>33031680.609999999</v>
      </c>
      <c r="F373" s="219"/>
      <c r="G373" s="219"/>
      <c r="H373" s="219"/>
      <c r="I373" s="14">
        <f>data!CE71</f>
        <v>615459478.60234928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1720086575.4099996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1110091781.71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2830178357.1199994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888995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577277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177316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2703465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871.99999999999989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7" transitionEvaluation="1" transitionEntry="1" codeName="Sheet10">
    <pageSetUpPr autoPageBreaks="0" fitToPage="1"/>
  </sheetPr>
  <dimension ref="A1:CF817"/>
  <sheetViews>
    <sheetView showGridLines="0" topLeftCell="A37" zoomScale="85" zoomScaleNormal="85" workbookViewId="0">
      <selection activeCell="E78" sqref="E78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1" t="s">
        <v>1259</v>
      </c>
    </row>
    <row r="17" spans="1:6" ht="12.75" customHeight="1" x14ac:dyDescent="0.25">
      <c r="A17" s="180" t="s">
        <v>1230</v>
      </c>
      <c r="C17" s="281" t="s">
        <v>1259</v>
      </c>
    </row>
    <row r="18" spans="1:6" ht="12.75" customHeight="1" x14ac:dyDescent="0.25">
      <c r="A18" s="227"/>
      <c r="C18" s="235"/>
    </row>
    <row r="19" spans="1:6" ht="12.75" customHeight="1" x14ac:dyDescent="0.25">
      <c r="C19" s="235"/>
    </row>
    <row r="20" spans="1:6" ht="12.75" customHeight="1" x14ac:dyDescent="0.2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60808069.459999993</v>
      </c>
      <c r="C47" s="184">
        <v>4140513.48</v>
      </c>
      <c r="D47" s="184">
        <v>0</v>
      </c>
      <c r="E47" s="184">
        <v>8540164.9299999997</v>
      </c>
      <c r="F47" s="184">
        <v>0</v>
      </c>
      <c r="G47" s="184">
        <v>1129780.3700000001</v>
      </c>
      <c r="H47" s="184">
        <v>1199381.56</v>
      </c>
      <c r="I47" s="184">
        <v>0</v>
      </c>
      <c r="J47" s="184">
        <v>1174995</v>
      </c>
      <c r="K47" s="184">
        <v>0</v>
      </c>
      <c r="L47" s="184">
        <v>0</v>
      </c>
      <c r="M47" s="184">
        <v>0</v>
      </c>
      <c r="N47" s="184">
        <v>0</v>
      </c>
      <c r="O47" s="184">
        <v>3234359.86</v>
      </c>
      <c r="P47" s="184">
        <v>5032951</v>
      </c>
      <c r="Q47" s="184">
        <v>542550.23</v>
      </c>
      <c r="R47" s="184">
        <v>0</v>
      </c>
      <c r="S47" s="184">
        <v>1206332.8</v>
      </c>
      <c r="T47" s="184">
        <v>383224.35</v>
      </c>
      <c r="U47" s="184">
        <v>4174368.43</v>
      </c>
      <c r="V47" s="184">
        <v>0</v>
      </c>
      <c r="W47" s="184">
        <v>0</v>
      </c>
      <c r="X47" s="184">
        <v>221562.18</v>
      </c>
      <c r="Y47" s="184">
        <v>1568424.5799999996</v>
      </c>
      <c r="Z47" s="184">
        <v>0</v>
      </c>
      <c r="AA47" s="184">
        <v>140747.13</v>
      </c>
      <c r="AB47" s="184">
        <v>2367206.8499999996</v>
      </c>
      <c r="AC47" s="184">
        <v>672359.61</v>
      </c>
      <c r="AD47" s="184">
        <v>1554614.26</v>
      </c>
      <c r="AE47" s="184">
        <v>1043447.88</v>
      </c>
      <c r="AF47" s="184">
        <v>0</v>
      </c>
      <c r="AG47" s="184">
        <v>2087195.53</v>
      </c>
      <c r="AH47" s="184">
        <v>0</v>
      </c>
      <c r="AI47" s="184">
        <v>3259731.52</v>
      </c>
      <c r="AJ47" s="184">
        <v>1038758.26</v>
      </c>
      <c r="AK47" s="184">
        <v>485291.19999999995</v>
      </c>
      <c r="AL47" s="184">
        <v>132240.87</v>
      </c>
      <c r="AM47" s="184">
        <v>0</v>
      </c>
      <c r="AN47" s="184">
        <v>0</v>
      </c>
      <c r="AO47" s="184">
        <v>0</v>
      </c>
      <c r="AP47" s="184">
        <v>913490.89</v>
      </c>
      <c r="AQ47" s="184">
        <v>0</v>
      </c>
      <c r="AR47" s="184">
        <v>6902534.46</v>
      </c>
      <c r="AS47" s="184">
        <v>0</v>
      </c>
      <c r="AT47" s="184">
        <v>0</v>
      </c>
      <c r="AU47" s="184">
        <v>0</v>
      </c>
      <c r="AV47" s="184">
        <v>750147.64999999991</v>
      </c>
      <c r="AW47" s="184">
        <v>0</v>
      </c>
      <c r="AX47" s="184">
        <v>0</v>
      </c>
      <c r="AY47" s="184">
        <v>0</v>
      </c>
      <c r="AZ47" s="184">
        <v>2062963.4100000001</v>
      </c>
      <c r="BA47" s="184">
        <v>0</v>
      </c>
      <c r="BB47" s="184">
        <v>0</v>
      </c>
      <c r="BC47" s="184">
        <v>466019.33</v>
      </c>
      <c r="BD47" s="184">
        <v>0</v>
      </c>
      <c r="BE47" s="184">
        <v>405066.23</v>
      </c>
      <c r="BF47" s="184">
        <v>1695555.24</v>
      </c>
      <c r="BG47" s="184">
        <v>0</v>
      </c>
      <c r="BH47" s="184">
        <v>0</v>
      </c>
      <c r="BI47" s="184">
        <v>46830.58</v>
      </c>
      <c r="BJ47" s="184">
        <v>0</v>
      </c>
      <c r="BK47" s="184">
        <v>0</v>
      </c>
      <c r="BL47" s="184">
        <v>0</v>
      </c>
      <c r="BM47" s="184">
        <v>0</v>
      </c>
      <c r="BN47" s="184">
        <v>888179.54</v>
      </c>
      <c r="BO47" s="184">
        <v>9741.93</v>
      </c>
      <c r="BP47" s="184">
        <v>0</v>
      </c>
      <c r="BQ47" s="184">
        <v>0</v>
      </c>
      <c r="BR47" s="184">
        <v>813.25999999944906</v>
      </c>
      <c r="BS47" s="184">
        <v>0</v>
      </c>
      <c r="BT47" s="184">
        <v>79807.540000000008</v>
      </c>
      <c r="BU47" s="184">
        <v>0</v>
      </c>
      <c r="BV47" s="184">
        <v>0</v>
      </c>
      <c r="BW47" s="184">
        <v>0</v>
      </c>
      <c r="BX47" s="184">
        <v>0</v>
      </c>
      <c r="BY47" s="184">
        <v>567634.49</v>
      </c>
      <c r="BZ47" s="184">
        <v>0</v>
      </c>
      <c r="CA47" s="184">
        <v>178697.35</v>
      </c>
      <c r="CB47" s="184">
        <v>30253.4</v>
      </c>
      <c r="CC47" s="184">
        <v>480133.08</v>
      </c>
      <c r="CD47" s="195"/>
      <c r="CE47" s="195">
        <f>SUM(C47:CC47)</f>
        <v>60808070.259999998</v>
      </c>
    </row>
    <row r="48" spans="1:83" ht="12.6" customHeight="1" x14ac:dyDescent="0.25">
      <c r="A48" s="175" t="s">
        <v>205</v>
      </c>
      <c r="B48" s="183"/>
      <c r="C48" s="244">
        <f>ROUND(((B48/CE61)*C61),0)</f>
        <v>0</v>
      </c>
      <c r="D48" s="244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60808069.459999993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10457165.409999996</v>
      </c>
      <c r="C51" s="184">
        <v>499399.38000000012</v>
      </c>
      <c r="D51" s="184">
        <v>0</v>
      </c>
      <c r="E51" s="184">
        <v>1121225.94</v>
      </c>
      <c r="F51" s="184">
        <v>0</v>
      </c>
      <c r="G51" s="184">
        <v>67364.990000000005</v>
      </c>
      <c r="H51" s="184">
        <v>186456.37999999998</v>
      </c>
      <c r="I51" s="184">
        <v>0</v>
      </c>
      <c r="J51" s="184">
        <v>180227.28</v>
      </c>
      <c r="K51" s="184">
        <v>0</v>
      </c>
      <c r="L51" s="184">
        <v>0</v>
      </c>
      <c r="M51" s="184">
        <v>0</v>
      </c>
      <c r="N51" s="184">
        <v>0</v>
      </c>
      <c r="O51" s="184">
        <v>285962.33999999997</v>
      </c>
      <c r="P51" s="184">
        <v>4034971.94</v>
      </c>
      <c r="Q51" s="184">
        <v>32262.71</v>
      </c>
      <c r="R51" s="184">
        <v>0</v>
      </c>
      <c r="S51" s="184">
        <v>134476.15</v>
      </c>
      <c r="T51" s="184">
        <v>17195.39</v>
      </c>
      <c r="U51" s="184">
        <v>221433.82</v>
      </c>
      <c r="V51" s="184">
        <v>135318.35</v>
      </c>
      <c r="W51" s="184">
        <v>0</v>
      </c>
      <c r="X51" s="184">
        <v>37951.51</v>
      </c>
      <c r="Y51" s="184">
        <v>226976.01000000007</v>
      </c>
      <c r="Z51" s="184">
        <v>0</v>
      </c>
      <c r="AA51" s="184">
        <v>14997.44</v>
      </c>
      <c r="AB51" s="184">
        <v>529914.02</v>
      </c>
      <c r="AC51" s="184">
        <v>138357.62</v>
      </c>
      <c r="AD51" s="184">
        <v>326161.07</v>
      </c>
      <c r="AE51" s="184">
        <v>19186.609999999997</v>
      </c>
      <c r="AF51" s="184">
        <v>0</v>
      </c>
      <c r="AG51" s="184">
        <v>195979.58000000002</v>
      </c>
      <c r="AH51" s="184">
        <v>0</v>
      </c>
      <c r="AI51" s="184">
        <v>30367.899999999998</v>
      </c>
      <c r="AJ51" s="184">
        <v>280208.4599999999</v>
      </c>
      <c r="AK51" s="184">
        <v>4944.8</v>
      </c>
      <c r="AL51" s="184">
        <v>70.77</v>
      </c>
      <c r="AM51" s="184">
        <v>0</v>
      </c>
      <c r="AN51" s="184">
        <v>0</v>
      </c>
      <c r="AO51" s="184">
        <v>0</v>
      </c>
      <c r="AP51" s="184">
        <v>277812.90999999997</v>
      </c>
      <c r="AQ51" s="184">
        <v>0</v>
      </c>
      <c r="AR51" s="184">
        <v>106600.03</v>
      </c>
      <c r="AS51" s="184">
        <v>0</v>
      </c>
      <c r="AT51" s="184">
        <v>0</v>
      </c>
      <c r="AU51" s="184">
        <v>0</v>
      </c>
      <c r="AV51" s="184">
        <v>37902.549999999996</v>
      </c>
      <c r="AW51" s="184">
        <v>0</v>
      </c>
      <c r="AX51" s="184">
        <v>0</v>
      </c>
      <c r="AY51" s="184">
        <v>0</v>
      </c>
      <c r="AZ51" s="184">
        <v>228274.40999999997</v>
      </c>
      <c r="BA51" s="184">
        <v>11432.77</v>
      </c>
      <c r="BB51" s="184">
        <v>0</v>
      </c>
      <c r="BC51" s="184">
        <v>0</v>
      </c>
      <c r="BD51" s="184">
        <v>0</v>
      </c>
      <c r="BE51" s="184">
        <v>904881.24</v>
      </c>
      <c r="BF51" s="184">
        <v>42607.98</v>
      </c>
      <c r="BG51" s="184">
        <v>0</v>
      </c>
      <c r="BH51" s="184">
        <v>0</v>
      </c>
      <c r="BI51" s="184">
        <v>71.64</v>
      </c>
      <c r="BJ51" s="184">
        <v>0</v>
      </c>
      <c r="BK51" s="184">
        <v>0</v>
      </c>
      <c r="BL51" s="184">
        <v>241.48</v>
      </c>
      <c r="BM51" s="184">
        <v>0</v>
      </c>
      <c r="BN51" s="184">
        <v>3498.01</v>
      </c>
      <c r="BO51" s="184">
        <v>746.88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121684.89</v>
      </c>
      <c r="BZ51" s="184">
        <v>0</v>
      </c>
      <c r="CA51" s="184">
        <v>0</v>
      </c>
      <c r="CB51" s="184">
        <v>0</v>
      </c>
      <c r="CC51" s="184">
        <v>0</v>
      </c>
      <c r="CD51" s="195"/>
      <c r="CE51" s="195">
        <f>SUM(C51:CD51)</f>
        <v>10457165.250000004</v>
      </c>
    </row>
    <row r="52" spans="1:84" ht="12.6" customHeight="1" x14ac:dyDescent="0.25">
      <c r="A52" s="171" t="s">
        <v>208</v>
      </c>
      <c r="B52" s="184">
        <v>10815566.159999998</v>
      </c>
      <c r="C52" s="195">
        <f>ROUND((B52/(CE76+CF76)*C76),0)</f>
        <v>253383</v>
      </c>
      <c r="D52" s="195">
        <f>ROUND((B52/(CE76+CF76)*D76),0)</f>
        <v>0</v>
      </c>
      <c r="E52" s="195">
        <f>ROUND((B52/(CE76+CF76)*E76),0)</f>
        <v>1143305</v>
      </c>
      <c r="F52" s="195">
        <f>ROUND((B52/(CE76+CF76)*F76),0)</f>
        <v>0</v>
      </c>
      <c r="G52" s="195">
        <f>ROUND((B52/(CE76+CF76)*G76),0)</f>
        <v>246983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30683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214354</v>
      </c>
      <c r="P52" s="195">
        <f>ROUND((B52/(CE76+CF76)*P76),0)</f>
        <v>1070881</v>
      </c>
      <c r="Q52" s="195">
        <f>ROUND((B52/(CE76+CF76)*Q76),0)</f>
        <v>28821</v>
      </c>
      <c r="R52" s="195">
        <f>ROUND((B52/(CE76+CF76)*R76),0)</f>
        <v>0</v>
      </c>
      <c r="S52" s="195">
        <f>ROUND((B52/(CE76+CF76)*S76),0)</f>
        <v>212188</v>
      </c>
      <c r="T52" s="195">
        <f>ROUND((B52/(CE76+CF76)*T76),0)</f>
        <v>0</v>
      </c>
      <c r="U52" s="195">
        <f>ROUND((B52/(CE76+CF76)*U76),0)</f>
        <v>229136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565770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233467</v>
      </c>
      <c r="AC52" s="195">
        <f>ROUND((B52/(CE76+CF76)*AC76),0)</f>
        <v>11935</v>
      </c>
      <c r="AD52" s="195">
        <f>ROUND((B52/(CE76+CF76)*AD76),0)</f>
        <v>489355</v>
      </c>
      <c r="AE52" s="195">
        <f>ROUND((B52/(CE76+CF76)*AE76),0)</f>
        <v>158086</v>
      </c>
      <c r="AF52" s="195">
        <f>ROUND((B52/(CE76+CF76)*AF76),0)</f>
        <v>0</v>
      </c>
      <c r="AG52" s="195">
        <f>ROUND((B52/(CE76+CF76)*AG76),0)</f>
        <v>245535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255718</v>
      </c>
      <c r="AK52" s="195">
        <f>ROUND((B52/(CE76+CF76)*AK76),0)</f>
        <v>70746</v>
      </c>
      <c r="AL52" s="195">
        <f>ROUND((B52/(CE76+CF76)*AL76),0)</f>
        <v>50745</v>
      </c>
      <c r="AM52" s="195">
        <f>ROUND((B52/(CE76+CF76)*AM76),0)</f>
        <v>0</v>
      </c>
      <c r="AN52" s="195">
        <f>ROUND((B52/(CE76+CF76)*AN76),0)</f>
        <v>40270</v>
      </c>
      <c r="AO52" s="195">
        <f>ROUND((B52/(CE76+CF76)*AO76),0)</f>
        <v>0</v>
      </c>
      <c r="AP52" s="195">
        <f>ROUND((B52/(CE76+CF76)*AP76),0)</f>
        <v>20792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16959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231617</v>
      </c>
      <c r="BA52" s="195">
        <f>ROUND((B52/(CE76+CF76)*BA76),0)</f>
        <v>51633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2122892</v>
      </c>
      <c r="BF52" s="195">
        <f>ROUND((B52/(CE76+CF76)*BF76),0)</f>
        <v>25135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16217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2448833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203198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115030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11898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10815565</v>
      </c>
    </row>
    <row r="53" spans="1:84" ht="12.6" customHeight="1" x14ac:dyDescent="0.25">
      <c r="A53" s="175" t="s">
        <v>206</v>
      </c>
      <c r="B53" s="195">
        <f>B51+B52</f>
        <v>21272731.569999993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>
        <f>5641+18247</f>
        <v>23888</v>
      </c>
      <c r="D59" s="184"/>
      <c r="E59" s="184">
        <v>71992</v>
      </c>
      <c r="F59" s="184"/>
      <c r="G59" s="184">
        <v>7712</v>
      </c>
      <c r="H59" s="184">
        <v>7600</v>
      </c>
      <c r="I59" s="184"/>
      <c r="J59" s="184">
        <v>11071</v>
      </c>
      <c r="K59" s="184"/>
      <c r="L59" s="184"/>
      <c r="M59" s="184"/>
      <c r="N59" s="184"/>
      <c r="O59" s="184">
        <v>20325</v>
      </c>
      <c r="P59" s="185">
        <v>4119106</v>
      </c>
      <c r="Q59" s="185">
        <v>1241535</v>
      </c>
      <c r="R59" s="185"/>
      <c r="S59" s="247"/>
      <c r="T59" s="247"/>
      <c r="U59" s="224">
        <v>3078895</v>
      </c>
      <c r="V59" s="185"/>
      <c r="W59" s="185"/>
      <c r="X59" s="185">
        <v>82838</v>
      </c>
      <c r="Y59" s="185">
        <v>1203618</v>
      </c>
      <c r="Z59" s="185"/>
      <c r="AA59" s="185">
        <v>38200</v>
      </c>
      <c r="AB59" s="247"/>
      <c r="AC59" s="185">
        <v>135774</v>
      </c>
      <c r="AD59" s="185">
        <v>0</v>
      </c>
      <c r="AE59" s="185">
        <v>177994</v>
      </c>
      <c r="AF59" s="185"/>
      <c r="AG59" s="185">
        <v>53547</v>
      </c>
      <c r="AH59" s="185"/>
      <c r="AI59" s="185">
        <v>15376</v>
      </c>
      <c r="AJ59" s="185">
        <v>24775</v>
      </c>
      <c r="AK59" s="185">
        <v>76973</v>
      </c>
      <c r="AL59" s="185">
        <v>8615</v>
      </c>
      <c r="AM59" s="185"/>
      <c r="AN59" s="185"/>
      <c r="AO59" s="185"/>
      <c r="AP59" s="185">
        <v>19698</v>
      </c>
      <c r="AQ59" s="185"/>
      <c r="AR59" s="185">
        <v>345775</v>
      </c>
      <c r="AS59" s="185"/>
      <c r="AT59" s="185"/>
      <c r="AU59" s="185"/>
      <c r="AV59" s="247"/>
      <c r="AW59" s="247"/>
      <c r="AX59" s="247"/>
      <c r="AY59" s="185">
        <v>611178</v>
      </c>
      <c r="AZ59" s="185">
        <f>2614409-611177</f>
        <v>2003232</v>
      </c>
      <c r="BA59" s="247"/>
      <c r="BB59" s="247"/>
      <c r="BC59" s="247"/>
      <c r="BD59" s="247"/>
      <c r="BE59" s="185">
        <v>888995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>
        <v>195.15</v>
      </c>
      <c r="D60" s="187"/>
      <c r="E60" s="187">
        <v>390.15</v>
      </c>
      <c r="F60" s="223"/>
      <c r="G60" s="187">
        <v>50.13</v>
      </c>
      <c r="H60" s="187">
        <v>33.72</v>
      </c>
      <c r="I60" s="187"/>
      <c r="J60" s="223">
        <v>48.7</v>
      </c>
      <c r="K60" s="187"/>
      <c r="L60" s="187"/>
      <c r="M60" s="187"/>
      <c r="N60" s="187"/>
      <c r="O60" s="187">
        <v>133.53</v>
      </c>
      <c r="P60" s="221">
        <v>249.03</v>
      </c>
      <c r="Q60" s="221">
        <v>11.04</v>
      </c>
      <c r="R60" s="221"/>
      <c r="S60" s="221">
        <v>38.68</v>
      </c>
      <c r="T60" s="221">
        <v>13.66</v>
      </c>
      <c r="U60" s="221">
        <v>94.7</v>
      </c>
      <c r="V60" s="221"/>
      <c r="W60" s="221"/>
      <c r="X60" s="221">
        <v>22.61</v>
      </c>
      <c r="Y60" s="221">
        <v>112.08</v>
      </c>
      <c r="Z60" s="221"/>
      <c r="AA60" s="221">
        <v>7.8</v>
      </c>
      <c r="AB60" s="221">
        <v>24.79</v>
      </c>
      <c r="AC60" s="221">
        <v>64.36</v>
      </c>
      <c r="AD60" s="221">
        <v>32.69</v>
      </c>
      <c r="AE60" s="221">
        <v>26.41</v>
      </c>
      <c r="AF60" s="221"/>
      <c r="AG60" s="221">
        <v>89.35</v>
      </c>
      <c r="AH60" s="221"/>
      <c r="AI60" s="221">
        <v>75.37</v>
      </c>
      <c r="AJ60" s="221">
        <v>78.91</v>
      </c>
      <c r="AK60" s="221">
        <v>19.53</v>
      </c>
      <c r="AL60" s="221">
        <v>9.99</v>
      </c>
      <c r="AM60" s="221"/>
      <c r="AN60" s="221"/>
      <c r="AO60" s="221"/>
      <c r="AP60" s="221">
        <v>52.03</v>
      </c>
      <c r="AQ60" s="221"/>
      <c r="AR60" s="221">
        <v>35.93</v>
      </c>
      <c r="AS60" s="221"/>
      <c r="AT60" s="221"/>
      <c r="AU60" s="221"/>
      <c r="AV60" s="221">
        <v>365.14</v>
      </c>
      <c r="AW60" s="221"/>
      <c r="AX60" s="221"/>
      <c r="AY60" s="221"/>
      <c r="AZ60" s="221">
        <v>16.88</v>
      </c>
      <c r="BA60" s="221">
        <v>3.01</v>
      </c>
      <c r="BB60" s="221"/>
      <c r="BC60" s="221">
        <v>10.11</v>
      </c>
      <c r="BD60" s="221"/>
      <c r="BE60" s="221">
        <v>44.27</v>
      </c>
      <c r="BF60" s="221">
        <v>116.59</v>
      </c>
      <c r="BG60" s="221"/>
      <c r="BH60" s="221"/>
      <c r="BI60" s="221">
        <v>3.83</v>
      </c>
      <c r="BJ60" s="221"/>
      <c r="BK60" s="221"/>
      <c r="BL60" s="221"/>
      <c r="BM60" s="221"/>
      <c r="BN60" s="221">
        <f>216.71+6.26</f>
        <v>222.97</v>
      </c>
      <c r="BO60" s="221">
        <v>0.56999999999999995</v>
      </c>
      <c r="BP60" s="221"/>
      <c r="BQ60" s="221"/>
      <c r="BR60" s="221"/>
      <c r="BS60" s="221"/>
      <c r="BT60" s="221"/>
      <c r="BU60" s="221"/>
      <c r="BV60" s="221"/>
      <c r="BW60" s="221"/>
      <c r="BX60" s="221"/>
      <c r="BY60" s="221">
        <v>24.75</v>
      </c>
      <c r="BZ60" s="221"/>
      <c r="CA60" s="221">
        <v>7.15</v>
      </c>
      <c r="CB60" s="221">
        <f>-0.85</f>
        <v>-0.85</v>
      </c>
      <c r="CC60" s="221"/>
      <c r="CD60" s="248" t="s">
        <v>221</v>
      </c>
      <c r="CE60" s="250">
        <f t="shared" ref="CE60:CE70" si="0">SUM(C60:CD60)</f>
        <v>2724.7600000000007</v>
      </c>
    </row>
    <row r="61" spans="1:84" ht="12.6" customHeight="1" x14ac:dyDescent="0.25">
      <c r="A61" s="171" t="s">
        <v>235</v>
      </c>
      <c r="B61" s="175"/>
      <c r="C61" s="184">
        <v>15261779.35</v>
      </c>
      <c r="D61" s="184">
        <v>0</v>
      </c>
      <c r="E61" s="184">
        <v>28790564.799999997</v>
      </c>
      <c r="F61" s="184">
        <v>0</v>
      </c>
      <c r="G61" s="184">
        <v>3864707.8999999994</v>
      </c>
      <c r="H61" s="184">
        <v>4269380.330000001</v>
      </c>
      <c r="I61" s="184">
        <v>0</v>
      </c>
      <c r="J61" s="184">
        <v>4370737.3899999987</v>
      </c>
      <c r="K61" s="184">
        <v>0</v>
      </c>
      <c r="L61" s="184">
        <v>0</v>
      </c>
      <c r="M61" s="184">
        <v>0</v>
      </c>
      <c r="N61" s="184">
        <v>0</v>
      </c>
      <c r="O61" s="184">
        <v>11773146.18</v>
      </c>
      <c r="P61" s="184">
        <v>17972571.170000002</v>
      </c>
      <c r="Q61" s="184">
        <v>2073315.99</v>
      </c>
      <c r="R61" s="184">
        <v>0</v>
      </c>
      <c r="S61" s="184">
        <v>2804847.99</v>
      </c>
      <c r="T61" s="184">
        <v>1591593.21</v>
      </c>
      <c r="U61" s="184">
        <v>11764251.17</v>
      </c>
      <c r="V61" s="184">
        <v>0</v>
      </c>
      <c r="W61" s="184">
        <v>0</v>
      </c>
      <c r="X61" s="184">
        <v>797275.65</v>
      </c>
      <c r="Y61" s="184">
        <v>5514567.2300000004</v>
      </c>
      <c r="Z61" s="184">
        <v>0</v>
      </c>
      <c r="AA61" s="184">
        <v>527352.42000000004</v>
      </c>
      <c r="AB61" s="184">
        <v>8786532.6799999997</v>
      </c>
      <c r="AC61" s="184">
        <v>2285534.4500000007</v>
      </c>
      <c r="AD61" s="184">
        <v>6599567.0100000016</v>
      </c>
      <c r="AE61" s="184">
        <v>3869777.02</v>
      </c>
      <c r="AF61" s="184">
        <v>0</v>
      </c>
      <c r="AG61" s="184">
        <v>7005312.0799999991</v>
      </c>
      <c r="AH61" s="184">
        <v>0</v>
      </c>
      <c r="AI61" s="184">
        <v>10906658.73</v>
      </c>
      <c r="AJ61" s="184">
        <v>3635558.1799999992</v>
      </c>
      <c r="AK61" s="184">
        <v>1813944.86</v>
      </c>
      <c r="AL61" s="184">
        <v>464952.7099999999</v>
      </c>
      <c r="AM61" s="184">
        <v>0</v>
      </c>
      <c r="AN61" s="184">
        <v>0</v>
      </c>
      <c r="AO61" s="184">
        <v>0</v>
      </c>
      <c r="AP61" s="184">
        <v>3083838.8699999996</v>
      </c>
      <c r="AQ61" s="184">
        <v>0</v>
      </c>
      <c r="AR61" s="184">
        <v>24545395.68</v>
      </c>
      <c r="AS61" s="184">
        <v>0</v>
      </c>
      <c r="AT61" s="184">
        <v>0</v>
      </c>
      <c r="AU61" s="184">
        <v>0</v>
      </c>
      <c r="AV61" s="184">
        <v>9117491.5800000001</v>
      </c>
      <c r="AW61" s="184">
        <v>0</v>
      </c>
      <c r="AX61" s="184">
        <v>0</v>
      </c>
      <c r="AY61" s="184">
        <v>0</v>
      </c>
      <c r="AZ61" s="184">
        <v>4577528.4200000009</v>
      </c>
      <c r="BA61" s="184">
        <v>0</v>
      </c>
      <c r="BB61" s="184">
        <v>0</v>
      </c>
      <c r="BC61" s="184">
        <v>1010591.3899999999</v>
      </c>
      <c r="BD61" s="184">
        <v>0</v>
      </c>
      <c r="BE61" s="184">
        <v>1225850.6299999999</v>
      </c>
      <c r="BF61" s="184">
        <v>3764619.5000000005</v>
      </c>
      <c r="BG61" s="184">
        <v>0</v>
      </c>
      <c r="BH61" s="184">
        <v>0</v>
      </c>
      <c r="BI61" s="184">
        <v>95829.62999999999</v>
      </c>
      <c r="BJ61" s="184">
        <v>0</v>
      </c>
      <c r="BK61" s="184">
        <v>0</v>
      </c>
      <c r="BL61" s="184">
        <v>0</v>
      </c>
      <c r="BM61" s="184">
        <v>0</v>
      </c>
      <c r="BN61" s="184">
        <v>3487049.2300000004</v>
      </c>
      <c r="BO61" s="184">
        <v>35397.200000000004</v>
      </c>
      <c r="BP61" s="184">
        <v>0</v>
      </c>
      <c r="BQ61" s="184">
        <v>0</v>
      </c>
      <c r="BR61" s="184">
        <v>0</v>
      </c>
      <c r="BS61" s="184">
        <v>0</v>
      </c>
      <c r="BT61" s="184">
        <v>233831.61</v>
      </c>
      <c r="BU61" s="184">
        <v>0</v>
      </c>
      <c r="BV61" s="184">
        <v>0</v>
      </c>
      <c r="BW61" s="184">
        <v>0</v>
      </c>
      <c r="BX61" s="184">
        <v>0</v>
      </c>
      <c r="BY61" s="184">
        <v>1971047.5200000005</v>
      </c>
      <c r="BZ61" s="184">
        <v>0</v>
      </c>
      <c r="CA61" s="184">
        <v>679971.39</v>
      </c>
      <c r="CB61" s="184">
        <v>102358.44</v>
      </c>
      <c r="CC61" s="184">
        <v>-62369.31</v>
      </c>
      <c r="CD61" s="248" t="s">
        <v>221</v>
      </c>
      <c r="CE61" s="195">
        <f t="shared" si="0"/>
        <v>210612360.27999997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4140513</v>
      </c>
      <c r="D62" s="195">
        <f t="shared" si="1"/>
        <v>0</v>
      </c>
      <c r="E62" s="195">
        <f t="shared" si="1"/>
        <v>8540165</v>
      </c>
      <c r="F62" s="195">
        <f t="shared" si="1"/>
        <v>0</v>
      </c>
      <c r="G62" s="195">
        <f t="shared" si="1"/>
        <v>1129780</v>
      </c>
      <c r="H62" s="195">
        <f t="shared" si="1"/>
        <v>1199382</v>
      </c>
      <c r="I62" s="195">
        <f t="shared" si="1"/>
        <v>0</v>
      </c>
      <c r="J62" s="195">
        <f>ROUND(J47+J48,0)</f>
        <v>1174995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3234360</v>
      </c>
      <c r="P62" s="195">
        <f t="shared" si="1"/>
        <v>5032951</v>
      </c>
      <c r="Q62" s="195">
        <f t="shared" si="1"/>
        <v>542550</v>
      </c>
      <c r="R62" s="195">
        <f t="shared" si="1"/>
        <v>0</v>
      </c>
      <c r="S62" s="195">
        <f t="shared" si="1"/>
        <v>1206333</v>
      </c>
      <c r="T62" s="195">
        <f t="shared" si="1"/>
        <v>383224</v>
      </c>
      <c r="U62" s="195">
        <f t="shared" si="1"/>
        <v>4174368</v>
      </c>
      <c r="V62" s="195">
        <f t="shared" si="1"/>
        <v>0</v>
      </c>
      <c r="W62" s="195">
        <f t="shared" si="1"/>
        <v>0</v>
      </c>
      <c r="X62" s="195">
        <f t="shared" si="1"/>
        <v>221562</v>
      </c>
      <c r="Y62" s="195">
        <f t="shared" si="1"/>
        <v>1568425</v>
      </c>
      <c r="Z62" s="195">
        <f t="shared" si="1"/>
        <v>0</v>
      </c>
      <c r="AA62" s="195">
        <f t="shared" si="1"/>
        <v>140747</v>
      </c>
      <c r="AB62" s="195">
        <f t="shared" si="1"/>
        <v>2367207</v>
      </c>
      <c r="AC62" s="195">
        <f t="shared" si="1"/>
        <v>672360</v>
      </c>
      <c r="AD62" s="195">
        <f t="shared" si="1"/>
        <v>1554614</v>
      </c>
      <c r="AE62" s="195">
        <f t="shared" si="1"/>
        <v>1043448</v>
      </c>
      <c r="AF62" s="195">
        <f t="shared" si="1"/>
        <v>0</v>
      </c>
      <c r="AG62" s="195">
        <f t="shared" si="1"/>
        <v>2087196</v>
      </c>
      <c r="AH62" s="195">
        <f t="shared" si="1"/>
        <v>0</v>
      </c>
      <c r="AI62" s="195">
        <f t="shared" si="1"/>
        <v>3259732</v>
      </c>
      <c r="AJ62" s="195">
        <f t="shared" si="1"/>
        <v>1038758</v>
      </c>
      <c r="AK62" s="195">
        <f t="shared" si="1"/>
        <v>485291</v>
      </c>
      <c r="AL62" s="195">
        <f t="shared" si="1"/>
        <v>132241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913491</v>
      </c>
      <c r="AQ62" s="195">
        <f t="shared" si="1"/>
        <v>0</v>
      </c>
      <c r="AR62" s="195">
        <f t="shared" si="1"/>
        <v>6902534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750148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2062963</v>
      </c>
      <c r="BA62" s="195">
        <f>ROUND(BA47+BA48,0)</f>
        <v>0</v>
      </c>
      <c r="BB62" s="195">
        <f t="shared" si="1"/>
        <v>0</v>
      </c>
      <c r="BC62" s="195">
        <f t="shared" si="1"/>
        <v>466019</v>
      </c>
      <c r="BD62" s="195">
        <f t="shared" si="1"/>
        <v>0</v>
      </c>
      <c r="BE62" s="195">
        <f t="shared" si="1"/>
        <v>405066</v>
      </c>
      <c r="BF62" s="195">
        <f t="shared" si="1"/>
        <v>1695555</v>
      </c>
      <c r="BG62" s="195">
        <f t="shared" si="1"/>
        <v>0</v>
      </c>
      <c r="BH62" s="195">
        <f t="shared" si="1"/>
        <v>0</v>
      </c>
      <c r="BI62" s="195">
        <f t="shared" si="1"/>
        <v>46831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888180</v>
      </c>
      <c r="BO62" s="195">
        <f t="shared" ref="BO62:CC62" si="2">ROUND(BO47+BO48,0)</f>
        <v>9742</v>
      </c>
      <c r="BP62" s="195">
        <f t="shared" si="2"/>
        <v>0</v>
      </c>
      <c r="BQ62" s="195">
        <f t="shared" si="2"/>
        <v>0</v>
      </c>
      <c r="BR62" s="195">
        <f t="shared" si="2"/>
        <v>813</v>
      </c>
      <c r="BS62" s="195">
        <f t="shared" si="2"/>
        <v>0</v>
      </c>
      <c r="BT62" s="195">
        <f t="shared" si="2"/>
        <v>79808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567634</v>
      </c>
      <c r="BZ62" s="195">
        <f t="shared" si="2"/>
        <v>0</v>
      </c>
      <c r="CA62" s="195">
        <f t="shared" si="2"/>
        <v>178697</v>
      </c>
      <c r="CB62" s="195">
        <f t="shared" si="2"/>
        <v>30253</v>
      </c>
      <c r="CC62" s="195">
        <f t="shared" si="2"/>
        <v>480133</v>
      </c>
      <c r="CD62" s="248" t="s">
        <v>221</v>
      </c>
      <c r="CE62" s="195">
        <f t="shared" si="0"/>
        <v>60808069</v>
      </c>
      <c r="CF62" s="251"/>
    </row>
    <row r="63" spans="1:84" ht="12.6" customHeight="1" x14ac:dyDescent="0.25">
      <c r="A63" s="171" t="s">
        <v>236</v>
      </c>
      <c r="B63" s="175"/>
      <c r="C63" s="184">
        <v>2807715.1500000004</v>
      </c>
      <c r="D63" s="184">
        <v>0</v>
      </c>
      <c r="E63" s="184">
        <v>46500</v>
      </c>
      <c r="F63" s="184">
        <v>0</v>
      </c>
      <c r="G63" s="184">
        <v>434479.06</v>
      </c>
      <c r="H63" s="184">
        <v>1712534.64</v>
      </c>
      <c r="I63" s="184">
        <v>0</v>
      </c>
      <c r="J63" s="184">
        <v>833835.1</v>
      </c>
      <c r="K63" s="184">
        <v>0</v>
      </c>
      <c r="L63" s="184">
        <v>0</v>
      </c>
      <c r="M63" s="184">
        <v>0</v>
      </c>
      <c r="N63" s="184">
        <v>0</v>
      </c>
      <c r="O63" s="184">
        <v>1398692.27</v>
      </c>
      <c r="P63" s="184">
        <v>1524735.4500000002</v>
      </c>
      <c r="Q63" s="184">
        <v>0</v>
      </c>
      <c r="R63" s="184">
        <v>0</v>
      </c>
      <c r="S63" s="184">
        <v>0</v>
      </c>
      <c r="T63" s="184">
        <v>0</v>
      </c>
      <c r="U63" s="184">
        <v>89424</v>
      </c>
      <c r="V63" s="184">
        <v>0</v>
      </c>
      <c r="W63" s="184">
        <v>0</v>
      </c>
      <c r="X63" s="184">
        <v>0</v>
      </c>
      <c r="Y63" s="184">
        <v>55265</v>
      </c>
      <c r="Z63" s="184">
        <v>0</v>
      </c>
      <c r="AA63" s="184">
        <v>0</v>
      </c>
      <c r="AB63" s="184">
        <v>15762.470000000001</v>
      </c>
      <c r="AC63" s="184">
        <v>23863.200000000001</v>
      </c>
      <c r="AD63" s="184">
        <v>113260.69</v>
      </c>
      <c r="AE63" s="184">
        <v>0</v>
      </c>
      <c r="AF63" s="184">
        <v>0</v>
      </c>
      <c r="AG63" s="184">
        <v>5575322.1200000001</v>
      </c>
      <c r="AH63" s="184">
        <v>0</v>
      </c>
      <c r="AI63" s="184">
        <v>0</v>
      </c>
      <c r="AJ63" s="184">
        <v>42000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67830</v>
      </c>
      <c r="AQ63" s="184">
        <v>0</v>
      </c>
      <c r="AR63" s="184">
        <v>6732</v>
      </c>
      <c r="AS63" s="184">
        <v>0</v>
      </c>
      <c r="AT63" s="184">
        <v>0</v>
      </c>
      <c r="AU63" s="184">
        <v>0</v>
      </c>
      <c r="AV63" s="184">
        <v>10183203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252172.19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0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0</v>
      </c>
      <c r="CD63" s="248" t="s">
        <v>221</v>
      </c>
      <c r="CE63" s="195">
        <f t="shared" si="0"/>
        <v>25183326.340000004</v>
      </c>
      <c r="CF63" s="251"/>
    </row>
    <row r="64" spans="1:84" ht="12.6" customHeight="1" x14ac:dyDescent="0.25">
      <c r="A64" s="171" t="s">
        <v>237</v>
      </c>
      <c r="B64" s="175"/>
      <c r="C64" s="184">
        <v>2397936.19</v>
      </c>
      <c r="D64" s="184">
        <v>0</v>
      </c>
      <c r="E64" s="184">
        <v>2677943.56</v>
      </c>
      <c r="F64" s="184">
        <v>0</v>
      </c>
      <c r="G64" s="184">
        <v>187326.36999999997</v>
      </c>
      <c r="H64" s="184">
        <v>83243.650000000023</v>
      </c>
      <c r="I64" s="184">
        <v>0</v>
      </c>
      <c r="J64" s="184">
        <v>538343.6100000001</v>
      </c>
      <c r="K64" s="184">
        <v>0</v>
      </c>
      <c r="L64" s="184">
        <v>0</v>
      </c>
      <c r="M64" s="184">
        <v>0</v>
      </c>
      <c r="N64" s="184">
        <v>0</v>
      </c>
      <c r="O64" s="184">
        <v>1246337.8399999999</v>
      </c>
      <c r="P64" s="184">
        <v>56096931.18</v>
      </c>
      <c r="Q64" s="184">
        <v>138503.99</v>
      </c>
      <c r="R64" s="184">
        <v>0</v>
      </c>
      <c r="S64" s="184">
        <v>-339791.63999999978</v>
      </c>
      <c r="T64" s="184">
        <v>1063883.6599999999</v>
      </c>
      <c r="U64" s="184">
        <v>8024440.4899999993</v>
      </c>
      <c r="V64" s="184">
        <v>360</v>
      </c>
      <c r="W64" s="184">
        <v>0</v>
      </c>
      <c r="X64" s="184">
        <v>247748.07</v>
      </c>
      <c r="Y64" s="184">
        <v>3931218.1399999997</v>
      </c>
      <c r="Z64" s="184">
        <v>0</v>
      </c>
      <c r="AA64" s="184">
        <v>673207.55999999994</v>
      </c>
      <c r="AB64" s="184">
        <v>16201661.27</v>
      </c>
      <c r="AC64" s="184">
        <v>707226.38</v>
      </c>
      <c r="AD64" s="184">
        <v>1361335.9300000002</v>
      </c>
      <c r="AE64" s="184">
        <v>67260.789999999994</v>
      </c>
      <c r="AF64" s="184">
        <v>0</v>
      </c>
      <c r="AG64" s="184">
        <v>1765256.2500000002</v>
      </c>
      <c r="AH64" s="184">
        <v>0</v>
      </c>
      <c r="AI64" s="184">
        <v>872366.4600000002</v>
      </c>
      <c r="AJ64" s="184">
        <v>1964362.36</v>
      </c>
      <c r="AK64" s="184">
        <v>9734.23</v>
      </c>
      <c r="AL64" s="184">
        <v>1126.51</v>
      </c>
      <c r="AM64" s="184">
        <v>0</v>
      </c>
      <c r="AN64" s="184">
        <v>0</v>
      </c>
      <c r="AO64" s="184">
        <v>0</v>
      </c>
      <c r="AP64" s="184">
        <v>715356.06</v>
      </c>
      <c r="AQ64" s="184">
        <v>0</v>
      </c>
      <c r="AR64" s="184">
        <v>1491791.8599999999</v>
      </c>
      <c r="AS64" s="184">
        <v>0</v>
      </c>
      <c r="AT64" s="184">
        <v>0</v>
      </c>
      <c r="AU64" s="184">
        <v>0</v>
      </c>
      <c r="AV64" s="184">
        <v>-99762.49000000002</v>
      </c>
      <c r="AW64" s="184">
        <v>0</v>
      </c>
      <c r="AX64" s="184">
        <v>0</v>
      </c>
      <c r="AY64" s="184">
        <v>0</v>
      </c>
      <c r="AZ64" s="184">
        <v>3424025.84</v>
      </c>
      <c r="BA64" s="184">
        <v>1933.83</v>
      </c>
      <c r="BB64" s="184">
        <v>0</v>
      </c>
      <c r="BC64" s="184">
        <v>21013.960000000003</v>
      </c>
      <c r="BD64" s="184">
        <v>0</v>
      </c>
      <c r="BE64" s="184">
        <v>166855</v>
      </c>
      <c r="BF64" s="184">
        <v>496964.75999999995</v>
      </c>
      <c r="BG64" s="184">
        <v>0</v>
      </c>
      <c r="BH64" s="184">
        <v>0</v>
      </c>
      <c r="BI64" s="184">
        <v>253004.4</v>
      </c>
      <c r="BJ64" s="184">
        <v>0</v>
      </c>
      <c r="BK64" s="184">
        <v>0</v>
      </c>
      <c r="BL64" s="184">
        <v>28252.379999999997</v>
      </c>
      <c r="BM64" s="184">
        <v>0</v>
      </c>
      <c r="BN64" s="184">
        <v>168190.68999999997</v>
      </c>
      <c r="BO64" s="184">
        <v>652.32000000000005</v>
      </c>
      <c r="BP64" s="184">
        <v>0</v>
      </c>
      <c r="BQ64" s="184">
        <v>0</v>
      </c>
      <c r="BR64" s="184">
        <v>0</v>
      </c>
      <c r="BS64" s="184">
        <v>0</v>
      </c>
      <c r="BT64" s="184">
        <v>742.81</v>
      </c>
      <c r="BU64" s="184">
        <v>0</v>
      </c>
      <c r="BV64" s="184">
        <v>0</v>
      </c>
      <c r="BW64" s="184">
        <v>0</v>
      </c>
      <c r="BX64" s="184">
        <v>0</v>
      </c>
      <c r="BY64" s="184">
        <v>4412.37</v>
      </c>
      <c r="BZ64" s="184">
        <v>0</v>
      </c>
      <c r="CA64" s="184">
        <v>0</v>
      </c>
      <c r="CB64" s="184">
        <v>5589.37</v>
      </c>
      <c r="CC64" s="184">
        <v>0</v>
      </c>
      <c r="CD64" s="248" t="s">
        <v>221</v>
      </c>
      <c r="CE64" s="195">
        <f t="shared" si="0"/>
        <v>106596986.01000001</v>
      </c>
      <c r="CF64" s="251"/>
    </row>
    <row r="65" spans="1:84" ht="12.6" customHeight="1" x14ac:dyDescent="0.25">
      <c r="A65" s="171" t="s">
        <v>238</v>
      </c>
      <c r="B65" s="175"/>
      <c r="C65" s="184">
        <v>3453.8900000000003</v>
      </c>
      <c r="D65" s="184">
        <v>0</v>
      </c>
      <c r="E65" s="184">
        <v>5208.96</v>
      </c>
      <c r="F65" s="184">
        <v>0</v>
      </c>
      <c r="G65" s="184">
        <v>866.27</v>
      </c>
      <c r="H65" s="184">
        <v>1521.3400000000001</v>
      </c>
      <c r="I65" s="184">
        <v>0</v>
      </c>
      <c r="J65" s="184">
        <v>1338.12</v>
      </c>
      <c r="K65" s="184">
        <v>0</v>
      </c>
      <c r="L65" s="184">
        <v>0</v>
      </c>
      <c r="M65" s="184">
        <v>0</v>
      </c>
      <c r="N65" s="184">
        <v>0</v>
      </c>
      <c r="O65" s="184">
        <v>3744.69</v>
      </c>
      <c r="P65" s="184">
        <v>10296.82</v>
      </c>
      <c r="Q65" s="184">
        <v>485.95</v>
      </c>
      <c r="R65" s="184">
        <v>0</v>
      </c>
      <c r="S65" s="184">
        <v>0</v>
      </c>
      <c r="T65" s="184">
        <v>719.56</v>
      </c>
      <c r="U65" s="184">
        <v>209277.23</v>
      </c>
      <c r="V65" s="184">
        <v>0</v>
      </c>
      <c r="W65" s="184">
        <v>0</v>
      </c>
      <c r="X65" s="184">
        <v>507.26</v>
      </c>
      <c r="Y65" s="184">
        <v>4856.26</v>
      </c>
      <c r="Z65" s="184">
        <v>0</v>
      </c>
      <c r="AA65" s="184">
        <v>0</v>
      </c>
      <c r="AB65" s="184">
        <v>7374.8300000000008</v>
      </c>
      <c r="AC65" s="184">
        <v>985.2</v>
      </c>
      <c r="AD65" s="184">
        <v>77013.42</v>
      </c>
      <c r="AE65" s="184">
        <v>2149.3000000000002</v>
      </c>
      <c r="AF65" s="184">
        <v>0</v>
      </c>
      <c r="AG65" s="184">
        <v>2710.23</v>
      </c>
      <c r="AH65" s="184">
        <v>0</v>
      </c>
      <c r="AI65" s="184">
        <v>2145.3900000000003</v>
      </c>
      <c r="AJ65" s="184">
        <v>1871.13</v>
      </c>
      <c r="AK65" s="184">
        <v>1305.6599999999999</v>
      </c>
      <c r="AL65" s="184">
        <v>728.21</v>
      </c>
      <c r="AM65" s="184">
        <v>0</v>
      </c>
      <c r="AN65" s="184">
        <v>0</v>
      </c>
      <c r="AO65" s="184">
        <v>0</v>
      </c>
      <c r="AP65" s="184">
        <v>93007.360000000001</v>
      </c>
      <c r="AQ65" s="184">
        <v>0</v>
      </c>
      <c r="AR65" s="184">
        <v>303032.59000000003</v>
      </c>
      <c r="AS65" s="184">
        <v>0</v>
      </c>
      <c r="AT65" s="184">
        <v>0</v>
      </c>
      <c r="AU65" s="184">
        <v>0</v>
      </c>
      <c r="AV65" s="184">
        <v>6969.53</v>
      </c>
      <c r="AW65" s="184">
        <v>0</v>
      </c>
      <c r="AX65" s="184">
        <v>0</v>
      </c>
      <c r="AY65" s="184">
        <v>0</v>
      </c>
      <c r="AZ65" s="184">
        <v>2616.42</v>
      </c>
      <c r="BA65" s="184">
        <v>0</v>
      </c>
      <c r="BB65" s="184">
        <v>0</v>
      </c>
      <c r="BC65" s="184">
        <v>0</v>
      </c>
      <c r="BD65" s="184">
        <v>0</v>
      </c>
      <c r="BE65" s="184">
        <v>4036289.07</v>
      </c>
      <c r="BF65" s="184">
        <v>9167.51</v>
      </c>
      <c r="BG65" s="184">
        <v>0</v>
      </c>
      <c r="BH65" s="184">
        <v>0</v>
      </c>
      <c r="BI65" s="184">
        <v>0</v>
      </c>
      <c r="BJ65" s="184">
        <v>0</v>
      </c>
      <c r="BK65" s="184">
        <v>0</v>
      </c>
      <c r="BL65" s="184">
        <v>293.43</v>
      </c>
      <c r="BM65" s="184">
        <v>0</v>
      </c>
      <c r="BN65" s="184">
        <v>694.72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3422.23</v>
      </c>
      <c r="BZ65" s="184">
        <v>0</v>
      </c>
      <c r="CA65" s="184">
        <v>0</v>
      </c>
      <c r="CB65" s="184">
        <v>0</v>
      </c>
      <c r="CC65" s="184">
        <v>0</v>
      </c>
      <c r="CD65" s="248" t="s">
        <v>221</v>
      </c>
      <c r="CE65" s="195">
        <f t="shared" si="0"/>
        <v>4794052.5799999991</v>
      </c>
      <c r="CF65" s="251"/>
    </row>
    <row r="66" spans="1:84" ht="12.6" customHeight="1" x14ac:dyDescent="0.25">
      <c r="A66" s="171" t="s">
        <v>239</v>
      </c>
      <c r="B66" s="175"/>
      <c r="C66" s="184">
        <v>205720.90000000002</v>
      </c>
      <c r="D66" s="184">
        <v>0</v>
      </c>
      <c r="E66" s="184">
        <v>1317531.2499999998</v>
      </c>
      <c r="F66" s="184">
        <v>0</v>
      </c>
      <c r="G66" s="184">
        <v>145989.21</v>
      </c>
      <c r="H66" s="184">
        <v>666361.76</v>
      </c>
      <c r="I66" s="184">
        <v>0</v>
      </c>
      <c r="J66" s="184">
        <v>482100.22</v>
      </c>
      <c r="K66" s="184">
        <v>0</v>
      </c>
      <c r="L66" s="184">
        <v>0</v>
      </c>
      <c r="M66" s="184">
        <v>0</v>
      </c>
      <c r="N66" s="184">
        <v>0</v>
      </c>
      <c r="O66" s="184">
        <v>486126.14</v>
      </c>
      <c r="P66" s="184">
        <v>4088928.5960999997</v>
      </c>
      <c r="Q66" s="184">
        <v>17616.63</v>
      </c>
      <c r="R66" s="184">
        <v>0</v>
      </c>
      <c r="S66" s="184">
        <v>200903.86765760003</v>
      </c>
      <c r="T66" s="184">
        <v>312.05</v>
      </c>
      <c r="U66" s="184">
        <v>8153476.6599999992</v>
      </c>
      <c r="V66" s="184">
        <v>0</v>
      </c>
      <c r="W66" s="184">
        <v>0</v>
      </c>
      <c r="X66" s="184">
        <v>232099.44</v>
      </c>
      <c r="Y66" s="184">
        <v>2571391.4700000002</v>
      </c>
      <c r="Z66" s="184">
        <v>0</v>
      </c>
      <c r="AA66" s="184">
        <v>108119.81</v>
      </c>
      <c r="AB66" s="184">
        <v>1535326.6700000004</v>
      </c>
      <c r="AC66" s="184">
        <v>24240.32</v>
      </c>
      <c r="AD66" s="184">
        <v>1149677.72</v>
      </c>
      <c r="AE66" s="184">
        <v>197033.46000000002</v>
      </c>
      <c r="AF66" s="184">
        <v>0</v>
      </c>
      <c r="AG66" s="184">
        <v>2038482.38</v>
      </c>
      <c r="AH66" s="184">
        <v>0</v>
      </c>
      <c r="AI66" s="184">
        <v>143844.54999999999</v>
      </c>
      <c r="AJ66" s="184">
        <v>1141438.8800000001</v>
      </c>
      <c r="AK66" s="184">
        <v>3449.5</v>
      </c>
      <c r="AL66" s="184">
        <v>1000.79</v>
      </c>
      <c r="AM66" s="184">
        <v>0</v>
      </c>
      <c r="AN66" s="184">
        <v>0</v>
      </c>
      <c r="AO66" s="184">
        <v>0</v>
      </c>
      <c r="AP66" s="184">
        <v>201113.58</v>
      </c>
      <c r="AQ66" s="184">
        <v>0</v>
      </c>
      <c r="AR66" s="184">
        <v>9515345.0500000007</v>
      </c>
      <c r="AS66" s="184">
        <v>0</v>
      </c>
      <c r="AT66" s="184">
        <v>0</v>
      </c>
      <c r="AU66" s="184">
        <v>0</v>
      </c>
      <c r="AV66" s="184">
        <v>3045495.6147999996</v>
      </c>
      <c r="AW66" s="184">
        <v>0</v>
      </c>
      <c r="AX66" s="184">
        <v>435101.20400000009</v>
      </c>
      <c r="AY66" s="184">
        <v>0</v>
      </c>
      <c r="AZ66" s="184">
        <v>1947921.1199999999</v>
      </c>
      <c r="BA66" s="184">
        <v>13657.449999999999</v>
      </c>
      <c r="BB66" s="184">
        <v>0</v>
      </c>
      <c r="BC66" s="184">
        <v>140.91999999999999</v>
      </c>
      <c r="BD66" s="184">
        <v>0</v>
      </c>
      <c r="BE66" s="184">
        <v>16199015.624199998</v>
      </c>
      <c r="BF66" s="184">
        <v>376591.27</v>
      </c>
      <c r="BG66" s="184">
        <v>1059846.648</v>
      </c>
      <c r="BH66" s="184">
        <v>1850726.4030000002</v>
      </c>
      <c r="BI66" s="184">
        <v>0</v>
      </c>
      <c r="BJ66" s="184">
        <v>1555428.2702999997</v>
      </c>
      <c r="BK66" s="184">
        <v>6786585.2952997433</v>
      </c>
      <c r="BL66" s="184">
        <v>7251835.0811999999</v>
      </c>
      <c r="BM66" s="184">
        <v>0</v>
      </c>
      <c r="BN66" s="184">
        <v>8249440.8378508994</v>
      </c>
      <c r="BO66" s="184">
        <v>878626.94499999983</v>
      </c>
      <c r="BP66" s="184">
        <v>5647923.7818999998</v>
      </c>
      <c r="BQ66" s="184">
        <v>0</v>
      </c>
      <c r="BR66" s="184">
        <v>1879984.7704000003</v>
      </c>
      <c r="BS66" s="184">
        <v>283268.31849999999</v>
      </c>
      <c r="BT66" s="184">
        <v>445273.38459999987</v>
      </c>
      <c r="BU66" s="184">
        <v>105989.6931</v>
      </c>
      <c r="BV66" s="184">
        <v>9604831.2224418223</v>
      </c>
      <c r="BW66" s="184">
        <v>1430824.11395264</v>
      </c>
      <c r="BX66" s="184">
        <v>3415145.7910401607</v>
      </c>
      <c r="BY66" s="184">
        <v>568133.66929999995</v>
      </c>
      <c r="BZ66" s="184">
        <v>0</v>
      </c>
      <c r="CA66" s="184">
        <v>1232156.9870000002</v>
      </c>
      <c r="CB66" s="184">
        <v>129978.18089999999</v>
      </c>
      <c r="CC66" s="184">
        <v>51178908.388099998</v>
      </c>
      <c r="CD66" s="248" t="s">
        <v>221</v>
      </c>
      <c r="CE66" s="195">
        <f t="shared" si="0"/>
        <v>160200461.88864288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752782</v>
      </c>
      <c r="D67" s="195">
        <f>ROUND(D51+D52,0)</f>
        <v>0</v>
      </c>
      <c r="E67" s="195">
        <f t="shared" ref="E67:BP67" si="3">ROUND(E51+E52,0)</f>
        <v>2264531</v>
      </c>
      <c r="F67" s="195">
        <f t="shared" si="3"/>
        <v>0</v>
      </c>
      <c r="G67" s="195">
        <f t="shared" si="3"/>
        <v>314348</v>
      </c>
      <c r="H67" s="195">
        <f t="shared" si="3"/>
        <v>186456</v>
      </c>
      <c r="I67" s="195">
        <f t="shared" si="3"/>
        <v>0</v>
      </c>
      <c r="J67" s="195">
        <f>ROUND(J51+J52,0)</f>
        <v>210910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500316</v>
      </c>
      <c r="P67" s="195">
        <f t="shared" si="3"/>
        <v>5105853</v>
      </c>
      <c r="Q67" s="195">
        <f t="shared" si="3"/>
        <v>61084</v>
      </c>
      <c r="R67" s="195">
        <f t="shared" si="3"/>
        <v>0</v>
      </c>
      <c r="S67" s="195">
        <f t="shared" si="3"/>
        <v>346664</v>
      </c>
      <c r="T67" s="195">
        <f t="shared" si="3"/>
        <v>17195</v>
      </c>
      <c r="U67" s="195">
        <f t="shared" si="3"/>
        <v>450570</v>
      </c>
      <c r="V67" s="195">
        <f t="shared" si="3"/>
        <v>135318</v>
      </c>
      <c r="W67" s="195">
        <f t="shared" si="3"/>
        <v>0</v>
      </c>
      <c r="X67" s="195">
        <f t="shared" si="3"/>
        <v>37952</v>
      </c>
      <c r="Y67" s="195">
        <f t="shared" si="3"/>
        <v>792746</v>
      </c>
      <c r="Z67" s="195">
        <f t="shared" si="3"/>
        <v>0</v>
      </c>
      <c r="AA67" s="195">
        <f t="shared" si="3"/>
        <v>14997</v>
      </c>
      <c r="AB67" s="195">
        <f t="shared" si="3"/>
        <v>763381</v>
      </c>
      <c r="AC67" s="195">
        <f t="shared" si="3"/>
        <v>150293</v>
      </c>
      <c r="AD67" s="195">
        <f t="shared" si="3"/>
        <v>815516</v>
      </c>
      <c r="AE67" s="195">
        <f t="shared" si="3"/>
        <v>177273</v>
      </c>
      <c r="AF67" s="195">
        <f t="shared" si="3"/>
        <v>0</v>
      </c>
      <c r="AG67" s="195">
        <f t="shared" si="3"/>
        <v>441515</v>
      </c>
      <c r="AH67" s="195">
        <f t="shared" si="3"/>
        <v>0</v>
      </c>
      <c r="AI67" s="195">
        <f t="shared" si="3"/>
        <v>30368</v>
      </c>
      <c r="AJ67" s="195">
        <f t="shared" si="3"/>
        <v>535926</v>
      </c>
      <c r="AK67" s="195">
        <f t="shared" si="3"/>
        <v>75691</v>
      </c>
      <c r="AL67" s="195">
        <f t="shared" si="3"/>
        <v>50816</v>
      </c>
      <c r="AM67" s="195">
        <f t="shared" si="3"/>
        <v>0</v>
      </c>
      <c r="AN67" s="195">
        <f t="shared" si="3"/>
        <v>40270</v>
      </c>
      <c r="AO67" s="195">
        <f t="shared" si="3"/>
        <v>0</v>
      </c>
      <c r="AP67" s="195">
        <f t="shared" si="3"/>
        <v>298605</v>
      </c>
      <c r="AQ67" s="195">
        <f t="shared" si="3"/>
        <v>0</v>
      </c>
      <c r="AR67" s="195">
        <f t="shared" si="3"/>
        <v>106600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54862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459891</v>
      </c>
      <c r="BA67" s="195">
        <f>ROUND(BA51+BA52,0)</f>
        <v>63066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3027773</v>
      </c>
      <c r="BF67" s="195">
        <f t="shared" si="3"/>
        <v>67743</v>
      </c>
      <c r="BG67" s="195">
        <f t="shared" si="3"/>
        <v>0</v>
      </c>
      <c r="BH67" s="195">
        <f t="shared" si="3"/>
        <v>0</v>
      </c>
      <c r="BI67" s="195">
        <f t="shared" si="3"/>
        <v>16289</v>
      </c>
      <c r="BJ67" s="195">
        <f t="shared" si="3"/>
        <v>0</v>
      </c>
      <c r="BK67" s="195">
        <f t="shared" si="3"/>
        <v>0</v>
      </c>
      <c r="BL67" s="195">
        <f t="shared" si="3"/>
        <v>241</v>
      </c>
      <c r="BM67" s="195">
        <f t="shared" si="3"/>
        <v>0</v>
      </c>
      <c r="BN67" s="195">
        <f t="shared" si="3"/>
        <v>2452331</v>
      </c>
      <c r="BO67" s="195">
        <f t="shared" si="3"/>
        <v>747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203198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115030</v>
      </c>
      <c r="BW67" s="195">
        <f t="shared" si="4"/>
        <v>0</v>
      </c>
      <c r="BX67" s="195">
        <f t="shared" si="4"/>
        <v>0</v>
      </c>
      <c r="BY67" s="195">
        <f t="shared" si="4"/>
        <v>133583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8" t="s">
        <v>221</v>
      </c>
      <c r="CE67" s="195">
        <f t="shared" si="0"/>
        <v>21272730</v>
      </c>
      <c r="CF67" s="251"/>
    </row>
    <row r="68" spans="1:84" ht="12.6" customHeight="1" x14ac:dyDescent="0.25">
      <c r="A68" s="171" t="s">
        <v>240</v>
      </c>
      <c r="B68" s="175"/>
      <c r="C68" s="184">
        <v>143514.43000000002</v>
      </c>
      <c r="D68" s="184">
        <v>0</v>
      </c>
      <c r="E68" s="184">
        <v>381111.46</v>
      </c>
      <c r="F68" s="184">
        <v>0</v>
      </c>
      <c r="G68" s="184">
        <v>30637.41</v>
      </c>
      <c r="H68" s="184">
        <v>5279.82</v>
      </c>
      <c r="I68" s="184">
        <v>0</v>
      </c>
      <c r="J68" s="184">
        <v>1031.2</v>
      </c>
      <c r="K68" s="184">
        <v>0</v>
      </c>
      <c r="L68" s="184">
        <v>0</v>
      </c>
      <c r="M68" s="184">
        <v>0</v>
      </c>
      <c r="N68" s="184">
        <v>0</v>
      </c>
      <c r="O68" s="184">
        <v>203283.94</v>
      </c>
      <c r="P68" s="184">
        <v>2423313</v>
      </c>
      <c r="Q68" s="184">
        <v>2105.9700000000003</v>
      </c>
      <c r="R68" s="184">
        <v>0</v>
      </c>
      <c r="S68" s="184">
        <v>-35633.29</v>
      </c>
      <c r="T68" s="184">
        <v>291.31</v>
      </c>
      <c r="U68" s="184">
        <v>981021.77999999991</v>
      </c>
      <c r="V68" s="184">
        <v>0</v>
      </c>
      <c r="W68" s="184">
        <v>0</v>
      </c>
      <c r="X68" s="184">
        <v>639.80999999999995</v>
      </c>
      <c r="Y68" s="184">
        <v>59216.429999999993</v>
      </c>
      <c r="Z68" s="184">
        <v>0</v>
      </c>
      <c r="AA68" s="184">
        <v>-11399.22</v>
      </c>
      <c r="AB68" s="184">
        <v>72123.19</v>
      </c>
      <c r="AC68" s="184">
        <v>80425.180000000008</v>
      </c>
      <c r="AD68" s="184">
        <v>169042.26</v>
      </c>
      <c r="AE68" s="184">
        <v>198287.30000000005</v>
      </c>
      <c r="AF68" s="184">
        <v>0</v>
      </c>
      <c r="AG68" s="184">
        <v>25287.690000000002</v>
      </c>
      <c r="AH68" s="184">
        <v>0</v>
      </c>
      <c r="AI68" s="184">
        <v>106593.53</v>
      </c>
      <c r="AJ68" s="184">
        <v>493256.15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456574.58</v>
      </c>
      <c r="AQ68" s="184">
        <v>0</v>
      </c>
      <c r="AR68" s="184">
        <v>1240056.4300000002</v>
      </c>
      <c r="AS68" s="184">
        <v>0</v>
      </c>
      <c r="AT68" s="184">
        <v>0</v>
      </c>
      <c r="AU68" s="184">
        <v>0</v>
      </c>
      <c r="AV68" s="184">
        <v>294487.5</v>
      </c>
      <c r="AW68" s="184">
        <v>0</v>
      </c>
      <c r="AX68" s="184">
        <v>0</v>
      </c>
      <c r="AY68" s="184">
        <v>0</v>
      </c>
      <c r="AZ68" s="184">
        <v>94446.760000000009</v>
      </c>
      <c r="BA68" s="184">
        <v>84.87</v>
      </c>
      <c r="BB68" s="184">
        <v>0</v>
      </c>
      <c r="BC68" s="184">
        <v>2079.73</v>
      </c>
      <c r="BD68" s="184">
        <v>0</v>
      </c>
      <c r="BE68" s="184">
        <v>2450706.34</v>
      </c>
      <c r="BF68" s="184">
        <v>2068.1799999999998</v>
      </c>
      <c r="BG68" s="184">
        <v>0</v>
      </c>
      <c r="BH68" s="184">
        <v>0</v>
      </c>
      <c r="BI68" s="184">
        <v>1862.58</v>
      </c>
      <c r="BJ68" s="184">
        <v>0</v>
      </c>
      <c r="BK68" s="184">
        <v>0</v>
      </c>
      <c r="BL68" s="184">
        <v>9021.7099999999991</v>
      </c>
      <c r="BM68" s="184">
        <v>0</v>
      </c>
      <c r="BN68" s="184">
        <v>74692.52</v>
      </c>
      <c r="BO68" s="184">
        <v>239.82999999999998</v>
      </c>
      <c r="BP68" s="184">
        <v>0</v>
      </c>
      <c r="BQ68" s="184">
        <v>0</v>
      </c>
      <c r="BR68" s="184">
        <v>0</v>
      </c>
      <c r="BS68" s="184">
        <v>0</v>
      </c>
      <c r="BT68" s="184">
        <v>4.9800000000000004</v>
      </c>
      <c r="BU68" s="184">
        <v>0</v>
      </c>
      <c r="BV68" s="184">
        <v>0</v>
      </c>
      <c r="BW68" s="184">
        <v>0</v>
      </c>
      <c r="BX68" s="184">
        <v>0</v>
      </c>
      <c r="BY68" s="184">
        <v>4831.92</v>
      </c>
      <c r="BZ68" s="184">
        <v>0</v>
      </c>
      <c r="CA68" s="184">
        <v>0</v>
      </c>
      <c r="CB68" s="184">
        <v>515.37</v>
      </c>
      <c r="CC68" s="184">
        <v>0</v>
      </c>
      <c r="CD68" s="248" t="s">
        <v>221</v>
      </c>
      <c r="CE68" s="195">
        <f t="shared" si="0"/>
        <v>9961102.6499999985</v>
      </c>
      <c r="CF68" s="251"/>
    </row>
    <row r="69" spans="1:84" ht="12.6" customHeight="1" x14ac:dyDescent="0.25">
      <c r="A69" s="171" t="s">
        <v>241</v>
      </c>
      <c r="B69" s="175"/>
      <c r="C69" s="184">
        <v>62487.360000000001</v>
      </c>
      <c r="D69" s="184">
        <v>0</v>
      </c>
      <c r="E69" s="184">
        <v>58271.98</v>
      </c>
      <c r="F69" s="184">
        <v>0</v>
      </c>
      <c r="G69" s="184">
        <v>11505.02</v>
      </c>
      <c r="H69" s="184">
        <v>25401.34</v>
      </c>
      <c r="I69" s="184">
        <v>0</v>
      </c>
      <c r="J69" s="184">
        <v>17110.079999999998</v>
      </c>
      <c r="K69" s="184">
        <v>0</v>
      </c>
      <c r="L69" s="184">
        <v>0</v>
      </c>
      <c r="M69" s="184">
        <v>0</v>
      </c>
      <c r="N69" s="184">
        <v>0</v>
      </c>
      <c r="O69" s="184">
        <v>69015.700000000012</v>
      </c>
      <c r="P69" s="184">
        <v>138242.23999999999</v>
      </c>
      <c r="Q69" s="184">
        <v>7972.17</v>
      </c>
      <c r="R69" s="184">
        <v>0</v>
      </c>
      <c r="S69" s="184">
        <v>33516.689999999995</v>
      </c>
      <c r="T69" s="184">
        <v>57.8</v>
      </c>
      <c r="U69" s="184">
        <v>188040.88</v>
      </c>
      <c r="V69" s="184">
        <v>0</v>
      </c>
      <c r="W69" s="184">
        <v>0</v>
      </c>
      <c r="X69" s="184">
        <v>0</v>
      </c>
      <c r="Y69" s="184">
        <v>9661.9700000000012</v>
      </c>
      <c r="Z69" s="184">
        <v>0</v>
      </c>
      <c r="AA69" s="184">
        <v>4743.67</v>
      </c>
      <c r="AB69" s="184">
        <v>3871498.2300000004</v>
      </c>
      <c r="AC69" s="184">
        <v>59.94</v>
      </c>
      <c r="AD69" s="184">
        <v>426944.35000000003</v>
      </c>
      <c r="AE69" s="184">
        <v>14455.009999999998</v>
      </c>
      <c r="AF69" s="184">
        <v>0</v>
      </c>
      <c r="AG69" s="184">
        <v>92503.030000000013</v>
      </c>
      <c r="AH69" s="184">
        <v>0</v>
      </c>
      <c r="AI69" s="184">
        <v>23380.54</v>
      </c>
      <c r="AJ69" s="184">
        <v>29785.759999999998</v>
      </c>
      <c r="AK69" s="184">
        <v>7518.73</v>
      </c>
      <c r="AL69" s="184">
        <v>3306.3</v>
      </c>
      <c r="AM69" s="184">
        <v>0</v>
      </c>
      <c r="AN69" s="184">
        <v>0</v>
      </c>
      <c r="AO69" s="184">
        <v>0</v>
      </c>
      <c r="AP69" s="184">
        <v>11443.73</v>
      </c>
      <c r="AQ69" s="184">
        <v>0</v>
      </c>
      <c r="AR69" s="184">
        <v>1138116.46</v>
      </c>
      <c r="AS69" s="184">
        <v>0</v>
      </c>
      <c r="AT69" s="184">
        <v>0</v>
      </c>
      <c r="AU69" s="184">
        <v>0</v>
      </c>
      <c r="AV69" s="184">
        <v>1336240.0299999998</v>
      </c>
      <c r="AW69" s="184">
        <v>0</v>
      </c>
      <c r="AX69" s="184">
        <v>0</v>
      </c>
      <c r="AY69" s="184">
        <v>0</v>
      </c>
      <c r="AZ69" s="184">
        <v>95841.11</v>
      </c>
      <c r="BA69" s="184">
        <v>0</v>
      </c>
      <c r="BB69" s="184">
        <v>0</v>
      </c>
      <c r="BC69" s="184">
        <v>158.91999999999999</v>
      </c>
      <c r="BD69" s="184">
        <v>0</v>
      </c>
      <c r="BE69" s="184">
        <v>256955.1</v>
      </c>
      <c r="BF69" s="184">
        <v>11250.880000000001</v>
      </c>
      <c r="BG69" s="184">
        <v>0</v>
      </c>
      <c r="BH69" s="184">
        <v>0</v>
      </c>
      <c r="BI69" s="184">
        <v>626.07000000000005</v>
      </c>
      <c r="BJ69" s="184">
        <v>0</v>
      </c>
      <c r="BK69" s="184">
        <v>0</v>
      </c>
      <c r="BL69" s="184">
        <v>6897.1900000000005</v>
      </c>
      <c r="BM69" s="184">
        <v>0</v>
      </c>
      <c r="BN69" s="184">
        <v>623351.24</v>
      </c>
      <c r="BO69" s="184">
        <v>513.96</v>
      </c>
      <c r="BP69" s="184">
        <v>0</v>
      </c>
      <c r="BQ69" s="184">
        <v>0</v>
      </c>
      <c r="BR69" s="184">
        <v>0</v>
      </c>
      <c r="BS69" s="184">
        <v>0</v>
      </c>
      <c r="BT69" s="184">
        <v>14793.34</v>
      </c>
      <c r="BU69" s="184">
        <v>0</v>
      </c>
      <c r="BV69" s="184">
        <v>0</v>
      </c>
      <c r="BW69" s="184">
        <v>0</v>
      </c>
      <c r="BX69" s="184">
        <v>0</v>
      </c>
      <c r="BY69" s="184">
        <v>2673.6</v>
      </c>
      <c r="BZ69" s="184">
        <v>0</v>
      </c>
      <c r="CA69" s="184">
        <v>0</v>
      </c>
      <c r="CB69" s="184">
        <v>3246.85</v>
      </c>
      <c r="CC69" s="184">
        <v>12031102.879999999</v>
      </c>
      <c r="CD69" s="184">
        <v>32268709</v>
      </c>
      <c r="CE69" s="195">
        <f t="shared" si="0"/>
        <v>52897399.149999999</v>
      </c>
      <c r="CF69" s="251"/>
    </row>
    <row r="70" spans="1:84" ht="12.6" customHeight="1" x14ac:dyDescent="0.25">
      <c r="A70" s="171" t="s">
        <v>242</v>
      </c>
      <c r="B70" s="175"/>
      <c r="C70" s="184">
        <v>4500</v>
      </c>
      <c r="D70" s="184">
        <v>0</v>
      </c>
      <c r="E70" s="184">
        <v>28429.45</v>
      </c>
      <c r="F70" s="184">
        <v>0</v>
      </c>
      <c r="G70" s="184">
        <v>8791</v>
      </c>
      <c r="H70" s="184">
        <v>864.47</v>
      </c>
      <c r="I70" s="184">
        <v>0</v>
      </c>
      <c r="J70" s="184">
        <v>5500</v>
      </c>
      <c r="K70" s="184">
        <v>0</v>
      </c>
      <c r="L70" s="184">
        <v>0</v>
      </c>
      <c r="M70" s="184">
        <v>0</v>
      </c>
      <c r="N70" s="184">
        <v>0</v>
      </c>
      <c r="O70" s="184">
        <v>161455.46</v>
      </c>
      <c r="P70" s="184">
        <v>17975.64</v>
      </c>
      <c r="Q70" s="184">
        <v>0</v>
      </c>
      <c r="R70" s="184">
        <v>0</v>
      </c>
      <c r="S70" s="184">
        <v>0</v>
      </c>
      <c r="T70" s="184">
        <v>0</v>
      </c>
      <c r="U70" s="184">
        <v>18170076.099999998</v>
      </c>
      <c r="V70" s="184">
        <v>0</v>
      </c>
      <c r="W70" s="184">
        <v>0</v>
      </c>
      <c r="X70" s="184">
        <v>-73306.3</v>
      </c>
      <c r="Y70" s="184">
        <v>14228.8</v>
      </c>
      <c r="Z70" s="184">
        <v>0</v>
      </c>
      <c r="AA70" s="184">
        <v>0</v>
      </c>
      <c r="AB70" s="184">
        <v>5258782.87</v>
      </c>
      <c r="AC70" s="184">
        <v>0</v>
      </c>
      <c r="AD70" s="184">
        <v>2819872.87</v>
      </c>
      <c r="AE70" s="184">
        <v>1345</v>
      </c>
      <c r="AF70" s="184">
        <v>0</v>
      </c>
      <c r="AG70" s="184">
        <v>2750</v>
      </c>
      <c r="AH70" s="184">
        <v>0</v>
      </c>
      <c r="AI70" s="184">
        <v>2000</v>
      </c>
      <c r="AJ70" s="184">
        <v>45920</v>
      </c>
      <c r="AK70" s="184">
        <v>210</v>
      </c>
      <c r="AL70" s="184">
        <v>0</v>
      </c>
      <c r="AM70" s="184">
        <v>0</v>
      </c>
      <c r="AN70" s="184">
        <v>0</v>
      </c>
      <c r="AO70" s="184">
        <v>0</v>
      </c>
      <c r="AP70" s="184">
        <v>1364389.26</v>
      </c>
      <c r="AQ70" s="184">
        <v>0</v>
      </c>
      <c r="AR70" s="184">
        <v>534419.45000000007</v>
      </c>
      <c r="AS70" s="184">
        <v>0</v>
      </c>
      <c r="AT70" s="184">
        <v>0</v>
      </c>
      <c r="AU70" s="184">
        <v>0</v>
      </c>
      <c r="AV70" s="184">
        <v>120334581.40000001</v>
      </c>
      <c r="AW70" s="184">
        <v>0</v>
      </c>
      <c r="AX70" s="184">
        <v>0</v>
      </c>
      <c r="AY70" s="184">
        <v>0</v>
      </c>
      <c r="AZ70" s="184">
        <v>4253145.9700000007</v>
      </c>
      <c r="BA70" s="184">
        <v>0</v>
      </c>
      <c r="BB70" s="184">
        <v>0</v>
      </c>
      <c r="BC70" s="184">
        <v>0</v>
      </c>
      <c r="BD70" s="184">
        <v>0</v>
      </c>
      <c r="BE70" s="184">
        <v>-672.26</v>
      </c>
      <c r="BF70" s="184">
        <v>0</v>
      </c>
      <c r="BG70" s="184">
        <v>0</v>
      </c>
      <c r="BH70" s="184">
        <v>0</v>
      </c>
      <c r="BI70" s="184">
        <v>537096.82999999996</v>
      </c>
      <c r="BJ70" s="184">
        <v>0</v>
      </c>
      <c r="BK70" s="184">
        <v>0</v>
      </c>
      <c r="BL70" s="184">
        <v>0</v>
      </c>
      <c r="BM70" s="184">
        <v>0</v>
      </c>
      <c r="BN70" s="184">
        <v>-2741799.63</v>
      </c>
      <c r="BO70" s="184">
        <v>53216.49</v>
      </c>
      <c r="BP70" s="184">
        <v>0</v>
      </c>
      <c r="BQ70" s="184">
        <v>0</v>
      </c>
      <c r="BR70" s="184">
        <v>0</v>
      </c>
      <c r="BS70" s="184">
        <v>0</v>
      </c>
      <c r="BT70" s="184">
        <v>19400</v>
      </c>
      <c r="BU70" s="184">
        <v>0</v>
      </c>
      <c r="BV70" s="184">
        <v>0</v>
      </c>
      <c r="BW70" s="184">
        <v>0</v>
      </c>
      <c r="BX70" s="184">
        <v>0</v>
      </c>
      <c r="BY70" s="184">
        <v>5912.75</v>
      </c>
      <c r="BZ70" s="184">
        <v>0</v>
      </c>
      <c r="CA70" s="184">
        <v>0</v>
      </c>
      <c r="CB70" s="184">
        <v>93929.9</v>
      </c>
      <c r="CC70" s="184">
        <v>0</v>
      </c>
      <c r="CD70" s="184">
        <v>0</v>
      </c>
      <c r="CE70" s="195">
        <f t="shared" si="0"/>
        <v>150923015.52000004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25771402.27</v>
      </c>
      <c r="D71" s="195">
        <f t="shared" ref="D71:AI71" si="5">SUM(D61:D69)-D70</f>
        <v>0</v>
      </c>
      <c r="E71" s="195">
        <f t="shared" si="5"/>
        <v>44053398.559999995</v>
      </c>
      <c r="F71" s="195">
        <f t="shared" si="5"/>
        <v>0</v>
      </c>
      <c r="G71" s="195">
        <f t="shared" si="5"/>
        <v>6110848.2399999984</v>
      </c>
      <c r="H71" s="195">
        <f t="shared" si="5"/>
        <v>8148696.4100000011</v>
      </c>
      <c r="I71" s="195">
        <f t="shared" si="5"/>
        <v>0</v>
      </c>
      <c r="J71" s="195">
        <f t="shared" si="5"/>
        <v>7624900.7199999988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18753567.300000001</v>
      </c>
      <c r="P71" s="195">
        <f t="shared" si="5"/>
        <v>92375846.816099986</v>
      </c>
      <c r="Q71" s="195">
        <f t="shared" si="5"/>
        <v>2843634.7000000007</v>
      </c>
      <c r="R71" s="195">
        <f t="shared" si="5"/>
        <v>0</v>
      </c>
      <c r="S71" s="195">
        <f t="shared" si="5"/>
        <v>4216840.6176576009</v>
      </c>
      <c r="T71" s="195">
        <f t="shared" si="5"/>
        <v>3057276.59</v>
      </c>
      <c r="U71" s="195">
        <f t="shared" si="5"/>
        <v>15864794.110000003</v>
      </c>
      <c r="V71" s="195">
        <f t="shared" si="5"/>
        <v>135678</v>
      </c>
      <c r="W71" s="195">
        <f t="shared" si="5"/>
        <v>0</v>
      </c>
      <c r="X71" s="195">
        <f t="shared" si="5"/>
        <v>1611090.53</v>
      </c>
      <c r="Y71" s="195">
        <f t="shared" si="5"/>
        <v>14493118.700000001</v>
      </c>
      <c r="Z71" s="195">
        <f t="shared" si="5"/>
        <v>0</v>
      </c>
      <c r="AA71" s="195">
        <f t="shared" si="5"/>
        <v>1457768.24</v>
      </c>
      <c r="AB71" s="195">
        <f t="shared" si="5"/>
        <v>28362084.470000003</v>
      </c>
      <c r="AC71" s="195">
        <f t="shared" si="5"/>
        <v>3944987.6700000009</v>
      </c>
      <c r="AD71" s="195">
        <f t="shared" si="5"/>
        <v>9447098.5100000016</v>
      </c>
      <c r="AE71" s="195">
        <f t="shared" si="5"/>
        <v>5568338.879999999</v>
      </c>
      <c r="AF71" s="195">
        <f t="shared" si="5"/>
        <v>0</v>
      </c>
      <c r="AG71" s="195">
        <f t="shared" si="5"/>
        <v>19030834.780000001</v>
      </c>
      <c r="AH71" s="195">
        <f t="shared" si="5"/>
        <v>0</v>
      </c>
      <c r="AI71" s="195">
        <f t="shared" si="5"/>
        <v>15343089.200000001</v>
      </c>
      <c r="AJ71" s="195">
        <f t="shared" ref="AJ71:BO71" si="6">SUM(AJ61:AJ69)-AJ70</f>
        <v>8837036.459999999</v>
      </c>
      <c r="AK71" s="195">
        <f t="shared" si="6"/>
        <v>2396724.9800000004</v>
      </c>
      <c r="AL71" s="195">
        <f t="shared" si="6"/>
        <v>654171.52</v>
      </c>
      <c r="AM71" s="195">
        <f t="shared" si="6"/>
        <v>0</v>
      </c>
      <c r="AN71" s="195">
        <f t="shared" si="6"/>
        <v>40270</v>
      </c>
      <c r="AO71" s="195">
        <f t="shared" si="6"/>
        <v>0</v>
      </c>
      <c r="AP71" s="195">
        <f t="shared" si="6"/>
        <v>4476870.9200000009</v>
      </c>
      <c r="AQ71" s="195">
        <f t="shared" si="6"/>
        <v>0</v>
      </c>
      <c r="AR71" s="195">
        <f t="shared" si="6"/>
        <v>44715184.619999997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-95645446.635200009</v>
      </c>
      <c r="AW71" s="195">
        <f t="shared" si="6"/>
        <v>0</v>
      </c>
      <c r="AX71" s="195">
        <f t="shared" si="6"/>
        <v>435101.20400000009</v>
      </c>
      <c r="AY71" s="195">
        <f t="shared" si="6"/>
        <v>0</v>
      </c>
      <c r="AZ71" s="195">
        <f t="shared" si="6"/>
        <v>8412087.6999999993</v>
      </c>
      <c r="BA71" s="195">
        <f t="shared" si="6"/>
        <v>78742.149999999994</v>
      </c>
      <c r="BB71" s="195">
        <f t="shared" si="6"/>
        <v>0</v>
      </c>
      <c r="BC71" s="195">
        <f t="shared" si="6"/>
        <v>1500003.9199999997</v>
      </c>
      <c r="BD71" s="195">
        <f t="shared" si="6"/>
        <v>0</v>
      </c>
      <c r="BE71" s="195">
        <f t="shared" si="6"/>
        <v>27769183.0242</v>
      </c>
      <c r="BF71" s="195">
        <f t="shared" si="6"/>
        <v>6423960.0999999987</v>
      </c>
      <c r="BG71" s="195">
        <f t="shared" si="6"/>
        <v>1059846.648</v>
      </c>
      <c r="BH71" s="195">
        <f t="shared" si="6"/>
        <v>1850726.4030000002</v>
      </c>
      <c r="BI71" s="195">
        <f t="shared" si="6"/>
        <v>-122654.14999999991</v>
      </c>
      <c r="BJ71" s="195">
        <f t="shared" si="6"/>
        <v>1555428.2702999997</v>
      </c>
      <c r="BK71" s="195">
        <f t="shared" si="6"/>
        <v>6786585.2952997433</v>
      </c>
      <c r="BL71" s="195">
        <f t="shared" si="6"/>
        <v>7296540.7911999999</v>
      </c>
      <c r="BM71" s="195">
        <f t="shared" si="6"/>
        <v>0</v>
      </c>
      <c r="BN71" s="195">
        <f t="shared" si="6"/>
        <v>18937902.057850901</v>
      </c>
      <c r="BO71" s="195">
        <f t="shared" si="6"/>
        <v>872702.76499999978</v>
      </c>
      <c r="BP71" s="195">
        <f t="shared" ref="BP71:CC71" si="7">SUM(BP61:BP69)-BP70</f>
        <v>5647923.7818999998</v>
      </c>
      <c r="BQ71" s="195">
        <f t="shared" si="7"/>
        <v>0</v>
      </c>
      <c r="BR71" s="195">
        <f t="shared" si="7"/>
        <v>2083995.7704000003</v>
      </c>
      <c r="BS71" s="195">
        <f t="shared" si="7"/>
        <v>283268.31849999999</v>
      </c>
      <c r="BT71" s="195">
        <f t="shared" si="7"/>
        <v>755054.12459999986</v>
      </c>
      <c r="BU71" s="195">
        <f t="shared" si="7"/>
        <v>105989.6931</v>
      </c>
      <c r="BV71" s="195">
        <f t="shared" si="7"/>
        <v>9719861.2224418223</v>
      </c>
      <c r="BW71" s="195">
        <f t="shared" si="7"/>
        <v>1430824.11395264</v>
      </c>
      <c r="BX71" s="195">
        <f t="shared" si="7"/>
        <v>3415145.7910401607</v>
      </c>
      <c r="BY71" s="195">
        <f t="shared" si="7"/>
        <v>3249825.5593000003</v>
      </c>
      <c r="BZ71" s="195">
        <f t="shared" si="7"/>
        <v>0</v>
      </c>
      <c r="CA71" s="195">
        <f t="shared" si="7"/>
        <v>2090825.3770000003</v>
      </c>
      <c r="CB71" s="195">
        <f t="shared" si="7"/>
        <v>178011.31089999995</v>
      </c>
      <c r="CC71" s="195">
        <f t="shared" si="7"/>
        <v>63627774.958099991</v>
      </c>
      <c r="CD71" s="244">
        <f>CD69-CD70</f>
        <v>32268709</v>
      </c>
      <c r="CE71" s="195">
        <f>SUM(CE61:CE69)-CE70</f>
        <v>501403472.37864274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5">
      <c r="A73" s="171" t="s">
        <v>245</v>
      </c>
      <c r="B73" s="175"/>
      <c r="C73" s="184">
        <v>90051022.13000001</v>
      </c>
      <c r="D73" s="184">
        <v>0</v>
      </c>
      <c r="E73" s="184">
        <v>180651668.42000002</v>
      </c>
      <c r="F73" s="184">
        <v>0</v>
      </c>
      <c r="G73" s="184">
        <v>22017863.77</v>
      </c>
      <c r="H73" s="184">
        <v>21055048.739999998</v>
      </c>
      <c r="I73" s="184">
        <v>0</v>
      </c>
      <c r="J73" s="184">
        <v>38898241.059999995</v>
      </c>
      <c r="K73" s="184">
        <v>0</v>
      </c>
      <c r="L73" s="184">
        <v>0</v>
      </c>
      <c r="M73" s="184">
        <v>0</v>
      </c>
      <c r="N73" s="184">
        <v>0</v>
      </c>
      <c r="O73" s="184">
        <v>110644871.41</v>
      </c>
      <c r="P73" s="184">
        <v>500240231.09999996</v>
      </c>
      <c r="Q73" s="184">
        <v>19348804.309999999</v>
      </c>
      <c r="R73" s="184">
        <v>0</v>
      </c>
      <c r="S73" s="184">
        <v>0</v>
      </c>
      <c r="T73" s="184">
        <v>11947833.439999999</v>
      </c>
      <c r="U73" s="184">
        <v>83300211.379999995</v>
      </c>
      <c r="V73" s="184">
        <v>65169.81</v>
      </c>
      <c r="W73" s="184">
        <v>0</v>
      </c>
      <c r="X73" s="184">
        <v>54400093.919999994</v>
      </c>
      <c r="Y73" s="184">
        <v>68882914.820000008</v>
      </c>
      <c r="Z73" s="184">
        <v>0</v>
      </c>
      <c r="AA73" s="184">
        <v>3279016.0200000005</v>
      </c>
      <c r="AB73" s="184">
        <v>253942526.21000001</v>
      </c>
      <c r="AC73" s="184">
        <v>46807788.030000001</v>
      </c>
      <c r="AD73" s="184">
        <v>9924793.3999999985</v>
      </c>
      <c r="AE73" s="184">
        <v>11825435.719999999</v>
      </c>
      <c r="AF73" s="184">
        <v>0</v>
      </c>
      <c r="AG73" s="184">
        <v>55571657.580000006</v>
      </c>
      <c r="AH73" s="184">
        <v>0</v>
      </c>
      <c r="AI73" s="184">
        <v>44426652.009999998</v>
      </c>
      <c r="AJ73" s="184">
        <v>108670.62</v>
      </c>
      <c r="AK73" s="184">
        <v>9947612.6999999993</v>
      </c>
      <c r="AL73" s="184">
        <v>2507881.9899999998</v>
      </c>
      <c r="AM73" s="184">
        <v>0</v>
      </c>
      <c r="AN73" s="184">
        <v>0</v>
      </c>
      <c r="AO73" s="184">
        <v>0</v>
      </c>
      <c r="AP73" s="184">
        <v>14750.869999999999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-335931.30999999994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1639524828.1499996</v>
      </c>
      <c r="CF73" s="251"/>
    </row>
    <row r="74" spans="1:84" ht="12.6" customHeight="1" x14ac:dyDescent="0.25">
      <c r="A74" s="171" t="s">
        <v>246</v>
      </c>
      <c r="B74" s="175"/>
      <c r="C74" s="184">
        <v>502176.54</v>
      </c>
      <c r="D74" s="184">
        <v>0</v>
      </c>
      <c r="E74" s="184">
        <v>14152554.57</v>
      </c>
      <c r="F74" s="184">
        <v>0</v>
      </c>
      <c r="G74" s="184">
        <v>52726.06</v>
      </c>
      <c r="H74" s="184">
        <v>2418395.2799999998</v>
      </c>
      <c r="I74" s="184">
        <v>0</v>
      </c>
      <c r="J74" s="184">
        <v>193.53</v>
      </c>
      <c r="K74" s="184">
        <v>0</v>
      </c>
      <c r="L74" s="184">
        <v>0</v>
      </c>
      <c r="M74" s="184">
        <v>0</v>
      </c>
      <c r="N74" s="184">
        <v>0</v>
      </c>
      <c r="O74" s="184">
        <v>8577000.7600000016</v>
      </c>
      <c r="P74" s="184">
        <v>436899643.68000001</v>
      </c>
      <c r="Q74" s="184">
        <v>11723817.290000001</v>
      </c>
      <c r="R74" s="184">
        <v>0</v>
      </c>
      <c r="S74" s="184">
        <v>0</v>
      </c>
      <c r="T74" s="184">
        <v>651945.99</v>
      </c>
      <c r="U74" s="184">
        <v>36100886.509999998</v>
      </c>
      <c r="V74" s="184">
        <v>537384.15</v>
      </c>
      <c r="W74" s="184">
        <v>0</v>
      </c>
      <c r="X74" s="184">
        <v>55544412</v>
      </c>
      <c r="Y74" s="184">
        <v>84390447.529999971</v>
      </c>
      <c r="Z74" s="184">
        <v>0</v>
      </c>
      <c r="AA74" s="184">
        <v>15222162.76</v>
      </c>
      <c r="AB74" s="184">
        <v>117118757.08</v>
      </c>
      <c r="AC74" s="184">
        <v>7693349.1600000001</v>
      </c>
      <c r="AD74" s="184">
        <v>63846238.920000002</v>
      </c>
      <c r="AE74" s="184">
        <v>15223025.629999999</v>
      </c>
      <c r="AF74" s="184">
        <v>0</v>
      </c>
      <c r="AG74" s="184">
        <v>103534152.73999999</v>
      </c>
      <c r="AH74" s="184">
        <v>0</v>
      </c>
      <c r="AI74" s="184">
        <v>36971614.82</v>
      </c>
      <c r="AJ74" s="184">
        <v>34669310.580000006</v>
      </c>
      <c r="AK74" s="184">
        <v>3514773.24</v>
      </c>
      <c r="AL74" s="184">
        <v>713356.96999999986</v>
      </c>
      <c r="AM74" s="184">
        <v>0</v>
      </c>
      <c r="AN74" s="184">
        <v>0</v>
      </c>
      <c r="AO74" s="184">
        <v>0</v>
      </c>
      <c r="AP74" s="184">
        <v>50268608.50999999</v>
      </c>
      <c r="AQ74" s="184">
        <v>0</v>
      </c>
      <c r="AR74" s="184">
        <v>64856833.259999998</v>
      </c>
      <c r="AS74" s="184">
        <v>0</v>
      </c>
      <c r="AT74" s="184">
        <v>0</v>
      </c>
      <c r="AU74" s="184">
        <v>0</v>
      </c>
      <c r="AV74" s="184">
        <v>2091025.4999999998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1167274793.0600002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90553198.670000017</v>
      </c>
      <c r="D75" s="195">
        <f t="shared" si="9"/>
        <v>0</v>
      </c>
      <c r="E75" s="195">
        <f t="shared" si="9"/>
        <v>194804222.99000001</v>
      </c>
      <c r="F75" s="195">
        <f t="shared" si="9"/>
        <v>0</v>
      </c>
      <c r="G75" s="195">
        <f t="shared" si="9"/>
        <v>22070589.829999998</v>
      </c>
      <c r="H75" s="195">
        <f t="shared" si="9"/>
        <v>23473444.02</v>
      </c>
      <c r="I75" s="195">
        <f t="shared" si="9"/>
        <v>0</v>
      </c>
      <c r="J75" s="195">
        <f t="shared" si="9"/>
        <v>38898434.589999996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119221872.17</v>
      </c>
      <c r="P75" s="195">
        <f t="shared" si="9"/>
        <v>937139874.77999997</v>
      </c>
      <c r="Q75" s="195">
        <f t="shared" si="9"/>
        <v>31072621.600000001</v>
      </c>
      <c r="R75" s="195">
        <f t="shared" si="9"/>
        <v>0</v>
      </c>
      <c r="S75" s="195">
        <f t="shared" si="9"/>
        <v>0</v>
      </c>
      <c r="T75" s="195">
        <f t="shared" si="9"/>
        <v>12599779.43</v>
      </c>
      <c r="U75" s="195">
        <f t="shared" si="9"/>
        <v>119401097.88999999</v>
      </c>
      <c r="V75" s="195">
        <f t="shared" si="9"/>
        <v>602553.96</v>
      </c>
      <c r="W75" s="195">
        <f t="shared" si="9"/>
        <v>0</v>
      </c>
      <c r="X75" s="195">
        <f t="shared" si="9"/>
        <v>109944505.91999999</v>
      </c>
      <c r="Y75" s="195">
        <f t="shared" si="9"/>
        <v>153273362.34999996</v>
      </c>
      <c r="Z75" s="195">
        <f t="shared" si="9"/>
        <v>0</v>
      </c>
      <c r="AA75" s="195">
        <f t="shared" si="9"/>
        <v>18501178.780000001</v>
      </c>
      <c r="AB75" s="195">
        <f t="shared" si="9"/>
        <v>371061283.29000002</v>
      </c>
      <c r="AC75" s="195">
        <f t="shared" si="9"/>
        <v>54501137.189999998</v>
      </c>
      <c r="AD75" s="195">
        <f t="shared" si="9"/>
        <v>73771032.319999993</v>
      </c>
      <c r="AE75" s="195">
        <f t="shared" si="9"/>
        <v>27048461.349999998</v>
      </c>
      <c r="AF75" s="195">
        <f t="shared" si="9"/>
        <v>0</v>
      </c>
      <c r="AG75" s="195">
        <f t="shared" si="9"/>
        <v>159105810.31999999</v>
      </c>
      <c r="AH75" s="195">
        <f t="shared" si="9"/>
        <v>0</v>
      </c>
      <c r="AI75" s="195">
        <f t="shared" si="9"/>
        <v>81398266.829999998</v>
      </c>
      <c r="AJ75" s="195">
        <f t="shared" si="9"/>
        <v>34777981.200000003</v>
      </c>
      <c r="AK75" s="195">
        <f t="shared" si="9"/>
        <v>13462385.939999999</v>
      </c>
      <c r="AL75" s="195">
        <f t="shared" si="9"/>
        <v>3221238.9599999995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50283359.379999988</v>
      </c>
      <c r="AQ75" s="195">
        <f t="shared" si="9"/>
        <v>0</v>
      </c>
      <c r="AR75" s="195">
        <f t="shared" si="9"/>
        <v>64856833.259999998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1755094.19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2806799621.2100005</v>
      </c>
      <c r="CF75" s="251"/>
    </row>
    <row r="76" spans="1:84" ht="12.6" customHeight="1" x14ac:dyDescent="0.25">
      <c r="A76" s="171" t="s">
        <v>248</v>
      </c>
      <c r="B76" s="175"/>
      <c r="C76" s="184">
        <v>20827</v>
      </c>
      <c r="D76" s="184"/>
      <c r="E76" s="185">
        <v>93975</v>
      </c>
      <c r="F76" s="185"/>
      <c r="G76" s="184">
        <v>20301</v>
      </c>
      <c r="H76" s="184"/>
      <c r="I76" s="185"/>
      <c r="J76" s="185">
        <v>2522</v>
      </c>
      <c r="K76" s="185"/>
      <c r="L76" s="185"/>
      <c r="M76" s="185"/>
      <c r="N76" s="185"/>
      <c r="O76" s="185">
        <v>17619</v>
      </c>
      <c r="P76" s="185">
        <v>88022</v>
      </c>
      <c r="Q76" s="185">
        <v>2369</v>
      </c>
      <c r="R76" s="185"/>
      <c r="S76" s="185">
        <v>17441</v>
      </c>
      <c r="T76" s="185"/>
      <c r="U76" s="185">
        <v>18834</v>
      </c>
      <c r="V76" s="185"/>
      <c r="W76" s="185"/>
      <c r="X76" s="185"/>
      <c r="Y76" s="185">
        <v>46504</v>
      </c>
      <c r="Z76" s="185"/>
      <c r="AA76" s="185"/>
      <c r="AB76" s="185">
        <v>19190</v>
      </c>
      <c r="AC76" s="185">
        <v>981</v>
      </c>
      <c r="AD76" s="185">
        <v>40223</v>
      </c>
      <c r="AE76" s="185">
        <v>12994</v>
      </c>
      <c r="AF76" s="185"/>
      <c r="AG76" s="185">
        <v>20182</v>
      </c>
      <c r="AH76" s="185"/>
      <c r="AI76" s="185"/>
      <c r="AJ76" s="185">
        <v>21019</v>
      </c>
      <c r="AK76" s="185">
        <v>5815</v>
      </c>
      <c r="AL76" s="185">
        <v>4171</v>
      </c>
      <c r="AM76" s="185"/>
      <c r="AN76" s="185">
        <v>3310</v>
      </c>
      <c r="AO76" s="185"/>
      <c r="AP76" s="185">
        <v>1709</v>
      </c>
      <c r="AQ76" s="185"/>
      <c r="AR76" s="185"/>
      <c r="AS76" s="185"/>
      <c r="AT76" s="185"/>
      <c r="AU76" s="185"/>
      <c r="AV76" s="185">
        <v>1394</v>
      </c>
      <c r="AW76" s="185"/>
      <c r="AX76" s="185"/>
      <c r="AY76" s="185"/>
      <c r="AZ76" s="185">
        <v>19038</v>
      </c>
      <c r="BA76" s="185">
        <v>4244</v>
      </c>
      <c r="BB76" s="185"/>
      <c r="BC76" s="185"/>
      <c r="BD76" s="185"/>
      <c r="BE76" s="185">
        <v>174493</v>
      </c>
      <c r="BF76" s="185">
        <v>2066</v>
      </c>
      <c r="BG76" s="185"/>
      <c r="BH76" s="185"/>
      <c r="BI76" s="185">
        <v>1333</v>
      </c>
      <c r="BJ76" s="185"/>
      <c r="BK76" s="185"/>
      <c r="BL76" s="185"/>
      <c r="BM76" s="185"/>
      <c r="BN76" s="185">
        <v>201284</v>
      </c>
      <c r="BO76" s="185"/>
      <c r="BP76" s="185"/>
      <c r="BQ76" s="185"/>
      <c r="BR76" s="185">
        <v>16702</v>
      </c>
      <c r="BS76" s="185"/>
      <c r="BT76" s="185"/>
      <c r="BU76" s="185"/>
      <c r="BV76" s="185">
        <v>9455</v>
      </c>
      <c r="BW76" s="185"/>
      <c r="BX76" s="185"/>
      <c r="BY76" s="185">
        <v>978</v>
      </c>
      <c r="BZ76" s="185"/>
      <c r="CA76" s="185"/>
      <c r="CB76" s="185"/>
      <c r="CC76" s="185"/>
      <c r="CD76" s="248" t="s">
        <v>221</v>
      </c>
      <c r="CE76" s="195">
        <f t="shared" si="8"/>
        <v>888995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37485</v>
      </c>
      <c r="D77" s="184"/>
      <c r="E77" s="184">
        <v>284719</v>
      </c>
      <c r="F77" s="184"/>
      <c r="G77" s="184">
        <v>30801</v>
      </c>
      <c r="H77" s="184">
        <v>32015</v>
      </c>
      <c r="I77" s="184"/>
      <c r="J77" s="184"/>
      <c r="K77" s="184"/>
      <c r="L77" s="184"/>
      <c r="M77" s="184"/>
      <c r="N77" s="184"/>
      <c r="O77" s="184">
        <v>54696</v>
      </c>
      <c r="P77" s="184">
        <v>47739</v>
      </c>
      <c r="Q77" s="184"/>
      <c r="R77" s="184"/>
      <c r="S77" s="184"/>
      <c r="T77" s="184">
        <v>84073</v>
      </c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>
        <v>39650</v>
      </c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611178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8730</v>
      </c>
      <c r="D78" s="184"/>
      <c r="E78" s="184">
        <v>39392</v>
      </c>
      <c r="F78" s="184"/>
      <c r="G78" s="184">
        <v>8510</v>
      </c>
      <c r="H78" s="184"/>
      <c r="I78" s="184"/>
      <c r="J78" s="184">
        <v>1057</v>
      </c>
      <c r="K78" s="184"/>
      <c r="L78" s="184"/>
      <c r="M78" s="184"/>
      <c r="N78" s="184"/>
      <c r="O78" s="184">
        <v>7385</v>
      </c>
      <c r="P78" s="184">
        <v>36897</v>
      </c>
      <c r="Q78" s="184">
        <v>993</v>
      </c>
      <c r="R78" s="184"/>
      <c r="S78" s="184">
        <v>7311</v>
      </c>
      <c r="T78" s="184"/>
      <c r="U78" s="184">
        <v>7895</v>
      </c>
      <c r="V78" s="184"/>
      <c r="W78" s="184"/>
      <c r="X78" s="184"/>
      <c r="Y78" s="184">
        <v>19493</v>
      </c>
      <c r="Z78" s="184"/>
      <c r="AA78" s="184"/>
      <c r="AB78" s="184">
        <v>8044</v>
      </c>
      <c r="AC78" s="184">
        <v>411</v>
      </c>
      <c r="AD78" s="184">
        <v>16860</v>
      </c>
      <c r="AE78" s="184">
        <v>5447</v>
      </c>
      <c r="AF78" s="184"/>
      <c r="AG78" s="184">
        <v>8460</v>
      </c>
      <c r="AH78" s="184"/>
      <c r="AI78" s="184"/>
      <c r="AJ78" s="184">
        <v>8811</v>
      </c>
      <c r="AK78" s="184">
        <v>2438</v>
      </c>
      <c r="AL78" s="184">
        <v>1748</v>
      </c>
      <c r="AM78" s="184"/>
      <c r="AN78" s="184">
        <v>1387</v>
      </c>
      <c r="AO78" s="184"/>
      <c r="AP78" s="184">
        <v>716</v>
      </c>
      <c r="AQ78" s="184"/>
      <c r="AR78" s="184"/>
      <c r="AS78" s="184"/>
      <c r="AT78" s="184"/>
      <c r="AU78" s="184"/>
      <c r="AV78" s="184">
        <v>584</v>
      </c>
      <c r="AW78" s="184"/>
      <c r="AX78" s="248" t="s">
        <v>221</v>
      </c>
      <c r="AY78" s="248" t="s">
        <v>221</v>
      </c>
      <c r="AZ78" s="248" t="s">
        <v>221</v>
      </c>
      <c r="BA78" s="184">
        <v>1779</v>
      </c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>
        <v>559</v>
      </c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>
        <v>3963</v>
      </c>
      <c r="BW78" s="184"/>
      <c r="BX78" s="184"/>
      <c r="BY78" s="184">
        <v>410</v>
      </c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199280</v>
      </c>
      <c r="CF78" s="195"/>
    </row>
    <row r="79" spans="1:84" ht="12.6" customHeight="1" x14ac:dyDescent="0.25">
      <c r="A79" s="171" t="s">
        <v>251</v>
      </c>
      <c r="B79" s="175"/>
      <c r="C79" s="225">
        <v>278288</v>
      </c>
      <c r="D79" s="225"/>
      <c r="E79" s="184">
        <f>9897+685662</f>
        <v>695559</v>
      </c>
      <c r="F79" s="184"/>
      <c r="G79" s="184"/>
      <c r="H79" s="184">
        <v>30103</v>
      </c>
      <c r="I79" s="184"/>
      <c r="J79" s="184"/>
      <c r="K79" s="184"/>
      <c r="L79" s="184"/>
      <c r="M79" s="184"/>
      <c r="N79" s="184"/>
      <c r="O79" s="184">
        <v>305895</v>
      </c>
      <c r="P79" s="184">
        <v>716445</v>
      </c>
      <c r="Q79" s="184">
        <v>69912</v>
      </c>
      <c r="R79" s="184"/>
      <c r="S79" s="184">
        <v>19856</v>
      </c>
      <c r="T79" s="184"/>
      <c r="U79" s="184">
        <v>8388</v>
      </c>
      <c r="V79" s="184"/>
      <c r="W79" s="184"/>
      <c r="X79" s="184"/>
      <c r="Y79" s="184">
        <v>143091</v>
      </c>
      <c r="Z79" s="184"/>
      <c r="AA79" s="184">
        <v>13525</v>
      </c>
      <c r="AB79" s="184"/>
      <c r="AC79" s="184"/>
      <c r="AD79" s="184">
        <v>55840</v>
      </c>
      <c r="AE79" s="184"/>
      <c r="AF79" s="184"/>
      <c r="AG79" s="184">
        <v>297833</v>
      </c>
      <c r="AH79" s="184"/>
      <c r="AI79" s="184"/>
      <c r="AJ79" s="184">
        <v>25473</v>
      </c>
      <c r="AK79" s="184">
        <v>27833</v>
      </c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5554</v>
      </c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2693595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120.29</v>
      </c>
      <c r="D80" s="187"/>
      <c r="E80" s="187">
        <v>228.2</v>
      </c>
      <c r="F80" s="187"/>
      <c r="G80" s="187">
        <v>25.93</v>
      </c>
      <c r="H80" s="187">
        <v>16.920000000000002</v>
      </c>
      <c r="I80" s="187"/>
      <c r="J80" s="187">
        <v>28.83</v>
      </c>
      <c r="K80" s="187"/>
      <c r="L80" s="187"/>
      <c r="M80" s="187"/>
      <c r="N80" s="187"/>
      <c r="O80" s="187">
        <v>79.819999999999993</v>
      </c>
      <c r="P80" s="187">
        <v>88.72</v>
      </c>
      <c r="Q80" s="187">
        <v>15.16</v>
      </c>
      <c r="R80" s="187"/>
      <c r="S80" s="187">
        <v>0</v>
      </c>
      <c r="T80" s="187">
        <v>11.74</v>
      </c>
      <c r="U80" s="187">
        <v>2.94</v>
      </c>
      <c r="V80" s="187"/>
      <c r="W80" s="187"/>
      <c r="X80" s="187">
        <v>0</v>
      </c>
      <c r="Y80" s="187">
        <v>5.62</v>
      </c>
      <c r="Z80" s="187"/>
      <c r="AA80" s="187"/>
      <c r="AB80" s="187">
        <v>3.58</v>
      </c>
      <c r="AC80" s="187"/>
      <c r="AD80" s="187">
        <v>20.75</v>
      </c>
      <c r="AE80" s="187"/>
      <c r="AF80" s="187"/>
      <c r="AG80" s="187">
        <v>51.51</v>
      </c>
      <c r="AH80" s="187"/>
      <c r="AI80" s="187">
        <v>81.52</v>
      </c>
      <c r="AJ80" s="187">
        <v>16.059999999999999</v>
      </c>
      <c r="AK80" s="187"/>
      <c r="AL80" s="187"/>
      <c r="AM80" s="187"/>
      <c r="AN80" s="187"/>
      <c r="AO80" s="187"/>
      <c r="AP80" s="187">
        <v>9.8699999999999992</v>
      </c>
      <c r="AQ80" s="187"/>
      <c r="AR80" s="187">
        <v>104.37</v>
      </c>
      <c r="AS80" s="187"/>
      <c r="AT80" s="187"/>
      <c r="AU80" s="187"/>
      <c r="AV80" s="187">
        <v>2.66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914.49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0" t="s">
        <v>1265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1266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29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69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0" t="s">
        <v>1268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29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29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29" t="s">
        <v>1271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29" t="s">
        <v>1272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69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69" t="s">
        <v>1274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69" t="s">
        <v>1274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20410</v>
      </c>
      <c r="D111" s="174">
        <v>111192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4161</v>
      </c>
      <c r="D114" s="284">
        <v>11071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35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186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33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26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23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23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366</v>
      </c>
    </row>
    <row r="128" spans="1:5" ht="12.6" customHeight="1" x14ac:dyDescent="0.25">
      <c r="A128" s="173" t="s">
        <v>292</v>
      </c>
      <c r="B128" s="172" t="s">
        <v>256</v>
      </c>
      <c r="C128" s="189">
        <v>366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35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8490</v>
      </c>
      <c r="C138" s="189">
        <v>5150</v>
      </c>
      <c r="D138" s="174">
        <f>20410-13640</f>
        <v>6770</v>
      </c>
      <c r="E138" s="175">
        <f>SUM(B138:D138)</f>
        <v>20410</v>
      </c>
    </row>
    <row r="139" spans="1:6" ht="12.6" customHeight="1" x14ac:dyDescent="0.25">
      <c r="A139" s="173" t="s">
        <v>215</v>
      </c>
      <c r="B139" s="174">
        <v>53138</v>
      </c>
      <c r="C139" s="189">
        <v>28623</v>
      </c>
      <c r="D139" s="174">
        <f>111192-81761</f>
        <v>29431</v>
      </c>
      <c r="E139" s="175">
        <f>SUM(B139:D139)</f>
        <v>111192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779767957.00999999</v>
      </c>
      <c r="C141" s="189">
        <v>390120130.66000003</v>
      </c>
      <c r="D141" s="174">
        <f>-1169888088+1639524827.87</f>
        <v>469636739.86999989</v>
      </c>
      <c r="E141" s="175">
        <f>SUM(B141:D141)</f>
        <v>1639524827.54</v>
      </c>
      <c r="F141" s="199"/>
    </row>
    <row r="142" spans="1:6" ht="12.6" customHeight="1" x14ac:dyDescent="0.25">
      <c r="A142" s="173" t="s">
        <v>246</v>
      </c>
      <c r="B142" s="174">
        <f>456971892.89+2732452.54+49267429.44+2661780.23</f>
        <v>511633555.10000002</v>
      </c>
      <c r="C142" s="189">
        <f>233995842.07+64+1127936.43+7788277.04+580705.29</f>
        <v>243492824.82999998</v>
      </c>
      <c r="D142" s="174">
        <f>-1639524828-755126380+2806799620.61</f>
        <v>412148412.61000013</v>
      </c>
      <c r="E142" s="175">
        <f>SUM(B142:D142)</f>
        <v>1167274792.5400002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15445178.85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685001.22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3262359.96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29766618.46-3976178.05+841478.8+1858768.02-597709.28+250632.03-247438.47+688106.16</f>
        <v>28584277.670000002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649433.33-415042.09</f>
        <v>234391.23999999993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5954554.66+4745260.72+190493.53</f>
        <v>10890308.909999998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511373.73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-59612892+60808069.46</f>
        <v>1195177.4600000009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60808069.039999999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5903443.0199999996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3517161.3+177693.34+362805.06</f>
        <v>4057659.6999999997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9961102.7199999988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f>4639258+61128.03-152749</f>
        <v>4547637.03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774943.8+218</f>
        <v>775161.8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5322798.83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129994.66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25517729.210000001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25647723.870000001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1298186.5900000001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1298186.5900000001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7877315</v>
      </c>
      <c r="C195" s="285">
        <v>87342.91</v>
      </c>
      <c r="D195" s="284">
        <v>87342.91</v>
      </c>
      <c r="E195" s="175">
        <f t="shared" ref="E195:E203" si="10">SUM(B195:C195)-D195</f>
        <v>7877315</v>
      </c>
    </row>
    <row r="196" spans="1:8" ht="12.6" customHeight="1" x14ac:dyDescent="0.25">
      <c r="A196" s="173" t="s">
        <v>333</v>
      </c>
      <c r="B196" s="174">
        <v>4480025</v>
      </c>
      <c r="C196" s="285">
        <v>28945.81</v>
      </c>
      <c r="D196" s="284">
        <f>28945.81+67835</f>
        <v>96780.81</v>
      </c>
      <c r="E196" s="175">
        <f t="shared" si="10"/>
        <v>4412190</v>
      </c>
    </row>
    <row r="197" spans="1:8" ht="12.6" customHeight="1" x14ac:dyDescent="0.25">
      <c r="A197" s="173" t="s">
        <v>334</v>
      </c>
      <c r="B197" s="174">
        <v>166197029.56</v>
      </c>
      <c r="C197" s="285">
        <v>2331317</v>
      </c>
      <c r="D197" s="284">
        <f>184863.38-2117728.33+1</f>
        <v>-1932863.9500000002</v>
      </c>
      <c r="E197" s="175">
        <f t="shared" si="10"/>
        <v>170461210.50999999</v>
      </c>
    </row>
    <row r="198" spans="1:8" ht="12.6" customHeight="1" x14ac:dyDescent="0.25">
      <c r="A198" s="173" t="s">
        <v>335</v>
      </c>
      <c r="B198" s="174">
        <v>0</v>
      </c>
      <c r="C198" s="285"/>
      <c r="D198" s="28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73249296.519999996</v>
      </c>
      <c r="C199" s="285">
        <v>118329.76</v>
      </c>
      <c r="D199" s="284">
        <f>16262.44+663971.18+9974.74</f>
        <v>690208.36</v>
      </c>
      <c r="E199" s="175">
        <f t="shared" si="10"/>
        <v>72677417.920000002</v>
      </c>
    </row>
    <row r="200" spans="1:8" ht="12.6" customHeight="1" x14ac:dyDescent="0.25">
      <c r="A200" s="173" t="s">
        <v>337</v>
      </c>
      <c r="B200" s="174">
        <v>219966207.73999998</v>
      </c>
      <c r="C200" s="285">
        <v>18238185.039999999</v>
      </c>
      <c r="D200" s="284">
        <f>-66426.17+7420658.11+349488.44</f>
        <v>7703720.3800000008</v>
      </c>
      <c r="E200" s="175">
        <f t="shared" si="10"/>
        <v>230500672.39999998</v>
      </c>
    </row>
    <row r="201" spans="1:8" ht="12.6" customHeight="1" x14ac:dyDescent="0.25">
      <c r="A201" s="173" t="s">
        <v>338</v>
      </c>
      <c r="B201" s="174">
        <v>0</v>
      </c>
      <c r="C201" s="285"/>
      <c r="D201" s="28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28198881</v>
      </c>
      <c r="C202" s="285">
        <v>5527871.5700000003</v>
      </c>
      <c r="D202" s="284">
        <f>2097542.03+5257568.25+323334.27-1</f>
        <v>7678443.5499999989</v>
      </c>
      <c r="E202" s="175">
        <f t="shared" si="10"/>
        <v>26048309.020000003</v>
      </c>
    </row>
    <row r="203" spans="1:8" ht="12.6" customHeight="1" x14ac:dyDescent="0.25">
      <c r="A203" s="173" t="s">
        <v>340</v>
      </c>
      <c r="B203" s="174">
        <v>17884007.780000001</v>
      </c>
      <c r="C203" s="285">
        <f>10458050.04</f>
        <v>10458050.039999999</v>
      </c>
      <c r="D203" s="284">
        <f>-7206220.87+24205689.46-1</f>
        <v>16999467.59</v>
      </c>
      <c r="E203" s="175">
        <f t="shared" si="10"/>
        <v>11342590.23</v>
      </c>
    </row>
    <row r="204" spans="1:8" ht="12.6" customHeight="1" x14ac:dyDescent="0.25">
      <c r="A204" s="173" t="s">
        <v>203</v>
      </c>
      <c r="B204" s="175">
        <f>SUM(B195:B203)</f>
        <v>517852762.5999999</v>
      </c>
      <c r="C204" s="191">
        <f>SUM(C195:C203)</f>
        <v>36790042.129999995</v>
      </c>
      <c r="D204" s="175">
        <f>SUM(D195:D203)</f>
        <v>31323099.649999999</v>
      </c>
      <c r="E204" s="175">
        <f>SUM(E195:E203)</f>
        <v>523319705.07999998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3021675.26</v>
      </c>
      <c r="C209" s="285">
        <f>173419.8</f>
        <v>173419.8</v>
      </c>
      <c r="D209" s="284">
        <f>562.76+22988.76</f>
        <v>23551.519999999997</v>
      </c>
      <c r="E209" s="175">
        <f t="shared" ref="E209:E216" si="11">SUM(B209:C209)-D209</f>
        <v>3171543.5399999996</v>
      </c>
      <c r="H209" s="258"/>
    </row>
    <row r="210" spans="1:8" ht="12.6" customHeight="1" x14ac:dyDescent="0.25">
      <c r="A210" s="173" t="s">
        <v>334</v>
      </c>
      <c r="B210" s="174">
        <v>73212114.280000001</v>
      </c>
      <c r="C210" s="285">
        <f>2385755.48+2318561.95</f>
        <v>4704317.43</v>
      </c>
      <c r="D210" s="284">
        <v>-59273.27</v>
      </c>
      <c r="E210" s="175">
        <f t="shared" si="11"/>
        <v>77975704.980000004</v>
      </c>
      <c r="H210" s="258"/>
    </row>
    <row r="211" spans="1:8" ht="12.6" customHeight="1" x14ac:dyDescent="0.25">
      <c r="A211" s="173" t="s">
        <v>335</v>
      </c>
      <c r="B211" s="174">
        <v>3770132.77</v>
      </c>
      <c r="C211" s="285"/>
      <c r="D211" s="284"/>
      <c r="E211" s="175">
        <f t="shared" si="11"/>
        <v>3770132.77</v>
      </c>
      <c r="H211" s="258"/>
    </row>
    <row r="212" spans="1:8" ht="12.6" customHeight="1" x14ac:dyDescent="0.25">
      <c r="A212" s="173" t="s">
        <v>336</v>
      </c>
      <c r="B212" s="174">
        <v>60908468.609999999</v>
      </c>
      <c r="C212" s="285">
        <v>1230654.07</v>
      </c>
      <c r="D212" s="284">
        <f>542.08+504888.24+2714.03</f>
        <v>508144.35000000003</v>
      </c>
      <c r="E212" s="175">
        <f t="shared" si="11"/>
        <v>61630978.329999998</v>
      </c>
      <c r="H212" s="258"/>
    </row>
    <row r="213" spans="1:8" ht="12.6" customHeight="1" x14ac:dyDescent="0.25">
      <c r="A213" s="173" t="s">
        <v>337</v>
      </c>
      <c r="B213" s="174">
        <v>164628933.73999998</v>
      </c>
      <c r="C213" s="285">
        <v>13203399.380000001</v>
      </c>
      <c r="D213" s="284">
        <f>22230.98+6099536+129867.91</f>
        <v>6251634.8900000006</v>
      </c>
      <c r="E213" s="175">
        <f t="shared" si="11"/>
        <v>171580698.22999996</v>
      </c>
      <c r="H213" s="258"/>
    </row>
    <row r="214" spans="1:8" ht="12.6" customHeight="1" x14ac:dyDescent="0.25">
      <c r="A214" s="173" t="s">
        <v>338</v>
      </c>
      <c r="B214" s="174">
        <v>0</v>
      </c>
      <c r="C214" s="285"/>
      <c r="D214" s="284"/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>
        <v>10022023.029999999</v>
      </c>
      <c r="C215" s="285">
        <f>1931394.6529546+29546</f>
        <v>1960940.6529546001</v>
      </c>
      <c r="D215" s="284">
        <f>151280.31+2384400.1+94683.7-1+29546</f>
        <v>2659909.1100000003</v>
      </c>
      <c r="E215" s="175">
        <f t="shared" si="11"/>
        <v>9323054.5729545988</v>
      </c>
      <c r="H215" s="258"/>
    </row>
    <row r="216" spans="1:8" ht="12.6" customHeight="1" x14ac:dyDescent="0.25">
      <c r="A216" s="173" t="s">
        <v>340</v>
      </c>
      <c r="B216" s="174">
        <v>0</v>
      </c>
      <c r="C216" s="285"/>
      <c r="D216" s="28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315563347.68999994</v>
      </c>
      <c r="C217" s="191">
        <f>SUM(C208:C216)</f>
        <v>21272731.3329546</v>
      </c>
      <c r="D217" s="175">
        <f>SUM(D208:D216)</f>
        <v>9383966.6000000015</v>
      </c>
      <c r="E217" s="175">
        <f>SUM(E208:E216)</f>
        <v>327452112.42295456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05" t="s">
        <v>1255</v>
      </c>
      <c r="C220" s="305"/>
      <c r="D220" s="208"/>
      <c r="E220" s="208"/>
    </row>
    <row r="221" spans="1:8" ht="12.6" customHeight="1" x14ac:dyDescent="0.25">
      <c r="A221" s="270" t="s">
        <v>1255</v>
      </c>
      <c r="B221" s="208"/>
      <c r="C221" s="189">
        <v>8609436.4900000002</v>
      </c>
      <c r="D221" s="172">
        <f>C221</f>
        <v>8609436.4900000002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f>638634490.13+401345849.98+1280506.01+17251.17</f>
        <v>1041278097.29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309175363.73+208156585.09+47.15+784068.71</f>
        <v>518116064.68000001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53674410.98+48523864.41+77381.84</f>
        <v>102275657.22999999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2081808820-C224-C223-C228-C226</f>
        <v>399480204.71000004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10791611.49+9832779.97+34404.63</f>
        <v>20658796.09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2081808820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8765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12029283.49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29579984.97-12029283.49</f>
        <v>17550701.479999997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29579984.969999999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>
        <f>3955451.9+10457825.43+1822+363315.48+118190.07+9178.53</f>
        <v>14905783.41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14905783.41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2134904024.8700001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109704698.59999999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365503084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250537708.75+25649954.34</f>
        <v>276187663.08999997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5796606.81+1048344.12+4602725.12</f>
        <v>11447676.050000001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15498480.220000001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f>677508.7+1</f>
        <v>677509.7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226643785.48000005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7877314.96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4412190.25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122860258.49+47600952.02</f>
        <v>170461210.50999999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72677417.569999993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230500672.40000001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26048308.969999999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8142010.69+3200579.37</f>
        <v>11342590.060000001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523319704.71999997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327452112.04000002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195867592.67999995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f>54812076.21+5401316.86</f>
        <v>60213393.07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f>32737+1213133.14</f>
        <v>1245870.1399999999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61459263.210000001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483970641.36999995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17882924.899999999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26696101.879999999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f>16589237.23+785372.67+21133920.88</f>
        <v>38508530.780000001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-978716.59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11026409.34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1658589.75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94793840.060000002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f>1658590+5228405.19</f>
        <v>6886995.1900000004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4673978.63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11560973.82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1658589.75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9902384.0700000003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379274416.43000001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483970640.56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483970641.36999995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1639524827.8699999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-1639524828+2806799620.61</f>
        <v>1167274792.6100001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2806799620.48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8609436.4900000002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f>1217545171.43+876136617.07+1869.15+2885086.94+118190.07+27667.89-C366+1</f>
        <v>2081808820.1400001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29579984.969999999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C238</f>
        <v>14905783.41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2134904025.0100002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671895595.46999979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f>151635002.73+633573.72-1345560.49</f>
        <v>150923015.95999998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150923015.95999998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822818611.42999983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f>207634074.36+2978286.27</f>
        <v>210612360.63000003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60808069.460000001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25183326.25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106596985.93000001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4794052.58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297890.47+147264037.78+5312921.84+7325611.7</f>
        <v>160200461.78999999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21272731.41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9961102.7200000007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5322798.83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129994.66+25517729.21</f>
        <v>25647723.870000001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1298186.5900000001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-631697800+652326489.75</f>
        <v>20628689.75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652326489.81000006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170492121.61999977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3014314.53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173506436.14999977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173506436.14999977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St.Joseph Medical Center   H-0     FYE 06/30/2017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20410</v>
      </c>
      <c r="C414" s="194">
        <f>E138</f>
        <v>20410</v>
      </c>
      <c r="D414" s="179"/>
    </row>
    <row r="415" spans="1:5" ht="12.6" customHeight="1" x14ac:dyDescent="0.25">
      <c r="A415" s="194" t="s">
        <v>464</v>
      </c>
      <c r="B415" s="194">
        <f>D111</f>
        <v>111192</v>
      </c>
      <c r="C415" s="194">
        <f>E139</f>
        <v>111192</v>
      </c>
      <c r="D415" s="194">
        <f>SUM(C59:H59)+N59</f>
        <v>111192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4161</v>
      </c>
    </row>
    <row r="424" spans="1:7" ht="12.6" customHeight="1" x14ac:dyDescent="0.25">
      <c r="A424" s="194" t="s">
        <v>1244</v>
      </c>
      <c r="B424" s="194">
        <f>D114</f>
        <v>11071</v>
      </c>
      <c r="C424" s="233"/>
      <c r="D424" s="194">
        <f>J59</f>
        <v>11071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210612360.63000003</v>
      </c>
      <c r="C427" s="179">
        <f t="shared" ref="C427:C434" si="13">CE61</f>
        <v>210612360.27999997</v>
      </c>
      <c r="D427" s="179"/>
    </row>
    <row r="428" spans="1:7" ht="12.6" customHeight="1" x14ac:dyDescent="0.25">
      <c r="A428" s="194" t="s">
        <v>3</v>
      </c>
      <c r="B428" s="194">
        <f t="shared" si="12"/>
        <v>60808069.460000001</v>
      </c>
      <c r="C428" s="194">
        <f t="shared" si="13"/>
        <v>60808069</v>
      </c>
      <c r="D428" s="194">
        <f>D173</f>
        <v>60808069.039999999</v>
      </c>
      <c r="E428" s="233"/>
    </row>
    <row r="429" spans="1:7" ht="12.6" customHeight="1" x14ac:dyDescent="0.25">
      <c r="A429" s="179" t="s">
        <v>236</v>
      </c>
      <c r="B429" s="179">
        <f t="shared" si="12"/>
        <v>25183326.25</v>
      </c>
      <c r="C429" s="179">
        <f t="shared" si="13"/>
        <v>25183326.340000004</v>
      </c>
      <c r="D429" s="179"/>
    </row>
    <row r="430" spans="1:7" ht="12.6" customHeight="1" x14ac:dyDescent="0.25">
      <c r="A430" s="179" t="s">
        <v>237</v>
      </c>
      <c r="B430" s="179">
        <f t="shared" si="12"/>
        <v>106596985.93000001</v>
      </c>
      <c r="C430" s="179">
        <f t="shared" si="13"/>
        <v>106596986.01000001</v>
      </c>
      <c r="D430" s="179"/>
    </row>
    <row r="431" spans="1:7" ht="12.6" customHeight="1" x14ac:dyDescent="0.25">
      <c r="A431" s="179" t="s">
        <v>444</v>
      </c>
      <c r="B431" s="179">
        <f t="shared" si="12"/>
        <v>4794052.58</v>
      </c>
      <c r="C431" s="179">
        <f t="shared" si="13"/>
        <v>4794052.5799999991</v>
      </c>
      <c r="D431" s="179"/>
    </row>
    <row r="432" spans="1:7" ht="12.6" customHeight="1" x14ac:dyDescent="0.25">
      <c r="A432" s="179" t="s">
        <v>445</v>
      </c>
      <c r="B432" s="179">
        <f t="shared" si="12"/>
        <v>160200461.78999999</v>
      </c>
      <c r="C432" s="179">
        <f t="shared" si="13"/>
        <v>160200461.88864288</v>
      </c>
      <c r="D432" s="179"/>
    </row>
    <row r="433" spans="1:7" ht="12.6" customHeight="1" x14ac:dyDescent="0.25">
      <c r="A433" s="179" t="s">
        <v>6</v>
      </c>
      <c r="B433" s="179">
        <f t="shared" si="12"/>
        <v>21272731.41</v>
      </c>
      <c r="C433" s="179">
        <f t="shared" si="13"/>
        <v>21272730</v>
      </c>
      <c r="D433" s="179">
        <f>C217</f>
        <v>21272731.3329546</v>
      </c>
    </row>
    <row r="434" spans="1:7" ht="12.6" customHeight="1" x14ac:dyDescent="0.25">
      <c r="A434" s="179" t="s">
        <v>474</v>
      </c>
      <c r="B434" s="179">
        <f t="shared" si="12"/>
        <v>9961102.7200000007</v>
      </c>
      <c r="C434" s="179">
        <f t="shared" si="13"/>
        <v>9961102.6499999985</v>
      </c>
      <c r="D434" s="179">
        <f>D177</f>
        <v>9961102.7199999988</v>
      </c>
    </row>
    <row r="435" spans="1:7" ht="12.6" customHeight="1" x14ac:dyDescent="0.25">
      <c r="A435" s="179" t="s">
        <v>447</v>
      </c>
      <c r="B435" s="179">
        <f t="shared" si="12"/>
        <v>5322798.83</v>
      </c>
      <c r="C435" s="179"/>
      <c r="D435" s="179">
        <f>D181</f>
        <v>5322798.83</v>
      </c>
    </row>
    <row r="436" spans="1:7" ht="12.6" customHeight="1" x14ac:dyDescent="0.25">
      <c r="A436" s="179" t="s">
        <v>475</v>
      </c>
      <c r="B436" s="179">
        <f t="shared" si="12"/>
        <v>25647723.870000001</v>
      </c>
      <c r="C436" s="179"/>
      <c r="D436" s="179">
        <f>D186</f>
        <v>25647723.870000001</v>
      </c>
    </row>
    <row r="437" spans="1:7" ht="12.6" customHeight="1" x14ac:dyDescent="0.25">
      <c r="A437" s="194" t="s">
        <v>449</v>
      </c>
      <c r="B437" s="194">
        <f t="shared" si="12"/>
        <v>1298186.5900000001</v>
      </c>
      <c r="C437" s="194"/>
      <c r="D437" s="194">
        <f>D190</f>
        <v>1298186.5900000001</v>
      </c>
    </row>
    <row r="438" spans="1:7" ht="12.6" customHeight="1" x14ac:dyDescent="0.25">
      <c r="A438" s="194" t="s">
        <v>476</v>
      </c>
      <c r="B438" s="194">
        <f>C386+C387+C388</f>
        <v>32268709.290000003</v>
      </c>
      <c r="C438" s="194"/>
      <c r="D438" s="194">
        <f>D181+D186+D190</f>
        <v>32268709.290000003</v>
      </c>
    </row>
    <row r="439" spans="1:7" ht="12.6" customHeight="1" x14ac:dyDescent="0.25">
      <c r="A439" s="194" t="s">
        <v>451</v>
      </c>
      <c r="B439" s="194">
        <f>C389</f>
        <v>20628689.75</v>
      </c>
      <c r="C439" s="194">
        <f>SUM(C69:CC69)</f>
        <v>20628690.149999999</v>
      </c>
      <c r="D439" s="179"/>
    </row>
    <row r="440" spans="1:7" ht="12.6" customHeight="1" x14ac:dyDescent="0.25">
      <c r="A440" s="194" t="s">
        <v>477</v>
      </c>
      <c r="B440" s="194">
        <f>B438+B439</f>
        <v>52897399.040000007</v>
      </c>
      <c r="C440" s="194">
        <f>CE69</f>
        <v>52897399.149999999</v>
      </c>
      <c r="D440" s="179"/>
    </row>
    <row r="441" spans="1:7" ht="12.6" customHeight="1" x14ac:dyDescent="0.25">
      <c r="A441" s="194" t="s">
        <v>478</v>
      </c>
      <c r="B441" s="194">
        <f>D390</f>
        <v>652326489.81000006</v>
      </c>
      <c r="C441" s="194">
        <f>SUM(C427:C437)+C440</f>
        <v>652326487.89864278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8609436.4900000002</v>
      </c>
      <c r="C444" s="179">
        <f>C363</f>
        <v>8609436.4900000002</v>
      </c>
      <c r="D444" s="179"/>
    </row>
    <row r="445" spans="1:7" ht="12.6" customHeight="1" x14ac:dyDescent="0.25">
      <c r="A445" s="179" t="s">
        <v>343</v>
      </c>
      <c r="B445" s="179">
        <f>D229</f>
        <v>2081808820</v>
      </c>
      <c r="C445" s="179">
        <f>C364</f>
        <v>2081808820.1400001</v>
      </c>
      <c r="D445" s="179"/>
    </row>
    <row r="446" spans="1:7" ht="12.6" customHeight="1" x14ac:dyDescent="0.25">
      <c r="A446" s="179" t="s">
        <v>351</v>
      </c>
      <c r="B446" s="179">
        <f>D236</f>
        <v>29579984.969999999</v>
      </c>
      <c r="C446" s="179">
        <f>C365</f>
        <v>29579984.969999999</v>
      </c>
      <c r="D446" s="179"/>
    </row>
    <row r="447" spans="1:7" ht="12.6" customHeight="1" x14ac:dyDescent="0.25">
      <c r="A447" s="179" t="s">
        <v>356</v>
      </c>
      <c r="B447" s="179">
        <f>D240</f>
        <v>14905783.41</v>
      </c>
      <c r="C447" s="179">
        <f>C366</f>
        <v>14905783.41</v>
      </c>
      <c r="D447" s="179"/>
    </row>
    <row r="448" spans="1:7" ht="12.6" customHeight="1" x14ac:dyDescent="0.25">
      <c r="A448" s="179" t="s">
        <v>358</v>
      </c>
      <c r="B448" s="179">
        <f>D242</f>
        <v>2134904024.8700001</v>
      </c>
      <c r="C448" s="179">
        <f>D367</f>
        <v>2134904025.0100002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8765</v>
      </c>
    </row>
    <row r="454" spans="1:7" ht="12.6" customHeight="1" x14ac:dyDescent="0.25">
      <c r="A454" s="179" t="s">
        <v>168</v>
      </c>
      <c r="B454" s="179">
        <f>C233</f>
        <v>12029283.49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17550701.479999997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150923015.95999998</v>
      </c>
      <c r="C458" s="194">
        <f>CE70</f>
        <v>150923015.52000004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1639524827.8699999</v>
      </c>
      <c r="C463" s="194">
        <f>CE73</f>
        <v>1639524828.1499996</v>
      </c>
      <c r="D463" s="194">
        <f>E141+E147+E153</f>
        <v>1639524827.54</v>
      </c>
    </row>
    <row r="464" spans="1:7" ht="12.6" customHeight="1" x14ac:dyDescent="0.25">
      <c r="A464" s="194" t="s">
        <v>246</v>
      </c>
      <c r="B464" s="194">
        <f>C360</f>
        <v>1167274792.6100001</v>
      </c>
      <c r="C464" s="194">
        <f>CE74</f>
        <v>1167274793.0600002</v>
      </c>
      <c r="D464" s="194">
        <f>E142+E148+E154</f>
        <v>1167274792.5400002</v>
      </c>
    </row>
    <row r="465" spans="1:7" ht="12.6" customHeight="1" x14ac:dyDescent="0.25">
      <c r="A465" s="179" t="s">
        <v>247</v>
      </c>
      <c r="B465" s="194">
        <f>D361</f>
        <v>2806799620.48</v>
      </c>
      <c r="C465" s="194">
        <f>CE75</f>
        <v>2806799621.2100005</v>
      </c>
      <c r="D465" s="194">
        <f>D463+D464</f>
        <v>2806799620.0799999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7877314.96</v>
      </c>
      <c r="C468" s="179">
        <f>E195</f>
        <v>7877315</v>
      </c>
      <c r="D468" s="179"/>
    </row>
    <row r="469" spans="1:7" ht="12.6" customHeight="1" x14ac:dyDescent="0.25">
      <c r="A469" s="179" t="s">
        <v>333</v>
      </c>
      <c r="B469" s="179">
        <f t="shared" si="14"/>
        <v>4412190.25</v>
      </c>
      <c r="C469" s="179">
        <f>E196</f>
        <v>4412190</v>
      </c>
      <c r="D469" s="179"/>
    </row>
    <row r="470" spans="1:7" ht="12.6" customHeight="1" x14ac:dyDescent="0.25">
      <c r="A470" s="179" t="s">
        <v>334</v>
      </c>
      <c r="B470" s="179">
        <f t="shared" si="14"/>
        <v>170461210.50999999</v>
      </c>
      <c r="C470" s="179">
        <f>E197</f>
        <v>170461210.50999999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72677417.569999993</v>
      </c>
      <c r="C472" s="179">
        <f>E199</f>
        <v>72677417.920000002</v>
      </c>
      <c r="D472" s="179"/>
    </row>
    <row r="473" spans="1:7" ht="12.6" customHeight="1" x14ac:dyDescent="0.25">
      <c r="A473" s="179" t="s">
        <v>495</v>
      </c>
      <c r="B473" s="179">
        <f t="shared" si="14"/>
        <v>230500672.40000001</v>
      </c>
      <c r="C473" s="179">
        <f>SUM(E200:E201)</f>
        <v>230500672.39999998</v>
      </c>
      <c r="D473" s="179"/>
    </row>
    <row r="474" spans="1:7" ht="12.6" customHeight="1" x14ac:dyDescent="0.25">
      <c r="A474" s="179" t="s">
        <v>339</v>
      </c>
      <c r="B474" s="179">
        <f t="shared" si="14"/>
        <v>26048308.969999999</v>
      </c>
      <c r="C474" s="179">
        <f>E202</f>
        <v>26048309.020000003</v>
      </c>
      <c r="D474" s="179"/>
    </row>
    <row r="475" spans="1:7" ht="12.6" customHeight="1" x14ac:dyDescent="0.25">
      <c r="A475" s="179" t="s">
        <v>340</v>
      </c>
      <c r="B475" s="179">
        <f t="shared" si="14"/>
        <v>11342590.060000001</v>
      </c>
      <c r="C475" s="179">
        <f>E203</f>
        <v>11342590.23</v>
      </c>
      <c r="D475" s="179"/>
    </row>
    <row r="476" spans="1:7" ht="12.6" customHeight="1" x14ac:dyDescent="0.25">
      <c r="A476" s="179" t="s">
        <v>203</v>
      </c>
      <c r="B476" s="179">
        <f>D275</f>
        <v>523319704.71999997</v>
      </c>
      <c r="C476" s="179">
        <f>E204</f>
        <v>523319705.07999998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327452112.04000002</v>
      </c>
      <c r="C478" s="179">
        <f>E217</f>
        <v>327452112.42295456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483970641.36999995</v>
      </c>
    </row>
    <row r="482" spans="1:12" ht="12.6" customHeight="1" x14ac:dyDescent="0.25">
      <c r="A482" s="180" t="s">
        <v>499</v>
      </c>
      <c r="C482" s="180">
        <f>D339</f>
        <v>483970640.56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C84</f>
        <v>St.Joseph Medical Center</v>
      </c>
      <c r="B493" s="260" t="s">
        <v>1279</v>
      </c>
      <c r="C493" s="260" t="str">
        <f>RIGHT(C82,4)</f>
        <v>2017</v>
      </c>
      <c r="D493" s="260" t="s">
        <v>1279</v>
      </c>
      <c r="E493" s="260" t="str">
        <f>RIGHT(C82,4)</f>
        <v>2017</v>
      </c>
      <c r="F493" s="260" t="s">
        <v>1279</v>
      </c>
      <c r="G493" s="260" t="str">
        <f>RIGHT(C82,4)</f>
        <v>2017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v>24807459.580000002</v>
      </c>
      <c r="C496" s="239">
        <f>C71</f>
        <v>25771402.27</v>
      </c>
      <c r="D496" s="239">
        <v>18398</v>
      </c>
      <c r="E496" s="180">
        <f>C59</f>
        <v>23888</v>
      </c>
      <c r="F496" s="262">
        <f t="shared" ref="F496:G511" si="15">IF(B496=0,"",IF(D496=0,"",B496/D496))</f>
        <v>1348.3780617458419</v>
      </c>
      <c r="G496" s="263">
        <f t="shared" si="15"/>
        <v>1078.8430287173476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v>0</v>
      </c>
      <c r="C497" s="239">
        <f>D71</f>
        <v>0</v>
      </c>
      <c r="D497" s="239"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v>41253032.629999995</v>
      </c>
      <c r="C498" s="239">
        <f>E71</f>
        <v>44053398.559999995</v>
      </c>
      <c r="D498" s="239">
        <v>75844</v>
      </c>
      <c r="E498" s="180">
        <f>E59</f>
        <v>71992</v>
      </c>
      <c r="F498" s="262">
        <f t="shared" si="15"/>
        <v>543.91952731923413</v>
      </c>
      <c r="G498" s="262">
        <f t="shared" si="15"/>
        <v>611.92074897210796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v>0</v>
      </c>
      <c r="C499" s="239">
        <f>F71</f>
        <v>0</v>
      </c>
      <c r="D499" s="239"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v>7517316.9699999997</v>
      </c>
      <c r="C500" s="239">
        <f>G71</f>
        <v>6110848.2399999984</v>
      </c>
      <c r="D500" s="239">
        <v>9114</v>
      </c>
      <c r="E500" s="180">
        <f>G59</f>
        <v>7712</v>
      </c>
      <c r="F500" s="262">
        <f t="shared" si="15"/>
        <v>824.80984968180815</v>
      </c>
      <c r="G500" s="262">
        <f t="shared" si="15"/>
        <v>792.38177385892095</v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v>7244668.2500000019</v>
      </c>
      <c r="C501" s="239">
        <f>H71</f>
        <v>8148696.4100000011</v>
      </c>
      <c r="D501" s="239">
        <v>7681</v>
      </c>
      <c r="E501" s="180">
        <f>H59</f>
        <v>7600</v>
      </c>
      <c r="F501" s="262">
        <f t="shared" si="15"/>
        <v>943.19336674912142</v>
      </c>
      <c r="G501" s="262">
        <f t="shared" si="15"/>
        <v>1072.1968960526317</v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v>0</v>
      </c>
      <c r="C502" s="239">
        <f>I71</f>
        <v>0</v>
      </c>
      <c r="D502" s="239"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v>6558764.9499999993</v>
      </c>
      <c r="C503" s="239">
        <f>J71</f>
        <v>7624900.7199999988</v>
      </c>
      <c r="D503" s="239">
        <v>10211</v>
      </c>
      <c r="E503" s="180">
        <f>J59</f>
        <v>11071</v>
      </c>
      <c r="F503" s="262">
        <f t="shared" si="15"/>
        <v>642.32346978748399</v>
      </c>
      <c r="G503" s="262">
        <f t="shared" si="15"/>
        <v>688.72737060789439</v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v>0</v>
      </c>
      <c r="C504" s="239">
        <f>K71</f>
        <v>0</v>
      </c>
      <c r="D504" s="239"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v>0</v>
      </c>
      <c r="C505" s="239">
        <f>L71</f>
        <v>0</v>
      </c>
      <c r="D505" s="239"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v>0</v>
      </c>
      <c r="C506" s="239">
        <f>M71</f>
        <v>0</v>
      </c>
      <c r="D506" s="239"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v>0</v>
      </c>
      <c r="C507" s="239">
        <f>N71</f>
        <v>0</v>
      </c>
      <c r="D507" s="239"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v>17731431.990000002</v>
      </c>
      <c r="C508" s="239">
        <f>O71</f>
        <v>18753567.300000001</v>
      </c>
      <c r="D508" s="239">
        <v>19997</v>
      </c>
      <c r="E508" s="180">
        <f>O59</f>
        <v>20325</v>
      </c>
      <c r="F508" s="262">
        <f t="shared" si="15"/>
        <v>886.70460519077869</v>
      </c>
      <c r="G508" s="262">
        <f t="shared" si="15"/>
        <v>922.68473800738013</v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v>85199096.407800004</v>
      </c>
      <c r="C509" s="239">
        <f>P71</f>
        <v>92375846.816099986</v>
      </c>
      <c r="D509" s="239">
        <v>3252751</v>
      </c>
      <c r="E509" s="180">
        <f>P59</f>
        <v>4119106</v>
      </c>
      <c r="F509" s="262">
        <f t="shared" si="15"/>
        <v>26.192935274725919</v>
      </c>
      <c r="G509" s="262">
        <f t="shared" si="15"/>
        <v>22.426188307875542</v>
      </c>
      <c r="H509" s="264" t="str">
        <f t="shared" si="16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v>2738523.26</v>
      </c>
      <c r="C510" s="239">
        <f>Q71</f>
        <v>2843634.7000000007</v>
      </c>
      <c r="D510" s="286">
        <v>1555420</v>
      </c>
      <c r="E510" s="271">
        <f>Q59</f>
        <v>1241535</v>
      </c>
      <c r="F510" s="262">
        <f t="shared" si="15"/>
        <v>1.760632665132247</v>
      </c>
      <c r="G510" s="262">
        <f t="shared" si="15"/>
        <v>2.2904184739052873</v>
      </c>
      <c r="H510" s="264">
        <f t="shared" si="16"/>
        <v>0.30090649757043231</v>
      </c>
      <c r="I510" s="266"/>
      <c r="J510" s="180" t="s">
        <v>1275</v>
      </c>
      <c r="K510" s="260"/>
      <c r="L510" s="260"/>
    </row>
    <row r="511" spans="1:12" ht="12.6" customHeight="1" x14ac:dyDescent="0.25">
      <c r="A511" s="180" t="s">
        <v>527</v>
      </c>
      <c r="B511" s="239">
        <v>0</v>
      </c>
      <c r="C511" s="239">
        <f>R71</f>
        <v>0</v>
      </c>
      <c r="D511" s="239">
        <v>0</v>
      </c>
      <c r="E511" s="180">
        <f>R59</f>
        <v>0</v>
      </c>
      <c r="F511" s="262" t="str">
        <f t="shared" si="15"/>
        <v/>
      </c>
      <c r="G511" s="262" t="str">
        <f t="shared" si="15"/>
        <v/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v>5512515.0299999993</v>
      </c>
      <c r="C512" s="239">
        <f>S71</f>
        <v>4216840.6176576009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v>2969539.86</v>
      </c>
      <c r="C513" s="239">
        <f>T71</f>
        <v>3057276.59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v>15650162.789999999</v>
      </c>
      <c r="C514" s="239">
        <f>U71</f>
        <v>15864794.110000003</v>
      </c>
      <c r="D514" s="239">
        <v>2976451</v>
      </c>
      <c r="E514" s="180">
        <f>U59</f>
        <v>3078895</v>
      </c>
      <c r="F514" s="262">
        <f t="shared" si="17"/>
        <v>5.257994433639257</v>
      </c>
      <c r="G514" s="262">
        <f t="shared" si="17"/>
        <v>5.1527558133681088</v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v>0</v>
      </c>
      <c r="C515" s="239">
        <f>V71</f>
        <v>135678</v>
      </c>
      <c r="D515" s="239"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v>0</v>
      </c>
      <c r="C516" s="239">
        <f>W71</f>
        <v>0</v>
      </c>
      <c r="D516" s="239"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v>1875818.6600000001</v>
      </c>
      <c r="C517" s="239">
        <f>X71</f>
        <v>1611090.53</v>
      </c>
      <c r="D517" s="239">
        <v>80446</v>
      </c>
      <c r="E517" s="180">
        <f>X59</f>
        <v>82838</v>
      </c>
      <c r="F517" s="262">
        <f t="shared" si="17"/>
        <v>23.317736866966662</v>
      </c>
      <c r="G517" s="262">
        <f t="shared" si="17"/>
        <v>19.448689369612978</v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v>15522933.630000001</v>
      </c>
      <c r="C518" s="239">
        <f>Y71</f>
        <v>14493118.700000001</v>
      </c>
      <c r="D518" s="286">
        <v>782322</v>
      </c>
      <c r="E518" s="271">
        <f>Y59</f>
        <v>1203618</v>
      </c>
      <c r="F518" s="262">
        <f t="shared" si="17"/>
        <v>19.842128471396688</v>
      </c>
      <c r="G518" s="262">
        <f t="shared" si="17"/>
        <v>12.041294414008432</v>
      </c>
      <c r="H518" s="264">
        <f t="shared" si="16"/>
        <v>-0.39314502315784849</v>
      </c>
      <c r="I518" s="266"/>
      <c r="J518" s="180" t="s">
        <v>1276</v>
      </c>
      <c r="K518" s="260"/>
      <c r="L518" s="260"/>
    </row>
    <row r="519" spans="1:12" ht="12.6" customHeight="1" x14ac:dyDescent="0.25">
      <c r="A519" s="180" t="s">
        <v>535</v>
      </c>
      <c r="B519" s="239">
        <v>0</v>
      </c>
      <c r="C519" s="239">
        <f>Z71</f>
        <v>0</v>
      </c>
      <c r="D519" s="239"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v>1884104.5799999998</v>
      </c>
      <c r="C520" s="239">
        <f>AA71</f>
        <v>1457768.24</v>
      </c>
      <c r="D520" s="239">
        <v>46153</v>
      </c>
      <c r="E520" s="180">
        <f>AA59</f>
        <v>38200</v>
      </c>
      <c r="F520" s="262">
        <f t="shared" si="17"/>
        <v>40.823014321929229</v>
      </c>
      <c r="G520" s="262">
        <f t="shared" si="17"/>
        <v>38.161472251308901</v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v>29517209.879999988</v>
      </c>
      <c r="C521" s="239">
        <f>AB71</f>
        <v>28362084.470000003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v>3780604.96</v>
      </c>
      <c r="C522" s="239">
        <f>AC71</f>
        <v>3944987.6700000009</v>
      </c>
      <c r="D522" s="286">
        <v>66795</v>
      </c>
      <c r="E522" s="271">
        <f>AC59</f>
        <v>135774</v>
      </c>
      <c r="F522" s="262">
        <f t="shared" si="17"/>
        <v>56.600119170596599</v>
      </c>
      <c r="G522" s="262">
        <f t="shared" si="17"/>
        <v>29.055545759865666</v>
      </c>
      <c r="H522" s="264">
        <f t="shared" si="16"/>
        <v>-0.4866522158320854</v>
      </c>
      <c r="I522" s="266"/>
      <c r="J522" s="180" t="s">
        <v>1277</v>
      </c>
      <c r="K522" s="260"/>
      <c r="L522" s="260"/>
    </row>
    <row r="523" spans="1:12" ht="12.6" customHeight="1" x14ac:dyDescent="0.25">
      <c r="A523" s="180" t="s">
        <v>539</v>
      </c>
      <c r="B523" s="239">
        <v>12084960.74</v>
      </c>
      <c r="C523" s="239">
        <f>AD71</f>
        <v>9447098.5100000016</v>
      </c>
      <c r="D523" s="239"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v>5716886.29</v>
      </c>
      <c r="C524" s="239">
        <f>AE71</f>
        <v>5568338.879999999</v>
      </c>
      <c r="D524" s="239">
        <v>179909</v>
      </c>
      <c r="E524" s="180">
        <f>AE59</f>
        <v>177994</v>
      </c>
      <c r="F524" s="262">
        <f t="shared" si="17"/>
        <v>31.776544197344212</v>
      </c>
      <c r="G524" s="262">
        <f t="shared" si="17"/>
        <v>31.28385720866995</v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v>0</v>
      </c>
      <c r="C525" s="239">
        <f>AF71</f>
        <v>0</v>
      </c>
      <c r="D525" s="239"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v>18784599.150000002</v>
      </c>
      <c r="C526" s="239">
        <f>AG71</f>
        <v>19030834.780000001</v>
      </c>
      <c r="D526" s="286">
        <v>107958</v>
      </c>
      <c r="E526" s="271">
        <f>AG59</f>
        <v>53547</v>
      </c>
      <c r="F526" s="262">
        <f t="shared" si="17"/>
        <v>173.99913994331132</v>
      </c>
      <c r="G526" s="262">
        <f t="shared" si="17"/>
        <v>355.40431359366539</v>
      </c>
      <c r="H526" s="264">
        <f t="shared" si="16"/>
        <v>1.0425636224952353</v>
      </c>
      <c r="I526" s="266"/>
      <c r="J526" s="180" t="s">
        <v>1278</v>
      </c>
      <c r="K526" s="260"/>
      <c r="L526" s="260"/>
    </row>
    <row r="527" spans="1:12" ht="12.6" customHeight="1" x14ac:dyDescent="0.25">
      <c r="A527" s="180" t="s">
        <v>543</v>
      </c>
      <c r="B527" s="239">
        <v>0</v>
      </c>
      <c r="C527" s="239">
        <f>AH71</f>
        <v>0</v>
      </c>
      <c r="D527" s="239"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v>14370795.649999997</v>
      </c>
      <c r="C528" s="239">
        <f>AI71</f>
        <v>15343089.200000001</v>
      </c>
      <c r="D528" s="239">
        <v>14615</v>
      </c>
      <c r="E528" s="180">
        <f>AI59</f>
        <v>15376</v>
      </c>
      <c r="F528" s="262">
        <f t="shared" ref="F528:G540" si="18">IF(B528=0,"",IF(D528=0,"",B528/D528))</f>
        <v>983.29084160109448</v>
      </c>
      <c r="G528" s="262">
        <f t="shared" si="18"/>
        <v>997.85959937565042</v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v>10236901.640000001</v>
      </c>
      <c r="C529" s="239">
        <f>AJ71</f>
        <v>8837036.459999999</v>
      </c>
      <c r="D529" s="239">
        <v>27380</v>
      </c>
      <c r="E529" s="180">
        <f>AJ59</f>
        <v>24775</v>
      </c>
      <c r="F529" s="262">
        <f t="shared" si="18"/>
        <v>373.88245580715852</v>
      </c>
      <c r="G529" s="262">
        <f t="shared" si="18"/>
        <v>356.69168355196769</v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v>2482552.29</v>
      </c>
      <c r="C530" s="239">
        <f>AK71</f>
        <v>2396724.9800000004</v>
      </c>
      <c r="D530" s="239">
        <v>75563</v>
      </c>
      <c r="E530" s="180">
        <f>AK59</f>
        <v>76973</v>
      </c>
      <c r="F530" s="262">
        <f t="shared" si="18"/>
        <v>32.854072628138113</v>
      </c>
      <c r="G530" s="262">
        <f t="shared" si="18"/>
        <v>31.13721668637055</v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v>670588.32999999996</v>
      </c>
      <c r="C531" s="239">
        <f>AL71</f>
        <v>654171.52</v>
      </c>
      <c r="D531" s="239">
        <v>9248</v>
      </c>
      <c r="E531" s="180">
        <f>AL59</f>
        <v>8615</v>
      </c>
      <c r="F531" s="262">
        <f t="shared" si="18"/>
        <v>72.511713884083036</v>
      </c>
      <c r="G531" s="262">
        <f t="shared" si="18"/>
        <v>75.934012768427166</v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v>0</v>
      </c>
      <c r="C532" s="239">
        <f>AM71</f>
        <v>0</v>
      </c>
      <c r="D532" s="239"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v>37125</v>
      </c>
      <c r="C533" s="239">
        <f>AN71</f>
        <v>40270</v>
      </c>
      <c r="D533" s="239"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v>0</v>
      </c>
      <c r="C534" s="239">
        <f>AO71</f>
        <v>0</v>
      </c>
      <c r="D534" s="239"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v>7043972.620000002</v>
      </c>
      <c r="C535" s="239">
        <f>AP71</f>
        <v>4476870.9200000009</v>
      </c>
      <c r="D535" s="239">
        <v>33353</v>
      </c>
      <c r="E535" s="180">
        <f>AP59</f>
        <v>19698</v>
      </c>
      <c r="F535" s="262">
        <f t="shared" si="18"/>
        <v>211.19457380145721</v>
      </c>
      <c r="G535" s="262">
        <f t="shared" si="18"/>
        <v>227.27540460960509</v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v>0</v>
      </c>
      <c r="C536" s="239">
        <f>AQ71</f>
        <v>0</v>
      </c>
      <c r="D536" s="239"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v>39488898.369999997</v>
      </c>
      <c r="C537" s="239">
        <f>AR71</f>
        <v>44715184.619999997</v>
      </c>
      <c r="D537" s="239">
        <v>292542</v>
      </c>
      <c r="E537" s="180">
        <f>AR59</f>
        <v>345775</v>
      </c>
      <c r="F537" s="262">
        <f t="shared" si="18"/>
        <v>134.98539823341605</v>
      </c>
      <c r="G537" s="262">
        <f t="shared" si="18"/>
        <v>129.3187321813318</v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v>0</v>
      </c>
      <c r="C538" s="239">
        <f>AS71</f>
        <v>0</v>
      </c>
      <c r="D538" s="239"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v>0</v>
      </c>
      <c r="C539" s="239">
        <f>AT71</f>
        <v>0</v>
      </c>
      <c r="D539" s="239"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v>0</v>
      </c>
      <c r="C540" s="239">
        <f>AU71</f>
        <v>0</v>
      </c>
      <c r="D540" s="239"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v>58626742.161700003</v>
      </c>
      <c r="C541" s="239">
        <f>AV71</f>
        <v>-95645446.635200009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v>484890.10970000003</v>
      </c>
      <c r="C543" s="239">
        <f>AX71</f>
        <v>435101.20400000009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v>0</v>
      </c>
      <c r="C544" s="239">
        <f>AY71</f>
        <v>0</v>
      </c>
      <c r="D544" s="239">
        <v>591327</v>
      </c>
      <c r="E544" s="180">
        <f>AY59</f>
        <v>611178</v>
      </c>
      <c r="F544" s="262" t="str">
        <f t="shared" ref="F544:G550" si="19">IF(B544=0,"",IF(D544=0,"",B544/D544))</f>
        <v/>
      </c>
      <c r="G544" s="262" t="str">
        <f t="shared" si="19"/>
        <v/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v>8846417.8499999978</v>
      </c>
      <c r="C545" s="239">
        <f>AZ71</f>
        <v>8412087.6999999993</v>
      </c>
      <c r="D545" s="239">
        <v>2126517</v>
      </c>
      <c r="E545" s="180">
        <f>AZ59</f>
        <v>2003232</v>
      </c>
      <c r="F545" s="262">
        <f t="shared" si="19"/>
        <v>4.1600503781535716</v>
      </c>
      <c r="G545" s="262">
        <f t="shared" si="19"/>
        <v>4.1992578493155062</v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v>2015603.97</v>
      </c>
      <c r="C546" s="239">
        <f>BA71</f>
        <v>78742.149999999994</v>
      </c>
      <c r="D546" s="239"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v>1576602.1106999998</v>
      </c>
      <c r="C548" s="239">
        <f>BC71</f>
        <v>1500003.9199999997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v>0</v>
      </c>
      <c r="C549" s="239">
        <f>BD71</f>
        <v>0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v>24730111.327299997</v>
      </c>
      <c r="C550" s="239">
        <f>BE71</f>
        <v>27769183.0242</v>
      </c>
      <c r="D550" s="239">
        <v>871569</v>
      </c>
      <c r="E550" s="180">
        <f>BE59</f>
        <v>888995</v>
      </c>
      <c r="F550" s="262">
        <f t="shared" si="19"/>
        <v>28.374243837607807</v>
      </c>
      <c r="G550" s="262">
        <f t="shared" si="19"/>
        <v>31.236602032857327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v>6682980.5899999999</v>
      </c>
      <c r="C551" s="239">
        <f>BF71</f>
        <v>6423960.0999999987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v>386892.8089</v>
      </c>
      <c r="C552" s="239">
        <f>BG71</f>
        <v>1059846.648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v>2871598.2867999994</v>
      </c>
      <c r="C553" s="239">
        <f>BH71</f>
        <v>1850726.4030000002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v>-136044.63999999996</v>
      </c>
      <c r="C554" s="239">
        <f>BI71</f>
        <v>-122654.14999999991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v>1778698.9539000001</v>
      </c>
      <c r="C555" s="239">
        <f>BJ71</f>
        <v>1555428.2702999997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v>4796857.9520000005</v>
      </c>
      <c r="C556" s="239">
        <f>BK71</f>
        <v>6786585.2952997433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v>7007192.2725000009</v>
      </c>
      <c r="C557" s="239">
        <f>BL71</f>
        <v>7296540.7911999999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v>18859434.520199999</v>
      </c>
      <c r="C559" s="239">
        <f>BN71</f>
        <v>18937902.057850901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v>849797.71400000004</v>
      </c>
      <c r="C560" s="239">
        <f>BO71</f>
        <v>872702.76499999978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v>5702358.2188999988</v>
      </c>
      <c r="C561" s="239">
        <f>BP71</f>
        <v>5647923.7818999998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v>2322958.7109000003</v>
      </c>
      <c r="C563" s="239">
        <f>BR71</f>
        <v>2083995.7704000003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v>326727.78960000008</v>
      </c>
      <c r="C564" s="239">
        <f>BS71</f>
        <v>283268.31849999999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v>544203.69230000011</v>
      </c>
      <c r="C565" s="239">
        <f>BT71</f>
        <v>755054.12459999986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v>144068.24309999999</v>
      </c>
      <c r="C566" s="239">
        <f>BU71</f>
        <v>105989.6931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v>8776516.3936000019</v>
      </c>
      <c r="C567" s="239">
        <f>BV71</f>
        <v>9719861.2224418223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v>1474111.9605999999</v>
      </c>
      <c r="C568" s="239">
        <f>BW71</f>
        <v>1430824.11395264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v>4058860.2953000003</v>
      </c>
      <c r="C569" s="239">
        <f>BX71</f>
        <v>3415145.7910401607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v>6847234.0868999995</v>
      </c>
      <c r="C570" s="239">
        <f>BY71</f>
        <v>3249825.5593000003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v>1948399.1500999995</v>
      </c>
      <c r="C572" s="239">
        <f>CA71</f>
        <v>2090825.3770000003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v>257193.53220000002</v>
      </c>
      <c r="C573" s="239">
        <f>CB71</f>
        <v>178011.31089999995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v>5939450.9696000004</v>
      </c>
      <c r="C574" s="239">
        <f>CC71</f>
        <v>63627774.958099991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v>28386359</v>
      </c>
      <c r="C575" s="239">
        <f>CD71</f>
        <v>32268709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714502</v>
      </c>
      <c r="E612" s="180">
        <f>SUM(C624:D647)+SUM(C668:D713)</f>
        <v>393048071.6474182</v>
      </c>
      <c r="F612" s="180">
        <f>CE64-(AX64+BD64+BE64+BG64+BJ64+BN64+BP64+BQ64+CB64+CC64+CD64)</f>
        <v>106256350.95</v>
      </c>
      <c r="G612" s="180">
        <f>CE77-(AX77+AY77+BD77+BE77+BG77+BJ77+BN77+BP77+BQ77+CB77+CC77+CD77)</f>
        <v>611178</v>
      </c>
      <c r="H612" s="197">
        <f>CE60-(AX60+AY60+AZ60+BD60+BE60+BG60+BJ60+BN60+BO60+BP60+BQ60+BR60+CB60+CC60+CD60)</f>
        <v>2440.9200000000005</v>
      </c>
      <c r="I612" s="180">
        <f>CE78-(AX78+AY78+AZ78+BD78+BE78+BF78+BG78+BJ78+BN78+BO78+BP78+BQ78+BR78+CB78+CC78+CD78)</f>
        <v>199280</v>
      </c>
      <c r="J612" s="180">
        <f>CE79-(AX79+AY79+AZ79+BA79+BD79+BE79+BF79+BG79+BJ79+BN79+BO79+BP79+BQ79+BR79+CB79+CC79+CD79)</f>
        <v>2693595</v>
      </c>
      <c r="K612" s="180">
        <f>CE75-(AW75+AX75+AY75+AZ75+BA75+BB75+BC75+BD75+BE75+BF75+BG75+BH75+BI75+BJ75+BK75+BL75+BM75+BN75+BO75+BP75+BQ75+BR75+BS75+BT75+BU75+BV75+BW75+BX75+CB75+CC75+CD75)</f>
        <v>2806799621.2100005</v>
      </c>
      <c r="L612" s="197">
        <f>CE80-(AW80+AX80+AY80+AZ80+BA80+BB80+BC80+BD80+BE80+BF80+BG80+BH80+BI80+BJ80+BK80+BL80+BM80+BN80+BO80+BP80+BQ80+BR80+BS80+BT80+BU80+BV80+BW80+BX80+BY80+BZ80+CA80+CB80+CC80+CD80)</f>
        <v>914.49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27769183.0242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1">
        <f>CD69-CD70</f>
        <v>32268709</v>
      </c>
      <c r="D615" s="265">
        <f>SUM(C614:C615)</f>
        <v>60037892.0242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435101.20400000009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1555428.2702999997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1059846.648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18937902.057850901</v>
      </c>
      <c r="D619" s="180">
        <f>(D615/D612)*BN76</f>
        <v>16913412.500173651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63627774.958099991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5647923.7818999998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178011.31089999995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108355400.73122455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2083995.7704000003</v>
      </c>
      <c r="D626" s="180">
        <f>(D615/D612)*BR76</f>
        <v>1403429.0633030955</v>
      </c>
      <c r="E626" s="180">
        <f>(E623/E612)*SUM(C626:D626)</f>
        <v>961412.46487248933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872702.76499999978</v>
      </c>
      <c r="D627" s="180">
        <f>(D615/D612)*BO76</f>
        <v>0</v>
      </c>
      <c r="E627" s="180">
        <f>(E623/E612)*SUM(C627:D627)</f>
        <v>240586.49473708417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8412087.6999999993</v>
      </c>
      <c r="D628" s="180">
        <f>(D615/D612)*AZ76</f>
        <v>1599717.5492255019</v>
      </c>
      <c r="E628" s="180">
        <f>(E623/E612)*SUM(C628:D628)</f>
        <v>2760052.1363095525</v>
      </c>
      <c r="F628" s="180">
        <f>(F624/F612)*AZ64</f>
        <v>0</v>
      </c>
      <c r="G628" s="180">
        <f>(G625/G612)*AZ77</f>
        <v>0</v>
      </c>
      <c r="H628" s="180">
        <f>SUM(C626:G628)</f>
        <v>18333983.943847723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6423960.0999999987</v>
      </c>
      <c r="D629" s="180">
        <f>(D615/D612)*BF76</f>
        <v>173601.03249815563</v>
      </c>
      <c r="E629" s="180">
        <f>(E623/E612)*SUM(C629:D629)</f>
        <v>1818814.1144268734</v>
      </c>
      <c r="F629" s="180">
        <f>(F624/F612)*BF64</f>
        <v>0</v>
      </c>
      <c r="G629" s="180">
        <f>(G625/G612)*BF77</f>
        <v>0</v>
      </c>
      <c r="H629" s="180">
        <f>(H628/H612)*BF60</f>
        <v>875718.65854399395</v>
      </c>
      <c r="I629" s="180">
        <f>SUM(C629:H629)</f>
        <v>9292093.9054690227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78742.149999999994</v>
      </c>
      <c r="D630" s="180">
        <f>(D615/D612)*BA76</f>
        <v>356613.1567871116</v>
      </c>
      <c r="E630" s="180">
        <f>(E623/E612)*SUM(C630:D630)</f>
        <v>120018.64944830227</v>
      </c>
      <c r="F630" s="180">
        <f>(F624/F612)*BA64</f>
        <v>0</v>
      </c>
      <c r="G630" s="180">
        <f>(G625/G612)*BA77</f>
        <v>0</v>
      </c>
      <c r="H630" s="180">
        <f>(H628/H612)*BA60</f>
        <v>22608.398337914241</v>
      </c>
      <c r="I630" s="180">
        <f>(I629/I612)*BA78</f>
        <v>82951.801775538901</v>
      </c>
      <c r="J630" s="180">
        <f>SUM(C630:I630)</f>
        <v>660934.15634886699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1500003.9199999997</v>
      </c>
      <c r="D633" s="180">
        <f>(D615/D612)*BC76</f>
        <v>0</v>
      </c>
      <c r="E633" s="180">
        <f>(E623/E612)*SUM(C633:D633)</f>
        <v>413520.7308581011</v>
      </c>
      <c r="F633" s="180">
        <f>(F624/F612)*BC64</f>
        <v>0</v>
      </c>
      <c r="G633" s="180">
        <f>(G625/G612)*BC77</f>
        <v>0</v>
      </c>
      <c r="H633" s="180">
        <f>(H628/H612)*BC60</f>
        <v>75937.178470535873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-122654.14999999991</v>
      </c>
      <c r="D634" s="180">
        <f>(D615/D612)*BI76</f>
        <v>112008.79783157863</v>
      </c>
      <c r="E634" s="180">
        <f>(E623/E612)*SUM(C634:D634)</f>
        <v>-2934.7082032475209</v>
      </c>
      <c r="F634" s="180">
        <f>(F624/F612)*BI64</f>
        <v>0</v>
      </c>
      <c r="G634" s="180">
        <f>(G625/G612)*BI77</f>
        <v>0</v>
      </c>
      <c r="H634" s="180">
        <f>(H628/H612)*BI60</f>
        <v>28767.496888442376</v>
      </c>
      <c r="I634" s="180">
        <f>(I629/I612)*BI78</f>
        <v>26065.237320138418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6786585.2952997433</v>
      </c>
      <c r="D635" s="180">
        <f>(D615/D612)*BK76</f>
        <v>0</v>
      </c>
      <c r="E635" s="180">
        <f>(E623/E612)*SUM(C635:D635)</f>
        <v>1870924.2515467508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1850726.4030000002</v>
      </c>
      <c r="D636" s="180">
        <f>(D615/D612)*BH76</f>
        <v>0</v>
      </c>
      <c r="E636" s="180">
        <f>(E623/E612)*SUM(C636:D636)</f>
        <v>510207.82318151864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7296540.7911999999</v>
      </c>
      <c r="D637" s="180">
        <f>(D615/D612)*BL76</f>
        <v>0</v>
      </c>
      <c r="E637" s="180">
        <f>(E623/E612)*SUM(C637:D637)</f>
        <v>2011508.6637326733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283268.31849999999</v>
      </c>
      <c r="D639" s="180">
        <f>(D615/D612)*BS76</f>
        <v>0</v>
      </c>
      <c r="E639" s="180">
        <f>(E623/E612)*SUM(C639:D639)</f>
        <v>78091.343984664651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755054.12459999986</v>
      </c>
      <c r="D640" s="180">
        <f>(D615/D612)*BT76</f>
        <v>0</v>
      </c>
      <c r="E640" s="180">
        <f>(E623/E612)*SUM(C640:D640)</f>
        <v>208153.1449877916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105989.6931</v>
      </c>
      <c r="D641" s="180">
        <f>(D615/D612)*BU76</f>
        <v>0</v>
      </c>
      <c r="E641" s="180">
        <f>(E623/E612)*SUM(C641:D641)</f>
        <v>29219.213876546302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9719861.2224418223</v>
      </c>
      <c r="D642" s="180">
        <f>(D615/D612)*BV76</f>
        <v>794481.00787515077</v>
      </c>
      <c r="E642" s="180">
        <f>(E623/E612)*SUM(C642:D642)</f>
        <v>2898591.4140630192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184788.07781700994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1430824.11395264</v>
      </c>
      <c r="D643" s="180">
        <f>(D615/D612)*BW76</f>
        <v>0</v>
      </c>
      <c r="E643" s="180">
        <f>(E623/E612)*SUM(C643:D643)</f>
        <v>394449.25805999944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3415145.7910401607</v>
      </c>
      <c r="D644" s="180">
        <f>(D615/D612)*BX76</f>
        <v>0</v>
      </c>
      <c r="E644" s="180">
        <f>(E623/E612)*SUM(C644:D644)</f>
        <v>941486.59524696134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43596611.050672002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3249825.5593000003</v>
      </c>
      <c r="D645" s="180">
        <f>(D615/D612)*BY76</f>
        <v>82178.997958952663</v>
      </c>
      <c r="E645" s="180">
        <f>(E623/E612)*SUM(C645:D645)</f>
        <v>918566.23930705863</v>
      </c>
      <c r="F645" s="180">
        <f>(F624/F612)*BY64</f>
        <v>0</v>
      </c>
      <c r="G645" s="180">
        <f>(G625/G612)*BY77</f>
        <v>0</v>
      </c>
      <c r="H645" s="180">
        <f>(H628/H612)*BY60</f>
        <v>185899.62088484303</v>
      </c>
      <c r="I645" s="180">
        <f>(I629/I612)*BY78</f>
        <v>19117.615923536228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2090825.3770000003</v>
      </c>
      <c r="D647" s="180">
        <f>(D615/D612)*CA76</f>
        <v>0</v>
      </c>
      <c r="E647" s="180">
        <f>(E623/E612)*SUM(C647:D647)</f>
        <v>576398.25234170398</v>
      </c>
      <c r="F647" s="180">
        <f>(F624/F612)*CA64</f>
        <v>0</v>
      </c>
      <c r="G647" s="180">
        <f>(G625/G612)*CA77</f>
        <v>0</v>
      </c>
      <c r="H647" s="180">
        <f>(H628/H612)*CA60</f>
        <v>53704.334922287992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7176515.997638382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207713365.20008522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25771402.27</v>
      </c>
      <c r="D668" s="180">
        <f>(D615/D612)*C76</f>
        <v>1750042.9350624818</v>
      </c>
      <c r="E668" s="180">
        <f>(E623/E612)*SUM(C668:D668)</f>
        <v>7587105.5960097909</v>
      </c>
      <c r="F668" s="180">
        <f>(F624/F612)*C64</f>
        <v>0</v>
      </c>
      <c r="G668" s="180">
        <f>(G625/G612)*C77</f>
        <v>0</v>
      </c>
      <c r="H668" s="180">
        <f>(H628/H612)*C60</f>
        <v>1465790.3440677624</v>
      </c>
      <c r="I668" s="180">
        <f>(I629/I612)*C78</f>
        <v>407065.33417675918</v>
      </c>
      <c r="J668" s="180">
        <f>(J630/J612)*C79</f>
        <v>68284.224058187479</v>
      </c>
      <c r="K668" s="180">
        <f>(K644/K612)*C75</f>
        <v>1406517.4271714962</v>
      </c>
      <c r="L668" s="180">
        <f>(L647/L612)*C80</f>
        <v>943983.10463309707</v>
      </c>
      <c r="M668" s="180">
        <f t="shared" ref="M668:M713" si="20">ROUND(SUM(D668:L668),0)</f>
        <v>13628789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44053398.559999995</v>
      </c>
      <c r="D670" s="180">
        <f>(D615/D612)*E76</f>
        <v>7896494.2057183813</v>
      </c>
      <c r="E670" s="180">
        <f>(E623/E612)*SUM(C670:D670)</f>
        <v>14321534.322710201</v>
      </c>
      <c r="F670" s="180">
        <f>(F624/F612)*E64</f>
        <v>0</v>
      </c>
      <c r="G670" s="180">
        <f>(G625/G612)*E77</f>
        <v>0</v>
      </c>
      <c r="H670" s="180">
        <f>(H628/H612)*E60</f>
        <v>2930454.0237665256</v>
      </c>
      <c r="I670" s="180">
        <f>(I629/I612)*E78</f>
        <v>1836783.2352681442</v>
      </c>
      <c r="J670" s="180">
        <f>(J630/J612)*E79</f>
        <v>170671.05517193995</v>
      </c>
      <c r="K670" s="180">
        <f>(K644/K612)*E75</f>
        <v>3025796.311409716</v>
      </c>
      <c r="L670" s="180">
        <f>(L647/L612)*E80</f>
        <v>1790813.404915394</v>
      </c>
      <c r="M670" s="180">
        <f t="shared" si="20"/>
        <v>31972547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6110848.2399999984</v>
      </c>
      <c r="D672" s="180">
        <f>(D615/D612)*G76</f>
        <v>1705844.4146878303</v>
      </c>
      <c r="E672" s="180">
        <f>(E623/E612)*SUM(C672:D672)</f>
        <v>2154904.0081572998</v>
      </c>
      <c r="F672" s="180">
        <f>(F624/F612)*G64</f>
        <v>0</v>
      </c>
      <c r="G672" s="180">
        <f>(G625/G612)*G77</f>
        <v>0</v>
      </c>
      <c r="H672" s="180">
        <f>(H628/H612)*G60</f>
        <v>376531.23211948207</v>
      </c>
      <c r="I672" s="180">
        <f>(I629/I612)*G78</f>
        <v>396807.10124217876</v>
      </c>
      <c r="J672" s="180">
        <f>(J630/J612)*G79</f>
        <v>0</v>
      </c>
      <c r="K672" s="180">
        <f>(K644/K612)*G75</f>
        <v>342811.40456425783</v>
      </c>
      <c r="L672" s="180">
        <f>(L647/L612)*G80</f>
        <v>203487.25499323473</v>
      </c>
      <c r="M672" s="180">
        <f t="shared" si="20"/>
        <v>5180385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8148696.4100000011</v>
      </c>
      <c r="D673" s="180">
        <f>(D615/D612)*H76</f>
        <v>0</v>
      </c>
      <c r="E673" s="180">
        <f>(E623/E612)*SUM(C673:D673)</f>
        <v>2246430.7259970265</v>
      </c>
      <c r="F673" s="180">
        <f>(F624/F612)*H64</f>
        <v>0</v>
      </c>
      <c r="G673" s="180">
        <f>(G625/G612)*H77</f>
        <v>0</v>
      </c>
      <c r="H673" s="180">
        <f>(H628/H612)*H60</f>
        <v>253274.15015098613</v>
      </c>
      <c r="I673" s="180">
        <f>(I629/I612)*H78</f>
        <v>0</v>
      </c>
      <c r="J673" s="180">
        <f>(J630/J612)*H79</f>
        <v>7386.4485598502906</v>
      </c>
      <c r="K673" s="180">
        <f>(K644/K612)*H75</f>
        <v>364601.23523833702</v>
      </c>
      <c r="L673" s="180">
        <f>(L647/L612)*H80</f>
        <v>132780.73098671547</v>
      </c>
      <c r="M673" s="180">
        <f t="shared" si="20"/>
        <v>3004473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7624900.7199999988</v>
      </c>
      <c r="D675" s="180">
        <f>(D615/D612)*J76</f>
        <v>211917.62050355689</v>
      </c>
      <c r="E675" s="180">
        <f>(E623/E612)*SUM(C675:D675)</f>
        <v>2160452.2525295815</v>
      </c>
      <c r="F675" s="180">
        <f>(F624/F612)*J64</f>
        <v>0</v>
      </c>
      <c r="G675" s="180">
        <f>(G625/G612)*J77</f>
        <v>0</v>
      </c>
      <c r="H675" s="180">
        <f>(H628/H612)*J60</f>
        <v>365790.36513502448</v>
      </c>
      <c r="I675" s="180">
        <f>(I629/I612)*J78</f>
        <v>49286.14641750681</v>
      </c>
      <c r="J675" s="180">
        <f>(J630/J612)*J79</f>
        <v>0</v>
      </c>
      <c r="K675" s="180">
        <f>(K644/K612)*J75</f>
        <v>604189.8789230868</v>
      </c>
      <c r="L675" s="180">
        <f>(L647/L612)*J80</f>
        <v>226245.18169899564</v>
      </c>
      <c r="M675" s="180">
        <f t="shared" si="20"/>
        <v>3617881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18753567.300000001</v>
      </c>
      <c r="D680" s="180">
        <f>(D615/D612)*O76</f>
        <v>1480482.377340273</v>
      </c>
      <c r="E680" s="180">
        <f>(E623/E612)*SUM(C680:D680)</f>
        <v>5578118.096379959</v>
      </c>
      <c r="F680" s="180">
        <f>(F624/F612)*O64</f>
        <v>0</v>
      </c>
      <c r="G680" s="180">
        <f>(G625/G612)*O77</f>
        <v>0</v>
      </c>
      <c r="H680" s="180">
        <f>(H628/H612)*O60</f>
        <v>1002956.6212829531</v>
      </c>
      <c r="I680" s="180">
        <f>(I629/I612)*O78</f>
        <v>344350.22828125622</v>
      </c>
      <c r="J680" s="180">
        <f>(J630/J612)*O79</f>
        <v>75058.222842088988</v>
      </c>
      <c r="K680" s="180">
        <f>(K644/K612)*O75</f>
        <v>1851813.5567824154</v>
      </c>
      <c r="L680" s="180">
        <f>(L647/L612)*O80</f>
        <v>626392.31367373676</v>
      </c>
      <c r="M680" s="180">
        <f t="shared" si="20"/>
        <v>10959171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92375846.816099986</v>
      </c>
      <c r="D681" s="180">
        <f>(D615/D612)*P76</f>
        <v>7396277.8715162901</v>
      </c>
      <c r="E681" s="180">
        <f>(E623/E612)*SUM(C681:D681)</f>
        <v>27505156.066584602</v>
      </c>
      <c r="F681" s="180">
        <f>(F624/F612)*P64</f>
        <v>0</v>
      </c>
      <c r="G681" s="180">
        <f>(G625/G612)*P77</f>
        <v>0</v>
      </c>
      <c r="H681" s="180">
        <f>(H628/H612)*P60</f>
        <v>1870488.1854122207</v>
      </c>
      <c r="I681" s="180">
        <f>(I629/I612)*P78</f>
        <v>1720445.548123698</v>
      </c>
      <c r="J681" s="180">
        <f>(J630/J612)*P79</f>
        <v>175795.90534039601</v>
      </c>
      <c r="K681" s="180">
        <f>(K644/K612)*P75</f>
        <v>14556123.747532148</v>
      </c>
      <c r="L681" s="180">
        <f>(L647/L612)*P80</f>
        <v>696235.60597762384</v>
      </c>
      <c r="M681" s="180">
        <f t="shared" si="20"/>
        <v>53920523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2843634.7000000007</v>
      </c>
      <c r="D682" s="180">
        <f>(D615/D612)*Q76</f>
        <v>199061.39689648146</v>
      </c>
      <c r="E682" s="180">
        <f>(E623/E612)*SUM(C682:D682)</f>
        <v>838809.7504223357</v>
      </c>
      <c r="F682" s="180">
        <f>(F624/F612)*Q64</f>
        <v>0</v>
      </c>
      <c r="G682" s="180">
        <f>(G625/G612)*Q77</f>
        <v>0</v>
      </c>
      <c r="H682" s="180">
        <f>(H628/H612)*Q60</f>
        <v>82922.497558329982</v>
      </c>
      <c r="I682" s="180">
        <f>(I629/I612)*Q78</f>
        <v>46301.933200174331</v>
      </c>
      <c r="J682" s="180">
        <f>(J630/J612)*Q79</f>
        <v>17154.482666719381</v>
      </c>
      <c r="K682" s="180">
        <f>(K644/K612)*Q75</f>
        <v>482635.44999194512</v>
      </c>
      <c r="L682" s="180">
        <f>(L647/L612)*Q80</f>
        <v>118969.02374459848</v>
      </c>
      <c r="M682" s="180">
        <f t="shared" si="20"/>
        <v>1785855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4216840.6176576009</v>
      </c>
      <c r="D684" s="180">
        <f>(D615/D612)*S76</f>
        <v>1465525.4636013226</v>
      </c>
      <c r="E684" s="180">
        <f>(E623/E612)*SUM(C684:D684)</f>
        <v>1566513.3561287457</v>
      </c>
      <c r="F684" s="180">
        <f>(F624/F612)*S64</f>
        <v>0</v>
      </c>
      <c r="G684" s="180">
        <f>(G625/G612)*S77</f>
        <v>0</v>
      </c>
      <c r="H684" s="180">
        <f>(H628/H612)*S60</f>
        <v>290529.18528588803</v>
      </c>
      <c r="I684" s="180">
        <f>(I629/I612)*S78</f>
        <v>340899.73174871551</v>
      </c>
      <c r="J684" s="180">
        <f>(J630/J612)*S79</f>
        <v>4872.1164868746428</v>
      </c>
      <c r="K684" s="180">
        <f>(K644/K612)*S75</f>
        <v>0</v>
      </c>
      <c r="L684" s="180">
        <f>(L647/L612)*S80</f>
        <v>0</v>
      </c>
      <c r="M684" s="180">
        <f t="shared" si="20"/>
        <v>3668340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3057276.59</v>
      </c>
      <c r="D685" s="180">
        <f>(D615/D612)*T76</f>
        <v>0</v>
      </c>
      <c r="E685" s="180">
        <f>(E623/E612)*SUM(C685:D685)</f>
        <v>842829.29736087844</v>
      </c>
      <c r="F685" s="180">
        <f>(F624/F612)*T64</f>
        <v>0</v>
      </c>
      <c r="G685" s="180">
        <f>(G625/G612)*T77</f>
        <v>0</v>
      </c>
      <c r="H685" s="180">
        <f>(H628/H612)*T60</f>
        <v>102601.56853684669</v>
      </c>
      <c r="I685" s="180">
        <f>(I629/I612)*T78</f>
        <v>0</v>
      </c>
      <c r="J685" s="180">
        <f>(J630/J612)*T79</f>
        <v>0</v>
      </c>
      <c r="K685" s="180">
        <f>(K644/K612)*T75</f>
        <v>195706.05574514199</v>
      </c>
      <c r="L685" s="180">
        <f>(L647/L612)*T80</f>
        <v>92130.365353666639</v>
      </c>
      <c r="M685" s="180">
        <f t="shared" si="20"/>
        <v>1233267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15864794.110000003</v>
      </c>
      <c r="D686" s="180">
        <f>(D615/D612)*U76</f>
        <v>1582575.9177494014</v>
      </c>
      <c r="E686" s="180">
        <f>(E623/E612)*SUM(C686:D686)</f>
        <v>4809886.9004466757</v>
      </c>
      <c r="F686" s="180">
        <f>(F624/F612)*U64</f>
        <v>0</v>
      </c>
      <c r="G686" s="180">
        <f>(G625/G612)*U77</f>
        <v>0</v>
      </c>
      <c r="H686" s="180">
        <f>(H628/H612)*U60</f>
        <v>711300.77162806608</v>
      </c>
      <c r="I686" s="180">
        <f>(I629/I612)*U78</f>
        <v>368130.67735687445</v>
      </c>
      <c r="J686" s="180">
        <f>(J630/J612)*U79</f>
        <v>2058.1845835971244</v>
      </c>
      <c r="K686" s="180">
        <f>(K644/K612)*U75</f>
        <v>1854597.3800186988</v>
      </c>
      <c r="L686" s="180">
        <f>(L647/L612)*U80</f>
        <v>23071.829143081763</v>
      </c>
      <c r="M686" s="180">
        <f t="shared" si="20"/>
        <v>9351622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135678</v>
      </c>
      <c r="D687" s="180">
        <f>(D615/D612)*V76</f>
        <v>0</v>
      </c>
      <c r="E687" s="180">
        <f>(E623/E612)*SUM(C687:D687)</f>
        <v>37403.679399294808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9359.1685108741658</v>
      </c>
      <c r="L687" s="180">
        <f>(L647/L612)*V80</f>
        <v>0</v>
      </c>
      <c r="M687" s="180">
        <f t="shared" si="20"/>
        <v>46763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1611090.53</v>
      </c>
      <c r="D689" s="180">
        <f>(D615/D612)*X76</f>
        <v>0</v>
      </c>
      <c r="E689" s="180">
        <f>(E623/E612)*SUM(C689:D689)</f>
        <v>444145.06159701612</v>
      </c>
      <c r="F689" s="180">
        <f>(F624/F612)*X64</f>
        <v>0</v>
      </c>
      <c r="G689" s="180">
        <f>(G625/G612)*X77</f>
        <v>0</v>
      </c>
      <c r="H689" s="180">
        <f>(H628/H612)*X60</f>
        <v>169825.87588712326</v>
      </c>
      <c r="I689" s="180">
        <f>(I629/I612)*X78</f>
        <v>0</v>
      </c>
      <c r="J689" s="180">
        <f>(J630/J612)*X79</f>
        <v>0</v>
      </c>
      <c r="K689" s="180">
        <f>(K644/K612)*X75</f>
        <v>1707712.878942962</v>
      </c>
      <c r="L689" s="180">
        <f>(L647/L612)*X80</f>
        <v>0</v>
      </c>
      <c r="M689" s="180">
        <f t="shared" si="20"/>
        <v>2321684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14493118.700000001</v>
      </c>
      <c r="D690" s="180">
        <f>(D615/D612)*Y76</f>
        <v>3907619.7557087271</v>
      </c>
      <c r="E690" s="180">
        <f>(E623/E612)*SUM(C690:D690)</f>
        <v>5072711.2863367992</v>
      </c>
      <c r="F690" s="180">
        <f>(F624/F612)*Y64</f>
        <v>0</v>
      </c>
      <c r="G690" s="180">
        <f>(G625/G612)*Y77</f>
        <v>0</v>
      </c>
      <c r="H690" s="180">
        <f>(H628/H612)*Y60</f>
        <v>841843.61651608918</v>
      </c>
      <c r="I690" s="180">
        <f>(I629/I612)*Y78</f>
        <v>908926.06633534562</v>
      </c>
      <c r="J690" s="180">
        <f>(J630/J612)*Y79</f>
        <v>35110.597311814039</v>
      </c>
      <c r="K690" s="180">
        <f>(K644/K612)*Y75</f>
        <v>2380718.2786781881</v>
      </c>
      <c r="L690" s="180">
        <f>(L647/L612)*Y80</f>
        <v>44103.292443578066</v>
      </c>
      <c r="M690" s="180">
        <f t="shared" si="20"/>
        <v>13191033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1457768.24</v>
      </c>
      <c r="D692" s="180">
        <f>(D615/D612)*AA76</f>
        <v>0</v>
      </c>
      <c r="E692" s="180">
        <f>(E623/E612)*SUM(C692:D692)</f>
        <v>401877.20844524715</v>
      </c>
      <c r="F692" s="180">
        <f>(F624/F612)*AA64</f>
        <v>0</v>
      </c>
      <c r="G692" s="180">
        <f>(G625/G612)*AA77</f>
        <v>0</v>
      </c>
      <c r="H692" s="180">
        <f>(H628/H612)*AA60</f>
        <v>58586.547187950528</v>
      </c>
      <c r="I692" s="180">
        <f>(I629/I612)*AA78</f>
        <v>0</v>
      </c>
      <c r="J692" s="180">
        <f>(J630/J612)*AA79</f>
        <v>3318.66314892121</v>
      </c>
      <c r="K692" s="180">
        <f>(K644/K612)*AA75</f>
        <v>287369.5326005813</v>
      </c>
      <c r="L692" s="180">
        <f>(L647/L612)*AA80</f>
        <v>0</v>
      </c>
      <c r="M692" s="180">
        <f t="shared" si="20"/>
        <v>751152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28362084.470000003</v>
      </c>
      <c r="D693" s="180">
        <f>(D615/D612)*AB76</f>
        <v>1612489.7452273024</v>
      </c>
      <c r="E693" s="180">
        <f>(E623/E612)*SUM(C693:D693)</f>
        <v>8263383.6294515757</v>
      </c>
      <c r="F693" s="180">
        <f>(F624/F612)*AB64</f>
        <v>0</v>
      </c>
      <c r="G693" s="180">
        <f>(G625/G612)*AB77</f>
        <v>0</v>
      </c>
      <c r="H693" s="180">
        <f>(H628/H612)*AB60</f>
        <v>186200.0647165761</v>
      </c>
      <c r="I693" s="180">
        <f>(I629/I612)*AB78</f>
        <v>375078.29875347664</v>
      </c>
      <c r="J693" s="180">
        <f>(J630/J612)*AB79</f>
        <v>0</v>
      </c>
      <c r="K693" s="180">
        <f>(K644/K612)*AB75</f>
        <v>5763508.8452033857</v>
      </c>
      <c r="L693" s="180">
        <f>(L647/L612)*AB80</f>
        <v>28094.268140215208</v>
      </c>
      <c r="M693" s="180">
        <f t="shared" si="20"/>
        <v>16228755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3944987.6700000009</v>
      </c>
      <c r="D694" s="180">
        <f>(D615/D612)*AC76</f>
        <v>82431.080774777671</v>
      </c>
      <c r="E694" s="180">
        <f>(E623/E612)*SUM(C694:D694)</f>
        <v>1110277.8620018589</v>
      </c>
      <c r="F694" s="180">
        <f>(F624/F612)*AC64</f>
        <v>0</v>
      </c>
      <c r="G694" s="180">
        <f>(G625/G612)*AC77</f>
        <v>0</v>
      </c>
      <c r="H694" s="180">
        <f>(H628/H612)*AC60</f>
        <v>483414.12525852513</v>
      </c>
      <c r="I694" s="180">
        <f>(I629/I612)*AC78</f>
        <v>19164.244255057049</v>
      </c>
      <c r="J694" s="180">
        <f>(J630/J612)*AC79</f>
        <v>0</v>
      </c>
      <c r="K694" s="180">
        <f>(K644/K612)*AC75</f>
        <v>846538.83445638791</v>
      </c>
      <c r="L694" s="180">
        <f>(L647/L612)*AC80</f>
        <v>0</v>
      </c>
      <c r="M694" s="180">
        <f t="shared" si="20"/>
        <v>2541826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9447098.5100000016</v>
      </c>
      <c r="D695" s="180">
        <f>(D615/D612)*AD76</f>
        <v>3379842.3669764348</v>
      </c>
      <c r="E695" s="180">
        <f>(E623/E612)*SUM(C695:D695)</f>
        <v>3536128.0696659442</v>
      </c>
      <c r="F695" s="180">
        <f>(F624/F612)*AD64</f>
        <v>0</v>
      </c>
      <c r="G695" s="180">
        <f>(G625/G612)*AD77</f>
        <v>0</v>
      </c>
      <c r="H695" s="180">
        <f>(H628/H612)*AD60</f>
        <v>245537.72148385932</v>
      </c>
      <c r="I695" s="180">
        <f>(I629/I612)*AD78</f>
        <v>786153.6694410264</v>
      </c>
      <c r="J695" s="180">
        <f>(J630/J612)*AD79</f>
        <v>13701.600756802984</v>
      </c>
      <c r="K695" s="180">
        <f>(K644/K612)*AD75</f>
        <v>1145848.4526498248</v>
      </c>
      <c r="L695" s="180">
        <f>(L647/L612)*AD80</f>
        <v>162836.88936018592</v>
      </c>
      <c r="M695" s="180">
        <f t="shared" si="20"/>
        <v>9270049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5568338.879999999</v>
      </c>
      <c r="D696" s="180">
        <f>(D615/D612)*AE76</f>
        <v>1091854.7029433853</v>
      </c>
      <c r="E696" s="180">
        <f>(E623/E612)*SUM(C696:D696)</f>
        <v>1836080.613759452</v>
      </c>
      <c r="F696" s="180">
        <f>(F624/F612)*AE64</f>
        <v>0</v>
      </c>
      <c r="G696" s="180">
        <f>(G625/G612)*AE77</f>
        <v>0</v>
      </c>
      <c r="H696" s="180">
        <f>(H628/H612)*AE60</f>
        <v>198368.03990176582</v>
      </c>
      <c r="I696" s="180">
        <f>(I629/I612)*AE78</f>
        <v>253984.52179390693</v>
      </c>
      <c r="J696" s="180">
        <f>(J630/J612)*AE79</f>
        <v>0</v>
      </c>
      <c r="K696" s="180">
        <f>(K644/K612)*AE75</f>
        <v>420130.18673799263</v>
      </c>
      <c r="L696" s="180">
        <f>(L647/L612)*AE80</f>
        <v>0</v>
      </c>
      <c r="M696" s="180">
        <f t="shared" si="20"/>
        <v>3800418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19030834.780000001</v>
      </c>
      <c r="D698" s="180">
        <f>(D615/D612)*AG76</f>
        <v>1695845.1296601051</v>
      </c>
      <c r="E698" s="180">
        <f>(E623/E612)*SUM(C698:D698)</f>
        <v>5713926.2839423576</v>
      </c>
      <c r="F698" s="180">
        <f>(F624/F612)*AG64</f>
        <v>0</v>
      </c>
      <c r="G698" s="180">
        <f>(G625/G612)*AG77</f>
        <v>0</v>
      </c>
      <c r="H698" s="180">
        <f>(H628/H612)*AG60</f>
        <v>671116.40913376666</v>
      </c>
      <c r="I698" s="180">
        <f>(I629/I612)*AG78</f>
        <v>394475.68466613779</v>
      </c>
      <c r="J698" s="180">
        <f>(J630/J612)*AG79</f>
        <v>73080.029695574922</v>
      </c>
      <c r="K698" s="180">
        <f>(K644/K612)*AG75</f>
        <v>2471310.7683236571</v>
      </c>
      <c r="L698" s="180">
        <f>(L647/L612)*AG80</f>
        <v>404227.86365991214</v>
      </c>
      <c r="M698" s="180">
        <f t="shared" si="20"/>
        <v>11423982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15343089.200000001</v>
      </c>
      <c r="D700" s="180">
        <f>(D615/D612)*AI76</f>
        <v>0</v>
      </c>
      <c r="E700" s="180">
        <f>(E623/E612)*SUM(C700:D700)</f>
        <v>4229779.252580246</v>
      </c>
      <c r="F700" s="180">
        <f>(F624/F612)*AI64</f>
        <v>0</v>
      </c>
      <c r="G700" s="180">
        <f>(G625/G612)*AI77</f>
        <v>0</v>
      </c>
      <c r="H700" s="180">
        <f>(H628/H612)*AI60</f>
        <v>566111.28994305537</v>
      </c>
      <c r="I700" s="180">
        <f>(I629/I612)*AI78</f>
        <v>0</v>
      </c>
      <c r="J700" s="180">
        <f>(J630/J612)*AI79</f>
        <v>0</v>
      </c>
      <c r="K700" s="180">
        <f>(K644/K612)*AI75</f>
        <v>1264318.4616280161</v>
      </c>
      <c r="L700" s="180">
        <f>(L647/L612)*AI80</f>
        <v>639733.16725987254</v>
      </c>
      <c r="M700" s="180">
        <f t="shared" si="20"/>
        <v>6699942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8837036.459999999</v>
      </c>
      <c r="D701" s="180">
        <f>(D615/D612)*AJ76</f>
        <v>1766176.2352752823</v>
      </c>
      <c r="E701" s="180">
        <f>(E623/E612)*SUM(C701:D701)</f>
        <v>2923091.2031177431</v>
      </c>
      <c r="F701" s="180">
        <f>(F624/F612)*AJ64</f>
        <v>0</v>
      </c>
      <c r="G701" s="180">
        <f>(G625/G612)*AJ77</f>
        <v>0</v>
      </c>
      <c r="H701" s="180">
        <f>(H628/H612)*AJ60</f>
        <v>592700.56905143289</v>
      </c>
      <c r="I701" s="180">
        <f>(I629/I612)*AJ78</f>
        <v>410842.22902994562</v>
      </c>
      <c r="J701" s="180">
        <f>(J630/J612)*AJ79</f>
        <v>6250.3738552658024</v>
      </c>
      <c r="K701" s="180">
        <f>(K644/K612)*AJ75</f>
        <v>540188.94261156931</v>
      </c>
      <c r="L701" s="180">
        <f>(L647/L612)*AJ80</f>
        <v>126031.82858431738</v>
      </c>
      <c r="M701" s="180">
        <f t="shared" si="20"/>
        <v>6365281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2396724.9800000004</v>
      </c>
      <c r="D702" s="180">
        <f>(D615/D612)*AK76</f>
        <v>488620.52467414085</v>
      </c>
      <c r="E702" s="180">
        <f>(E623/E612)*SUM(C702:D702)</f>
        <v>795431.37585332955</v>
      </c>
      <c r="F702" s="180">
        <f>(F624/F612)*AK64</f>
        <v>0</v>
      </c>
      <c r="G702" s="180">
        <f>(G625/G612)*AK77</f>
        <v>0</v>
      </c>
      <c r="H702" s="180">
        <f>(H628/H612)*AK60</f>
        <v>146691.70084367614</v>
      </c>
      <c r="I702" s="180">
        <f>(I629/I612)*AK78</f>
        <v>113679.87224775933</v>
      </c>
      <c r="J702" s="180">
        <f>(J630/J612)*AK79</f>
        <v>6829.4529703455846</v>
      </c>
      <c r="K702" s="180">
        <f>(K644/K612)*AK75</f>
        <v>209104.49011219363</v>
      </c>
      <c r="L702" s="180">
        <f>(L647/L612)*AK80</f>
        <v>0</v>
      </c>
      <c r="M702" s="180">
        <f t="shared" si="20"/>
        <v>1760357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654171.52</v>
      </c>
      <c r="D703" s="180">
        <f>(D615/D612)*AL76</f>
        <v>350479.14160203637</v>
      </c>
      <c r="E703" s="180">
        <f>(E623/E612)*SUM(C703:D703)</f>
        <v>276961.86010150489</v>
      </c>
      <c r="F703" s="180">
        <f>(F624/F612)*AL64</f>
        <v>0</v>
      </c>
      <c r="G703" s="180">
        <f>(G625/G612)*AL77</f>
        <v>0</v>
      </c>
      <c r="H703" s="180">
        <f>(H628/H612)*AL60</f>
        <v>75035.846975336637</v>
      </c>
      <c r="I703" s="180">
        <f>(I629/I612)*AL78</f>
        <v>81506.323498393482</v>
      </c>
      <c r="J703" s="180">
        <f>(J630/J612)*AL79</f>
        <v>0</v>
      </c>
      <c r="K703" s="180">
        <f>(K644/K612)*AL75</f>
        <v>50033.889480094105</v>
      </c>
      <c r="L703" s="180">
        <f>(L647/L612)*AL80</f>
        <v>0</v>
      </c>
      <c r="M703" s="180">
        <f t="shared" si="20"/>
        <v>834017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40270</v>
      </c>
      <c r="D705" s="180">
        <f>(D615/D612)*AN76</f>
        <v>278131.37346025906</v>
      </c>
      <c r="E705" s="180">
        <f>(E623/E612)*SUM(C705:D705)</f>
        <v>87776.816382926219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64673.495819377436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430582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4476870.9200000009</v>
      </c>
      <c r="D707" s="180">
        <f>(D615/D612)*AP76</f>
        <v>143603.17741497967</v>
      </c>
      <c r="E707" s="180">
        <f>(E623/E612)*SUM(C707:D707)</f>
        <v>1273771.2216605195</v>
      </c>
      <c r="F707" s="180">
        <f>(F624/F612)*AP64</f>
        <v>0</v>
      </c>
      <c r="G707" s="180">
        <f>(G625/G612)*AP77</f>
        <v>0</v>
      </c>
      <c r="H707" s="180">
        <f>(H628/H612)*AP60</f>
        <v>390802.31412680337</v>
      </c>
      <c r="I707" s="180">
        <f>(I629/I612)*AP78</f>
        <v>33385.885368907169</v>
      </c>
      <c r="J707" s="180">
        <f>(J630/J612)*AP79</f>
        <v>0</v>
      </c>
      <c r="K707" s="180">
        <f>(K644/K612)*AP75</f>
        <v>781026.20673219883</v>
      </c>
      <c r="L707" s="180">
        <f>(L647/L612)*AP80</f>
        <v>77455.426408917338</v>
      </c>
      <c r="M707" s="180">
        <f t="shared" si="20"/>
        <v>2700044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44715184.619999997</v>
      </c>
      <c r="D709" s="180">
        <f>(D615/D612)*AR76</f>
        <v>0</v>
      </c>
      <c r="E709" s="180">
        <f>(E623/E612)*SUM(C709:D709)</f>
        <v>12327071.668264257</v>
      </c>
      <c r="F709" s="180">
        <f>(F624/F612)*AR64</f>
        <v>0</v>
      </c>
      <c r="G709" s="180">
        <f>(G625/G612)*AR77</f>
        <v>0</v>
      </c>
      <c r="H709" s="180">
        <f>(H628/H612)*AR60</f>
        <v>269873.67185423878</v>
      </c>
      <c r="I709" s="180">
        <f>(I629/I612)*AR78</f>
        <v>0</v>
      </c>
      <c r="J709" s="180">
        <f>(J630/J612)*AR79</f>
        <v>0</v>
      </c>
      <c r="K709" s="180">
        <f>(K644/K612)*AR75</f>
        <v>1007388.668662983</v>
      </c>
      <c r="L709" s="180">
        <f>(L647/L612)*AR80</f>
        <v>819049.93457940267</v>
      </c>
      <c r="M709" s="180">
        <f t="shared" si="20"/>
        <v>14423384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-95645446.635200009</v>
      </c>
      <c r="D713" s="180">
        <f>(D615/D612)*AV76</f>
        <v>117134.4817533538</v>
      </c>
      <c r="E713" s="180">
        <f>(E623/E612)*SUM(C713:D713)</f>
        <v>-26335222.816840433</v>
      </c>
      <c r="F713" s="180">
        <f>(F624/F612)*AV64</f>
        <v>0</v>
      </c>
      <c r="G713" s="180">
        <f>(G625/G612)*AV77</f>
        <v>0</v>
      </c>
      <c r="H713" s="180">
        <f>(H628/H612)*AV60</f>
        <v>2742601.5179754174</v>
      </c>
      <c r="I713" s="180">
        <f>(I629/I612)*AV78</f>
        <v>27230.94560815892</v>
      </c>
      <c r="J713" s="180">
        <f>(J630/J612)*AV79</f>
        <v>1362.7989004886063</v>
      </c>
      <c r="K713" s="180">
        <f>(K644/K612)*AV75</f>
        <v>27260.997963844104</v>
      </c>
      <c r="L713" s="180">
        <f>(L647/L612)*AV80</f>
        <v>20874.512081835885</v>
      </c>
      <c r="M713" s="180">
        <f t="shared" si="20"/>
        <v>-23398758</v>
      </c>
      <c r="N713" s="199" t="s">
        <v>741</v>
      </c>
    </row>
    <row r="715" spans="1:83" ht="12.6" customHeight="1" x14ac:dyDescent="0.25">
      <c r="C715" s="180">
        <f>SUM(C614:C647)+SUM(C668:C713)</f>
        <v>501403472.3786428</v>
      </c>
      <c r="D715" s="180">
        <f>SUM(D616:D647)+SUM(D668:D713)</f>
        <v>60037892.024200007</v>
      </c>
      <c r="E715" s="180">
        <f>SUM(E624:E647)+SUM(E668:E713)</f>
        <v>108355400.73122458</v>
      </c>
      <c r="F715" s="180">
        <f>SUM(F625:F648)+SUM(F668:F713)</f>
        <v>0</v>
      </c>
      <c r="G715" s="180">
        <f>SUM(G626:G647)+SUM(G668:G713)</f>
        <v>0</v>
      </c>
      <c r="H715" s="180">
        <f>SUM(H629:H647)+SUM(H668:H713)</f>
        <v>18333983.94384772</v>
      </c>
      <c r="I715" s="180">
        <f>SUM(I630:I647)+SUM(I668:I713)</f>
        <v>9292093.9054690246</v>
      </c>
      <c r="J715" s="180">
        <f>SUM(J631:J647)+SUM(J668:J713)</f>
        <v>660934.15634886699</v>
      </c>
      <c r="K715" s="180">
        <f>SUM(K668:K713)</f>
        <v>43596611.050672002</v>
      </c>
      <c r="L715" s="180">
        <f>SUM(L668:L713)</f>
        <v>7176515.9976383802</v>
      </c>
      <c r="M715" s="180">
        <f>SUM(M668:M713)</f>
        <v>207713364</v>
      </c>
      <c r="N715" s="198" t="s">
        <v>742</v>
      </c>
    </row>
    <row r="716" spans="1:83" ht="12.6" customHeight="1" x14ac:dyDescent="0.25">
      <c r="C716" s="180">
        <f>CE71</f>
        <v>501403472.37864274</v>
      </c>
      <c r="D716" s="180">
        <f>D615</f>
        <v>60037892.0242</v>
      </c>
      <c r="E716" s="180">
        <f>E623</f>
        <v>108355400.73122455</v>
      </c>
      <c r="F716" s="180">
        <f>F624</f>
        <v>0</v>
      </c>
      <c r="G716" s="180">
        <f>G625</f>
        <v>0</v>
      </c>
      <c r="H716" s="180">
        <f>H628</f>
        <v>18333983.943847723</v>
      </c>
      <c r="I716" s="180">
        <f>I629</f>
        <v>9292093.9054690227</v>
      </c>
      <c r="J716" s="180">
        <f>J630</f>
        <v>660934.15634886699</v>
      </c>
      <c r="K716" s="180">
        <f>K644</f>
        <v>43596611.050672002</v>
      </c>
      <c r="L716" s="180">
        <f>L647</f>
        <v>7176515.997638382</v>
      </c>
      <c r="M716" s="180">
        <f>C648</f>
        <v>207713365.20008522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4"/>
      <c r="C720" s="274"/>
      <c r="D720" s="274"/>
      <c r="E720" s="274"/>
      <c r="F720" s="274"/>
      <c r="G720" s="274"/>
      <c r="H720" s="274"/>
      <c r="I720" s="274"/>
      <c r="J720" s="274"/>
      <c r="K720" s="274"/>
      <c r="L720" s="274"/>
      <c r="M720" s="274"/>
      <c r="N720" s="274"/>
      <c r="O720" s="274"/>
      <c r="P720" s="274"/>
      <c r="Q720" s="274"/>
      <c r="R720" s="274"/>
      <c r="S720" s="274"/>
      <c r="T720" s="274"/>
      <c r="U720" s="274"/>
      <c r="V720" s="274"/>
      <c r="W720" s="274"/>
      <c r="X720" s="274"/>
      <c r="Y720" s="274"/>
      <c r="Z720" s="274"/>
      <c r="AA720" s="274"/>
      <c r="AB720" s="274"/>
      <c r="AC720" s="274"/>
      <c r="AD720" s="274"/>
      <c r="AE720" s="274"/>
      <c r="AF720" s="274"/>
      <c r="AG720" s="274"/>
      <c r="AH720" s="274"/>
      <c r="AI720" s="274"/>
      <c r="AJ720" s="274"/>
      <c r="AK720" s="274"/>
      <c r="AL720" s="274"/>
      <c r="AM720" s="274"/>
      <c r="AN720" s="274"/>
      <c r="AO720" s="274"/>
      <c r="AP720" s="274"/>
      <c r="AQ720" s="274"/>
      <c r="AR720" s="274"/>
      <c r="AS720" s="274"/>
      <c r="AT720" s="274"/>
      <c r="AU720" s="274"/>
      <c r="AV720" s="274"/>
      <c r="AW720" s="274"/>
      <c r="AX720" s="274"/>
      <c r="AY720" s="274"/>
      <c r="AZ720" s="274"/>
      <c r="BA720" s="274"/>
      <c r="BB720" s="274"/>
      <c r="BC720" s="274"/>
      <c r="BD720" s="274"/>
      <c r="BE720" s="274"/>
      <c r="BF720" s="274"/>
      <c r="BG720" s="274"/>
      <c r="BH720" s="274"/>
      <c r="BI720" s="274"/>
      <c r="BJ720" s="274"/>
      <c r="BK720" s="274"/>
      <c r="BL720" s="274"/>
      <c r="BM720" s="274"/>
      <c r="BN720" s="274"/>
      <c r="BO720" s="274"/>
      <c r="BP720" s="274"/>
      <c r="BQ720" s="274"/>
      <c r="BR720" s="274"/>
      <c r="BS720" s="274"/>
      <c r="BT720" s="274"/>
      <c r="BU720" s="274"/>
      <c r="BV720" s="274"/>
      <c r="BW720" s="274"/>
      <c r="BX720" s="274"/>
      <c r="BY720" s="274"/>
      <c r="BZ720" s="274"/>
      <c r="CA720" s="274"/>
      <c r="CB720" s="274"/>
      <c r="CC720" s="274"/>
      <c r="CD720" s="274"/>
      <c r="CE720" s="274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032*2017*A</v>
      </c>
      <c r="B722" s="274">
        <f>ROUND(C165,0)</f>
        <v>15445179</v>
      </c>
      <c r="C722" s="274">
        <f>ROUND(C166,0)</f>
        <v>685001</v>
      </c>
      <c r="D722" s="274">
        <f>ROUND(C167,0)</f>
        <v>3262360</v>
      </c>
      <c r="E722" s="274">
        <f>ROUND(C168,0)</f>
        <v>28584278</v>
      </c>
      <c r="F722" s="274">
        <f>ROUND(C169,0)</f>
        <v>234391</v>
      </c>
      <c r="G722" s="274">
        <f>ROUND(C170,0)</f>
        <v>10890309</v>
      </c>
      <c r="H722" s="274">
        <f>ROUND(C171+C172,0)</f>
        <v>1706551</v>
      </c>
      <c r="I722" s="274">
        <f>ROUND(C175,0)</f>
        <v>5903443</v>
      </c>
      <c r="J722" s="274">
        <f>ROUND(C176,0)</f>
        <v>4057660</v>
      </c>
      <c r="K722" s="274">
        <f>ROUND(C179,0)</f>
        <v>4547637</v>
      </c>
      <c r="L722" s="274">
        <f>ROUND(C180,0)</f>
        <v>775162</v>
      </c>
      <c r="M722" s="274">
        <f>ROUND(C183,0)</f>
        <v>129995</v>
      </c>
      <c r="N722" s="274">
        <f>ROUND(C184,0)</f>
        <v>25517729</v>
      </c>
      <c r="O722" s="274">
        <f>ROUND(C185,0)</f>
        <v>0</v>
      </c>
      <c r="P722" s="274">
        <f>ROUND(C188,0)</f>
        <v>0</v>
      </c>
      <c r="Q722" s="274">
        <f>ROUND(C189,0)</f>
        <v>1298187</v>
      </c>
      <c r="R722" s="274">
        <f>ROUND(B195,0)</f>
        <v>7877315</v>
      </c>
      <c r="S722" s="274">
        <f>ROUND(C195,0)</f>
        <v>87343</v>
      </c>
      <c r="T722" s="274">
        <f>ROUND(D195,0)</f>
        <v>87343</v>
      </c>
      <c r="U722" s="274">
        <f>ROUND(B196,0)</f>
        <v>4480025</v>
      </c>
      <c r="V722" s="274">
        <f>ROUND(C196,0)</f>
        <v>28946</v>
      </c>
      <c r="W722" s="274">
        <f>ROUND(D196,0)</f>
        <v>96781</v>
      </c>
      <c r="X722" s="274">
        <f>ROUND(B197,0)</f>
        <v>166197030</v>
      </c>
      <c r="Y722" s="274">
        <f>ROUND(C197,0)</f>
        <v>2331317</v>
      </c>
      <c r="Z722" s="274">
        <f>ROUND(D197,0)</f>
        <v>-1932864</v>
      </c>
      <c r="AA722" s="274">
        <f>ROUND(B198,0)</f>
        <v>0</v>
      </c>
      <c r="AB722" s="274">
        <f>ROUND(C198,0)</f>
        <v>0</v>
      </c>
      <c r="AC722" s="274">
        <f>ROUND(D198,0)</f>
        <v>0</v>
      </c>
      <c r="AD722" s="274">
        <f>ROUND(B199,0)</f>
        <v>73249297</v>
      </c>
      <c r="AE722" s="274">
        <f>ROUND(C199,0)</f>
        <v>118330</v>
      </c>
      <c r="AF722" s="274">
        <f>ROUND(D199,0)</f>
        <v>690208</v>
      </c>
      <c r="AG722" s="274">
        <f>ROUND(B200,0)</f>
        <v>219966208</v>
      </c>
      <c r="AH722" s="274">
        <f>ROUND(C200,0)</f>
        <v>18238185</v>
      </c>
      <c r="AI722" s="274">
        <f>ROUND(D200,0)</f>
        <v>7703720</v>
      </c>
      <c r="AJ722" s="274">
        <f>ROUND(B201,0)</f>
        <v>0</v>
      </c>
      <c r="AK722" s="274">
        <f>ROUND(C201,0)</f>
        <v>0</v>
      </c>
      <c r="AL722" s="274">
        <f>ROUND(D201,0)</f>
        <v>0</v>
      </c>
      <c r="AM722" s="274">
        <f>ROUND(B202,0)</f>
        <v>28198881</v>
      </c>
      <c r="AN722" s="274">
        <f>ROUND(C202,0)</f>
        <v>5527872</v>
      </c>
      <c r="AO722" s="274">
        <f>ROUND(D202,0)</f>
        <v>7678444</v>
      </c>
      <c r="AP722" s="274">
        <f>ROUND(B203,0)</f>
        <v>17884008</v>
      </c>
      <c r="AQ722" s="274">
        <f>ROUND(C203,0)</f>
        <v>10458050</v>
      </c>
      <c r="AR722" s="274">
        <f>ROUND(D203,0)</f>
        <v>16999468</v>
      </c>
      <c r="AS722" s="274"/>
      <c r="AT722" s="274"/>
      <c r="AU722" s="274"/>
      <c r="AV722" s="274">
        <f>ROUND(B209,0)</f>
        <v>3021675</v>
      </c>
      <c r="AW722" s="274">
        <f>ROUND(C209,0)</f>
        <v>173420</v>
      </c>
      <c r="AX722" s="274">
        <f>ROUND(D209,0)</f>
        <v>23552</v>
      </c>
      <c r="AY722" s="274">
        <f>ROUND(B210,0)</f>
        <v>73212114</v>
      </c>
      <c r="AZ722" s="274">
        <f>ROUND(C210,0)</f>
        <v>4704317</v>
      </c>
      <c r="BA722" s="274">
        <f>ROUND(D210,0)</f>
        <v>-59273</v>
      </c>
      <c r="BB722" s="274">
        <f>ROUND(B211,0)</f>
        <v>3770133</v>
      </c>
      <c r="BC722" s="274">
        <f>ROUND(C211,0)</f>
        <v>0</v>
      </c>
      <c r="BD722" s="274">
        <f>ROUND(D211,0)</f>
        <v>0</v>
      </c>
      <c r="BE722" s="274">
        <f>ROUND(B212,0)</f>
        <v>60908469</v>
      </c>
      <c r="BF722" s="274">
        <f>ROUND(C212,0)</f>
        <v>1230654</v>
      </c>
      <c r="BG722" s="274">
        <f>ROUND(D212,0)</f>
        <v>508144</v>
      </c>
      <c r="BH722" s="274">
        <f>ROUND(B213,0)</f>
        <v>164628934</v>
      </c>
      <c r="BI722" s="274">
        <f>ROUND(C213,0)</f>
        <v>13203399</v>
      </c>
      <c r="BJ722" s="274">
        <f>ROUND(D213,0)</f>
        <v>6251635</v>
      </c>
      <c r="BK722" s="274">
        <f>ROUND(B214,0)</f>
        <v>0</v>
      </c>
      <c r="BL722" s="274">
        <f>ROUND(C214,0)</f>
        <v>0</v>
      </c>
      <c r="BM722" s="274">
        <f>ROUND(D214,0)</f>
        <v>0</v>
      </c>
      <c r="BN722" s="274">
        <f>ROUND(B215,0)</f>
        <v>10022023</v>
      </c>
      <c r="BO722" s="274">
        <f>ROUND(C215,0)</f>
        <v>1960941</v>
      </c>
      <c r="BP722" s="274">
        <f>ROUND(D215,0)</f>
        <v>2659909</v>
      </c>
      <c r="BQ722" s="274">
        <f>ROUND(B216,0)</f>
        <v>0</v>
      </c>
      <c r="BR722" s="274">
        <f>ROUND(C216,0)</f>
        <v>0</v>
      </c>
      <c r="BS722" s="274">
        <f>ROUND(D216,0)</f>
        <v>0</v>
      </c>
      <c r="BT722" s="274">
        <f>ROUND(C223,0)</f>
        <v>1041278097</v>
      </c>
      <c r="BU722" s="274">
        <f>ROUND(C224,0)</f>
        <v>518116065</v>
      </c>
      <c r="BV722" s="274">
        <f>ROUND(C225,0)</f>
        <v>0</v>
      </c>
      <c r="BW722" s="274">
        <f>ROUND(C226,0)</f>
        <v>102275657</v>
      </c>
      <c r="BX722" s="274">
        <f>ROUND(C227,0)</f>
        <v>399480205</v>
      </c>
      <c r="BY722" s="274">
        <f>ROUND(C228,0)</f>
        <v>20658796</v>
      </c>
      <c r="BZ722" s="274">
        <f>ROUND(C231,0)</f>
        <v>8765</v>
      </c>
      <c r="CA722" s="274">
        <f>ROUND(C233,0)</f>
        <v>12029283</v>
      </c>
      <c r="CB722" s="274">
        <f>ROUND(C234,0)</f>
        <v>17550701</v>
      </c>
      <c r="CC722" s="274">
        <f>ROUND(C238+C239,0)</f>
        <v>14905783</v>
      </c>
      <c r="CD722" s="274">
        <f>D221</f>
        <v>8609436.4900000002</v>
      </c>
      <c r="CE722" s="274"/>
    </row>
    <row r="723" spans="1:84" ht="12.6" customHeight="1" x14ac:dyDescent="0.25">
      <c r="B723" s="275"/>
      <c r="C723" s="275"/>
      <c r="D723" s="275"/>
      <c r="E723" s="275"/>
      <c r="F723" s="275"/>
      <c r="G723" s="275"/>
      <c r="H723" s="275"/>
      <c r="I723" s="275"/>
      <c r="J723" s="275"/>
      <c r="K723" s="275"/>
      <c r="L723" s="275"/>
      <c r="M723" s="275"/>
      <c r="N723" s="275"/>
      <c r="O723" s="275"/>
      <c r="P723" s="275"/>
      <c r="Q723" s="275"/>
      <c r="R723" s="275"/>
      <c r="S723" s="275"/>
      <c r="T723" s="275"/>
      <c r="U723" s="275"/>
      <c r="V723" s="275"/>
      <c r="W723" s="275"/>
      <c r="X723" s="275"/>
      <c r="Y723" s="275"/>
      <c r="Z723" s="275"/>
      <c r="AA723" s="275"/>
      <c r="AB723" s="275"/>
      <c r="AC723" s="275"/>
      <c r="AD723" s="275"/>
      <c r="AE723" s="275"/>
      <c r="AF723" s="275"/>
      <c r="AG723" s="275"/>
      <c r="AH723" s="275"/>
      <c r="AI723" s="275"/>
      <c r="AJ723" s="275"/>
      <c r="AK723" s="275"/>
      <c r="AL723" s="275"/>
      <c r="AM723" s="275"/>
      <c r="AN723" s="275"/>
      <c r="AO723" s="275"/>
      <c r="AP723" s="275"/>
      <c r="AQ723" s="275"/>
      <c r="AR723" s="275"/>
      <c r="AS723" s="275"/>
      <c r="AT723" s="275"/>
      <c r="AU723" s="275"/>
      <c r="AV723" s="275"/>
      <c r="AW723" s="275"/>
      <c r="AX723" s="275"/>
      <c r="AY723" s="275"/>
      <c r="AZ723" s="275"/>
      <c r="BA723" s="275"/>
      <c r="BB723" s="275"/>
      <c r="BC723" s="275"/>
      <c r="BD723" s="275"/>
      <c r="BE723" s="275"/>
      <c r="BF723" s="275"/>
      <c r="BG723" s="275"/>
      <c r="BH723" s="275"/>
      <c r="BI723" s="275"/>
      <c r="BJ723" s="275"/>
      <c r="BK723" s="275"/>
      <c r="BL723" s="275"/>
      <c r="BM723" s="275"/>
      <c r="BN723" s="275"/>
      <c r="BO723" s="275"/>
      <c r="BP723" s="275"/>
      <c r="BQ723" s="275"/>
      <c r="BR723" s="275"/>
      <c r="BS723" s="275"/>
      <c r="BT723" s="275"/>
      <c r="BU723" s="275"/>
      <c r="BV723" s="275"/>
      <c r="BW723" s="275"/>
      <c r="BX723" s="275"/>
      <c r="BY723" s="275"/>
      <c r="BZ723" s="275"/>
      <c r="CA723" s="275"/>
      <c r="CB723" s="275"/>
      <c r="CC723" s="275"/>
      <c r="CD723" s="275"/>
      <c r="CE723" s="275"/>
    </row>
    <row r="724" spans="1:84" s="201" customFormat="1" ht="12.6" customHeight="1" x14ac:dyDescent="0.25">
      <c r="A724" s="201" t="s">
        <v>148</v>
      </c>
      <c r="B724" s="274"/>
      <c r="C724" s="274"/>
      <c r="D724" s="274"/>
      <c r="E724" s="274"/>
      <c r="F724" s="274"/>
      <c r="G724" s="274"/>
      <c r="H724" s="274"/>
      <c r="I724" s="274"/>
      <c r="J724" s="274"/>
      <c r="K724" s="274"/>
      <c r="L724" s="274"/>
      <c r="M724" s="274"/>
      <c r="N724" s="274"/>
      <c r="O724" s="274"/>
      <c r="P724" s="274"/>
      <c r="Q724" s="274"/>
      <c r="R724" s="274"/>
      <c r="S724" s="274"/>
      <c r="T724" s="274"/>
      <c r="U724" s="274"/>
      <c r="V724" s="274"/>
      <c r="W724" s="274"/>
      <c r="X724" s="274"/>
      <c r="Y724" s="274"/>
      <c r="Z724" s="274"/>
      <c r="AA724" s="274"/>
      <c r="AB724" s="274"/>
      <c r="AC724" s="274"/>
      <c r="AD724" s="274"/>
      <c r="AE724" s="274"/>
      <c r="AF724" s="274"/>
      <c r="AG724" s="274"/>
      <c r="AH724" s="274"/>
      <c r="AI724" s="274"/>
      <c r="AJ724" s="274"/>
      <c r="AK724" s="274"/>
      <c r="AL724" s="274"/>
      <c r="AM724" s="274"/>
      <c r="AN724" s="274"/>
      <c r="AO724" s="274"/>
      <c r="AP724" s="274"/>
      <c r="AQ724" s="274"/>
      <c r="AR724" s="274"/>
      <c r="AS724" s="274"/>
      <c r="AT724" s="274"/>
      <c r="AU724" s="274"/>
      <c r="AV724" s="274"/>
      <c r="AW724" s="274"/>
      <c r="AX724" s="274"/>
      <c r="AY724" s="274"/>
      <c r="AZ724" s="274"/>
      <c r="BA724" s="274"/>
      <c r="BB724" s="274"/>
      <c r="BC724" s="274"/>
      <c r="BD724" s="274"/>
      <c r="BE724" s="274"/>
      <c r="BF724" s="274"/>
      <c r="BG724" s="274"/>
      <c r="BH724" s="274"/>
      <c r="BI724" s="274"/>
      <c r="BJ724" s="274"/>
      <c r="BK724" s="274"/>
      <c r="BL724" s="274"/>
      <c r="BM724" s="274"/>
      <c r="BN724" s="274"/>
      <c r="BO724" s="274"/>
      <c r="BP724" s="274"/>
      <c r="BQ724" s="274"/>
      <c r="BR724" s="274"/>
      <c r="BS724" s="274"/>
      <c r="BT724" s="274"/>
      <c r="BU724" s="274"/>
      <c r="BV724" s="274"/>
      <c r="BW724" s="274"/>
      <c r="BX724" s="274"/>
      <c r="BY724" s="274"/>
      <c r="BZ724" s="274"/>
      <c r="CA724" s="274"/>
      <c r="CB724" s="274"/>
      <c r="CC724" s="274"/>
      <c r="CD724" s="274"/>
      <c r="CE724" s="274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032*2017*A</v>
      </c>
      <c r="B726" s="274">
        <f>ROUND(C111,0)</f>
        <v>20410</v>
      </c>
      <c r="C726" s="274">
        <f>ROUND(C112,0)</f>
        <v>0</v>
      </c>
      <c r="D726" s="274">
        <f>ROUND(C113,0)</f>
        <v>0</v>
      </c>
      <c r="E726" s="274">
        <f>ROUND(C114,0)</f>
        <v>4161</v>
      </c>
      <c r="F726" s="274">
        <f>ROUND(D111,0)</f>
        <v>111192</v>
      </c>
      <c r="G726" s="274">
        <f>ROUND(D112,0)</f>
        <v>0</v>
      </c>
      <c r="H726" s="274">
        <f>ROUND(D113,0)</f>
        <v>0</v>
      </c>
      <c r="I726" s="274">
        <f>ROUND(D114,0)</f>
        <v>11071</v>
      </c>
      <c r="J726" s="274">
        <f>ROUND(C116,0)</f>
        <v>40</v>
      </c>
      <c r="K726" s="274">
        <f>ROUND(C117,0)</f>
        <v>35</v>
      </c>
      <c r="L726" s="274">
        <f>ROUND(C118,0)</f>
        <v>186</v>
      </c>
      <c r="M726" s="274">
        <f>ROUND(C119,0)</f>
        <v>0</v>
      </c>
      <c r="N726" s="274">
        <f>ROUND(C120,0)</f>
        <v>33</v>
      </c>
      <c r="O726" s="274">
        <f>ROUND(C121,0)</f>
        <v>26</v>
      </c>
      <c r="P726" s="274">
        <f>ROUND(C122,0)</f>
        <v>23</v>
      </c>
      <c r="Q726" s="274">
        <f>ROUND(C123,0)</f>
        <v>0</v>
      </c>
      <c r="R726" s="274">
        <f>ROUND(C124,0)</f>
        <v>0</v>
      </c>
      <c r="S726" s="274">
        <f>ROUND(C125,0)</f>
        <v>0</v>
      </c>
      <c r="T726" s="274"/>
      <c r="U726" s="274">
        <f>ROUND(C126,0)</f>
        <v>23</v>
      </c>
      <c r="V726" s="274">
        <f>ROUND(C128,0)</f>
        <v>366</v>
      </c>
      <c r="W726" s="274">
        <f>ROUND(C129,0)</f>
        <v>35</v>
      </c>
      <c r="X726" s="274">
        <f>ROUND(B138,0)</f>
        <v>8490</v>
      </c>
      <c r="Y726" s="274">
        <f>ROUND(B139,0)</f>
        <v>53138</v>
      </c>
      <c r="Z726" s="274">
        <f>ROUND(B140,0)</f>
        <v>0</v>
      </c>
      <c r="AA726" s="274">
        <f>ROUND(B141,0)</f>
        <v>779767957</v>
      </c>
      <c r="AB726" s="274">
        <f>ROUND(B142,0)</f>
        <v>511633555</v>
      </c>
      <c r="AC726" s="274">
        <f>ROUND(C138,0)</f>
        <v>5150</v>
      </c>
      <c r="AD726" s="274">
        <f>ROUND(C139,0)</f>
        <v>28623</v>
      </c>
      <c r="AE726" s="274">
        <f>ROUND(C140,0)</f>
        <v>0</v>
      </c>
      <c r="AF726" s="274">
        <f>ROUND(C141,0)</f>
        <v>390120131</v>
      </c>
      <c r="AG726" s="274">
        <f>ROUND(C142,0)</f>
        <v>243492825</v>
      </c>
      <c r="AH726" s="274">
        <f>ROUND(D138,0)</f>
        <v>6770</v>
      </c>
      <c r="AI726" s="274">
        <f>ROUND(D139,0)</f>
        <v>29431</v>
      </c>
      <c r="AJ726" s="274">
        <f>ROUND(D140,0)</f>
        <v>0</v>
      </c>
      <c r="AK726" s="274">
        <f>ROUND(D141,0)</f>
        <v>469636740</v>
      </c>
      <c r="AL726" s="274">
        <f>ROUND(D142,0)</f>
        <v>412148413</v>
      </c>
      <c r="AM726" s="274">
        <f>ROUND(B144,0)</f>
        <v>0</v>
      </c>
      <c r="AN726" s="274">
        <f>ROUND(B145,0)</f>
        <v>0</v>
      </c>
      <c r="AO726" s="274">
        <f>ROUND(B146,0)</f>
        <v>0</v>
      </c>
      <c r="AP726" s="274">
        <f>ROUND(B147,0)</f>
        <v>0</v>
      </c>
      <c r="AQ726" s="274">
        <f>ROUND(B148,0)</f>
        <v>0</v>
      </c>
      <c r="AR726" s="274">
        <f>ROUND(C144,0)</f>
        <v>0</v>
      </c>
      <c r="AS726" s="274">
        <f>ROUND(C145,0)</f>
        <v>0</v>
      </c>
      <c r="AT726" s="274">
        <f>ROUND(C146,0)</f>
        <v>0</v>
      </c>
      <c r="AU726" s="274">
        <f>ROUND(C147,0)</f>
        <v>0</v>
      </c>
      <c r="AV726" s="274">
        <f>ROUND(C148,0)</f>
        <v>0</v>
      </c>
      <c r="AW726" s="274">
        <f>ROUND(D144,0)</f>
        <v>0</v>
      </c>
      <c r="AX726" s="274">
        <f>ROUND(D145,0)</f>
        <v>0</v>
      </c>
      <c r="AY726" s="274">
        <f>ROUND(D146,0)</f>
        <v>0</v>
      </c>
      <c r="AZ726" s="274">
        <f>ROUND(D147,0)</f>
        <v>0</v>
      </c>
      <c r="BA726" s="274">
        <f>ROUND(D148,0)</f>
        <v>0</v>
      </c>
      <c r="BB726" s="274">
        <f>ROUND(B150,0)</f>
        <v>0</v>
      </c>
      <c r="BC726" s="274">
        <f>ROUND(B151,0)</f>
        <v>0</v>
      </c>
      <c r="BD726" s="274">
        <f>ROUND(B152,0)</f>
        <v>0</v>
      </c>
      <c r="BE726" s="274">
        <f>ROUND(B153,0)</f>
        <v>0</v>
      </c>
      <c r="BF726" s="274">
        <f>ROUND(B154,0)</f>
        <v>0</v>
      </c>
      <c r="BG726" s="274">
        <f>ROUND(C150,0)</f>
        <v>0</v>
      </c>
      <c r="BH726" s="274">
        <f>ROUND(C151,0)</f>
        <v>0</v>
      </c>
      <c r="BI726" s="274">
        <f>ROUND(C152,0)</f>
        <v>0</v>
      </c>
      <c r="BJ726" s="274">
        <f>ROUND(C153,0)</f>
        <v>0</v>
      </c>
      <c r="BK726" s="274">
        <f>ROUND(C154,0)</f>
        <v>0</v>
      </c>
      <c r="BL726" s="274">
        <f>ROUND(D150,0)</f>
        <v>0</v>
      </c>
      <c r="BM726" s="274">
        <f>ROUND(D151,0)</f>
        <v>0</v>
      </c>
      <c r="BN726" s="274">
        <f>ROUND(D152,0)</f>
        <v>0</v>
      </c>
      <c r="BO726" s="274">
        <f>ROUND(D153,0)</f>
        <v>0</v>
      </c>
      <c r="BP726" s="274">
        <f>ROUND(D154,0)</f>
        <v>0</v>
      </c>
      <c r="BQ726" s="274">
        <f>ROUND(B157,0)</f>
        <v>0</v>
      </c>
      <c r="BR726" s="274">
        <f>ROUND(C157,0)</f>
        <v>0</v>
      </c>
      <c r="BS726" s="274"/>
      <c r="BT726" s="274"/>
      <c r="BU726" s="274"/>
      <c r="BV726" s="274"/>
      <c r="BW726" s="274"/>
      <c r="BX726" s="274"/>
      <c r="BY726" s="274"/>
      <c r="BZ726" s="274"/>
      <c r="CA726" s="274"/>
      <c r="CB726" s="274"/>
      <c r="CC726" s="274"/>
      <c r="CD726" s="274"/>
      <c r="CE726" s="274"/>
    </row>
    <row r="727" spans="1:84" ht="12.6" customHeight="1" x14ac:dyDescent="0.25">
      <c r="B727" s="275"/>
      <c r="C727" s="275"/>
      <c r="D727" s="275"/>
      <c r="E727" s="275"/>
      <c r="F727" s="275"/>
      <c r="G727" s="275"/>
      <c r="H727" s="275"/>
      <c r="I727" s="275"/>
      <c r="J727" s="275"/>
      <c r="K727" s="275"/>
      <c r="L727" s="275"/>
      <c r="M727" s="275"/>
      <c r="N727" s="275"/>
      <c r="O727" s="275"/>
      <c r="P727" s="275"/>
      <c r="Q727" s="275"/>
      <c r="R727" s="275"/>
      <c r="S727" s="275"/>
      <c r="T727" s="275"/>
      <c r="U727" s="275"/>
      <c r="V727" s="275"/>
      <c r="W727" s="275"/>
      <c r="X727" s="275"/>
      <c r="Y727" s="275"/>
      <c r="Z727" s="275"/>
      <c r="AA727" s="275"/>
      <c r="AB727" s="275"/>
      <c r="AC727" s="275"/>
      <c r="AD727" s="275"/>
      <c r="AE727" s="275"/>
      <c r="AF727" s="275"/>
      <c r="AG727" s="275"/>
      <c r="AH727" s="275"/>
      <c r="AI727" s="275"/>
      <c r="AJ727" s="275"/>
      <c r="AK727" s="275"/>
      <c r="AL727" s="275"/>
      <c r="AM727" s="275"/>
      <c r="AN727" s="275"/>
      <c r="AO727" s="275"/>
      <c r="AP727" s="275"/>
      <c r="AQ727" s="275"/>
      <c r="AR727" s="275"/>
      <c r="AS727" s="275"/>
      <c r="AT727" s="275"/>
      <c r="AU727" s="275"/>
      <c r="AV727" s="275"/>
      <c r="AW727" s="275"/>
      <c r="AX727" s="275"/>
      <c r="AY727" s="275"/>
      <c r="AZ727" s="275"/>
      <c r="BA727" s="275"/>
      <c r="BB727" s="275"/>
      <c r="BC727" s="275"/>
      <c r="BD727" s="275"/>
      <c r="BE727" s="275"/>
      <c r="BF727" s="275"/>
      <c r="BG727" s="275"/>
      <c r="BH727" s="275"/>
      <c r="BI727" s="275"/>
      <c r="BJ727" s="275"/>
      <c r="BK727" s="275"/>
      <c r="BL727" s="275"/>
      <c r="BM727" s="275"/>
      <c r="BN727" s="275"/>
      <c r="BO727" s="275"/>
      <c r="BP727" s="275"/>
      <c r="BQ727" s="275"/>
      <c r="BR727" s="275"/>
      <c r="BS727" s="275"/>
      <c r="BT727" s="275"/>
      <c r="BU727" s="275"/>
      <c r="BV727" s="275"/>
      <c r="BW727" s="275"/>
      <c r="BX727" s="275"/>
      <c r="BY727" s="275"/>
      <c r="BZ727" s="275"/>
      <c r="CA727" s="275"/>
      <c r="CB727" s="275"/>
      <c r="CC727" s="275"/>
      <c r="CD727" s="275"/>
      <c r="CE727" s="275"/>
    </row>
    <row r="728" spans="1:84" s="201" customFormat="1" ht="12.6" customHeight="1" x14ac:dyDescent="0.25">
      <c r="A728" s="201" t="s">
        <v>895</v>
      </c>
      <c r="B728" s="274"/>
      <c r="C728" s="274"/>
      <c r="D728" s="274"/>
      <c r="E728" s="274"/>
      <c r="F728" s="274"/>
      <c r="G728" s="274"/>
      <c r="H728" s="274"/>
      <c r="I728" s="274"/>
      <c r="J728" s="274"/>
      <c r="K728" s="274"/>
      <c r="L728" s="274"/>
      <c r="M728" s="274"/>
      <c r="N728" s="274"/>
      <c r="O728" s="274"/>
      <c r="P728" s="274"/>
      <c r="Q728" s="274"/>
      <c r="R728" s="274"/>
      <c r="S728" s="274"/>
      <c r="T728" s="274"/>
      <c r="U728" s="274"/>
      <c r="V728" s="274"/>
      <c r="W728" s="274"/>
      <c r="X728" s="274"/>
      <c r="Y728" s="274"/>
      <c r="Z728" s="274"/>
      <c r="AA728" s="274"/>
      <c r="AB728" s="274"/>
      <c r="AC728" s="274"/>
      <c r="AD728" s="274"/>
      <c r="AE728" s="274"/>
      <c r="AF728" s="274"/>
      <c r="AG728" s="274"/>
      <c r="AH728" s="274"/>
      <c r="AI728" s="274"/>
      <c r="AJ728" s="274"/>
      <c r="AK728" s="274"/>
      <c r="AL728" s="274"/>
      <c r="AM728" s="274"/>
      <c r="AN728" s="274"/>
      <c r="AO728" s="274"/>
      <c r="AP728" s="274"/>
      <c r="AQ728" s="274"/>
      <c r="AR728" s="274"/>
      <c r="AS728" s="274"/>
      <c r="AT728" s="274"/>
      <c r="AU728" s="274"/>
      <c r="AV728" s="274"/>
      <c r="AW728" s="274"/>
      <c r="AX728" s="274"/>
      <c r="AY728" s="274"/>
      <c r="AZ728" s="274"/>
      <c r="BA728" s="274"/>
      <c r="BB728" s="274"/>
      <c r="BC728" s="274"/>
      <c r="BD728" s="274"/>
      <c r="BE728" s="274"/>
      <c r="BF728" s="274"/>
      <c r="BG728" s="274"/>
      <c r="BH728" s="274"/>
      <c r="BI728" s="274"/>
      <c r="BJ728" s="274"/>
      <c r="BK728" s="274"/>
      <c r="BL728" s="274"/>
      <c r="BM728" s="274"/>
      <c r="BN728" s="274"/>
      <c r="BO728" s="274"/>
      <c r="BP728" s="274"/>
      <c r="BQ728" s="274"/>
      <c r="BR728" s="274"/>
      <c r="BS728" s="274"/>
      <c r="BT728" s="274"/>
      <c r="BU728" s="274"/>
      <c r="BV728" s="274"/>
      <c r="BW728" s="274"/>
      <c r="BX728" s="274"/>
      <c r="BY728" s="274"/>
      <c r="BZ728" s="274"/>
      <c r="CA728" s="274"/>
      <c r="CB728" s="274"/>
      <c r="CC728" s="274"/>
      <c r="CD728" s="274"/>
      <c r="CE728" s="274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032*2017*A</v>
      </c>
      <c r="B730" s="274">
        <f>ROUND(C250,0)</f>
        <v>109704699</v>
      </c>
      <c r="C730" s="274">
        <f>ROUND(C251,0)</f>
        <v>0</v>
      </c>
      <c r="D730" s="274">
        <f>ROUND(C252,0)</f>
        <v>365503084</v>
      </c>
      <c r="E730" s="274">
        <f>ROUND(C253,0)</f>
        <v>276187663</v>
      </c>
      <c r="F730" s="274">
        <f>ROUND(C254,0)</f>
        <v>0</v>
      </c>
      <c r="G730" s="274">
        <f>ROUND(C255,0)</f>
        <v>11447676</v>
      </c>
      <c r="H730" s="274">
        <f>ROUND(C256,0)</f>
        <v>0</v>
      </c>
      <c r="I730" s="274">
        <f>ROUND(C257,0)</f>
        <v>15498480</v>
      </c>
      <c r="J730" s="274">
        <f>ROUND(C258,0)</f>
        <v>677510</v>
      </c>
      <c r="K730" s="274">
        <f>ROUND(C259,0)</f>
        <v>0</v>
      </c>
      <c r="L730" s="274">
        <f>ROUND(C262,0)</f>
        <v>0</v>
      </c>
      <c r="M730" s="274">
        <f>ROUND(C263,0)</f>
        <v>0</v>
      </c>
      <c r="N730" s="274">
        <f>ROUND(C264,0)</f>
        <v>0</v>
      </c>
      <c r="O730" s="274">
        <f>ROUND(C267,0)</f>
        <v>7877315</v>
      </c>
      <c r="P730" s="274">
        <f>ROUND(C268,0)</f>
        <v>4412190</v>
      </c>
      <c r="Q730" s="274">
        <f>ROUND(C269,0)</f>
        <v>170461211</v>
      </c>
      <c r="R730" s="274">
        <f>ROUND(C270,0)</f>
        <v>0</v>
      </c>
      <c r="S730" s="274">
        <f>ROUND(C271,0)</f>
        <v>72677418</v>
      </c>
      <c r="T730" s="274">
        <f>ROUND(C272,0)</f>
        <v>230500672</v>
      </c>
      <c r="U730" s="274">
        <f>ROUND(C273,0)</f>
        <v>26048309</v>
      </c>
      <c r="V730" s="274">
        <f>ROUND(C274,0)</f>
        <v>11342590</v>
      </c>
      <c r="W730" s="274">
        <f>ROUND(C275,0)</f>
        <v>0</v>
      </c>
      <c r="X730" s="274">
        <f>ROUND(C276,0)</f>
        <v>327452112</v>
      </c>
      <c r="Y730" s="274">
        <f>ROUND(C279,0)</f>
        <v>0</v>
      </c>
      <c r="Z730" s="274">
        <f>ROUND(C280,0)</f>
        <v>0</v>
      </c>
      <c r="AA730" s="274">
        <f>ROUND(C281,0)</f>
        <v>60213393</v>
      </c>
      <c r="AB730" s="274">
        <f>ROUND(C282,0)</f>
        <v>1245870</v>
      </c>
      <c r="AC730" s="274">
        <f>ROUND(C286,0)</f>
        <v>0</v>
      </c>
      <c r="AD730" s="274">
        <f>ROUND(C287,0)</f>
        <v>0</v>
      </c>
      <c r="AE730" s="274">
        <f>ROUND(C288,0)</f>
        <v>0</v>
      </c>
      <c r="AF730" s="274">
        <f>ROUND(C289,0)</f>
        <v>0</v>
      </c>
      <c r="AG730" s="274">
        <f>ROUND(C304,0)</f>
        <v>0</v>
      </c>
      <c r="AH730" s="274">
        <f>ROUND(C305,0)</f>
        <v>17882925</v>
      </c>
      <c r="AI730" s="274">
        <f>ROUND(C306,0)</f>
        <v>26696102</v>
      </c>
      <c r="AJ730" s="274">
        <f>ROUND(C307,0)</f>
        <v>38508531</v>
      </c>
      <c r="AK730" s="274">
        <f>ROUND(C308,0)</f>
        <v>0</v>
      </c>
      <c r="AL730" s="274">
        <f>ROUND(C309,0)</f>
        <v>-978717</v>
      </c>
      <c r="AM730" s="274">
        <f>ROUND(C310,0)</f>
        <v>0</v>
      </c>
      <c r="AN730" s="274">
        <f>ROUND(C311,0)</f>
        <v>0</v>
      </c>
      <c r="AO730" s="274">
        <f>ROUND(C312,0)</f>
        <v>11026409</v>
      </c>
      <c r="AP730" s="274">
        <f>ROUND(C313,0)</f>
        <v>1658590</v>
      </c>
      <c r="AQ730" s="274">
        <f>ROUND(C316,0)</f>
        <v>0</v>
      </c>
      <c r="AR730" s="274">
        <f>ROUND(C317,0)</f>
        <v>0</v>
      </c>
      <c r="AS730" s="274">
        <f>ROUND(C318,0)</f>
        <v>0</v>
      </c>
      <c r="AT730" s="274">
        <f>ROUND(C321,0)</f>
        <v>0</v>
      </c>
      <c r="AU730" s="274">
        <f>ROUND(C322,0)</f>
        <v>0</v>
      </c>
      <c r="AV730" s="274">
        <f>ROUND(C323,0)</f>
        <v>0</v>
      </c>
      <c r="AW730" s="274">
        <f>ROUND(C324,0)</f>
        <v>0</v>
      </c>
      <c r="AX730" s="274">
        <f>ROUND(C325,0)</f>
        <v>0</v>
      </c>
      <c r="AY730" s="274">
        <f>ROUND(C326,0)</f>
        <v>6886995</v>
      </c>
      <c r="AZ730" s="274">
        <f>ROUND(C327,0)</f>
        <v>4673979</v>
      </c>
      <c r="BA730" s="274">
        <f>ROUND(C328,0)</f>
        <v>0</v>
      </c>
      <c r="BB730" s="274">
        <f>ROUND(C332,0)</f>
        <v>379274416</v>
      </c>
      <c r="BC730" s="274"/>
      <c r="BD730" s="274"/>
      <c r="BE730" s="274">
        <f>ROUND(C337,0)</f>
        <v>0</v>
      </c>
      <c r="BF730" s="274">
        <f>ROUND(C336,0)</f>
        <v>0</v>
      </c>
      <c r="BG730" s="274"/>
      <c r="BH730" s="274"/>
      <c r="BI730" s="274">
        <f>ROUND(CE60,2)</f>
        <v>2724.76</v>
      </c>
      <c r="BJ730" s="274">
        <f>ROUND(C359,0)</f>
        <v>1639524828</v>
      </c>
      <c r="BK730" s="274">
        <f>ROUND(C360,0)</f>
        <v>1167274793</v>
      </c>
      <c r="BL730" s="274">
        <f>ROUND(C364,0)</f>
        <v>2081808820</v>
      </c>
      <c r="BM730" s="274">
        <f>ROUND(C365,0)</f>
        <v>29579985</v>
      </c>
      <c r="BN730" s="274">
        <f>ROUND(C366,0)</f>
        <v>14905783</v>
      </c>
      <c r="BO730" s="274">
        <f>ROUND(C370,0)</f>
        <v>150923016</v>
      </c>
      <c r="BP730" s="274">
        <f>ROUND(C371,0)</f>
        <v>0</v>
      </c>
      <c r="BQ730" s="274">
        <f>ROUND(C378,0)</f>
        <v>210612361</v>
      </c>
      <c r="BR730" s="274">
        <f>ROUND(C379,0)</f>
        <v>60808069</v>
      </c>
      <c r="BS730" s="274">
        <f>ROUND(C380,0)</f>
        <v>25183326</v>
      </c>
      <c r="BT730" s="274">
        <f>ROUND(C381,0)</f>
        <v>106596986</v>
      </c>
      <c r="BU730" s="274">
        <f>ROUND(C382,0)</f>
        <v>4794053</v>
      </c>
      <c r="BV730" s="274">
        <f>ROUND(C383,0)</f>
        <v>160200462</v>
      </c>
      <c r="BW730" s="274">
        <f>ROUND(C384,0)</f>
        <v>21272731</v>
      </c>
      <c r="BX730" s="274">
        <f>ROUND(C385,0)</f>
        <v>9961103</v>
      </c>
      <c r="BY730" s="274">
        <f>ROUND(C386,0)</f>
        <v>5322799</v>
      </c>
      <c r="BZ730" s="274">
        <f>ROUND(C387,0)</f>
        <v>25647724</v>
      </c>
      <c r="CA730" s="274">
        <f>ROUND(C388,0)</f>
        <v>1298187</v>
      </c>
      <c r="CB730" s="274">
        <f>C363</f>
        <v>8609436.4900000002</v>
      </c>
      <c r="CC730" s="274">
        <f>ROUND(C389,0)</f>
        <v>20628690</v>
      </c>
      <c r="CD730" s="274">
        <f>ROUND(C392,0)</f>
        <v>3014315</v>
      </c>
      <c r="CE730" s="274">
        <f>ROUND(C394,0)</f>
        <v>0</v>
      </c>
      <c r="CF730" s="201">
        <f>ROUND(C395,0)</f>
        <v>0</v>
      </c>
    </row>
    <row r="731" spans="1:84" ht="12.6" customHeight="1" x14ac:dyDescent="0.25">
      <c r="B731" s="275"/>
      <c r="C731" s="275"/>
      <c r="D731" s="275"/>
      <c r="E731" s="275"/>
      <c r="F731" s="275"/>
      <c r="G731" s="275"/>
      <c r="H731" s="275"/>
      <c r="I731" s="275"/>
      <c r="J731" s="275"/>
      <c r="K731" s="275"/>
      <c r="L731" s="275"/>
      <c r="M731" s="275"/>
      <c r="N731" s="275"/>
      <c r="O731" s="275"/>
      <c r="P731" s="275"/>
      <c r="Q731" s="275"/>
      <c r="R731" s="275"/>
      <c r="S731" s="275"/>
      <c r="T731" s="275"/>
      <c r="U731" s="275"/>
      <c r="V731" s="275"/>
      <c r="W731" s="275"/>
      <c r="X731" s="275"/>
      <c r="Y731" s="275"/>
      <c r="Z731" s="275"/>
      <c r="AA731" s="275"/>
      <c r="AB731" s="275"/>
      <c r="AC731" s="275"/>
      <c r="AD731" s="275"/>
      <c r="AE731" s="275"/>
      <c r="AF731" s="275"/>
      <c r="AG731" s="275"/>
      <c r="AH731" s="275"/>
      <c r="AI731" s="275"/>
      <c r="AJ731" s="275"/>
      <c r="AK731" s="275"/>
      <c r="AL731" s="275"/>
      <c r="AM731" s="275"/>
      <c r="AN731" s="275"/>
      <c r="AO731" s="275"/>
      <c r="AP731" s="275"/>
      <c r="AQ731" s="275"/>
      <c r="AR731" s="275"/>
      <c r="AS731" s="275"/>
      <c r="AT731" s="275"/>
      <c r="AU731" s="275"/>
      <c r="AV731" s="275"/>
      <c r="AW731" s="275"/>
      <c r="AX731" s="275"/>
      <c r="AY731" s="275"/>
      <c r="AZ731" s="275"/>
      <c r="BA731" s="275"/>
      <c r="BB731" s="275"/>
      <c r="BC731" s="275"/>
      <c r="BD731" s="275"/>
      <c r="BE731" s="275"/>
      <c r="BF731" s="275"/>
      <c r="BG731" s="275"/>
      <c r="BH731" s="275"/>
      <c r="BI731" s="275"/>
      <c r="BJ731" s="275"/>
      <c r="BK731" s="275"/>
      <c r="BL731" s="275"/>
      <c r="BM731" s="275"/>
      <c r="BN731" s="275"/>
      <c r="BO731" s="275"/>
      <c r="BP731" s="275"/>
      <c r="BQ731" s="275"/>
      <c r="BR731" s="275"/>
      <c r="BS731" s="275"/>
      <c r="BT731" s="275"/>
      <c r="BU731" s="275"/>
      <c r="BV731" s="275"/>
      <c r="BW731" s="275"/>
      <c r="BX731" s="275"/>
      <c r="BY731" s="275"/>
      <c r="BZ731" s="275"/>
      <c r="CA731" s="275"/>
      <c r="CB731" s="275"/>
      <c r="CC731" s="275"/>
      <c r="CD731" s="275"/>
      <c r="CE731" s="275"/>
    </row>
    <row r="732" spans="1:84" s="201" customFormat="1" ht="12.6" customHeight="1" x14ac:dyDescent="0.25">
      <c r="A732" s="201" t="s">
        <v>979</v>
      </c>
      <c r="B732" s="274"/>
      <c r="C732" s="274"/>
      <c r="D732" s="274"/>
      <c r="E732" s="274"/>
      <c r="F732" s="274"/>
      <c r="G732" s="274"/>
      <c r="H732" s="274"/>
      <c r="I732" s="274"/>
      <c r="J732" s="274"/>
      <c r="K732" s="274"/>
      <c r="L732" s="274"/>
      <c r="M732" s="274"/>
      <c r="N732" s="274"/>
      <c r="O732" s="274"/>
      <c r="P732" s="274"/>
      <c r="Q732" s="274"/>
      <c r="R732" s="274"/>
      <c r="S732" s="274"/>
      <c r="T732" s="274"/>
      <c r="U732" s="274"/>
      <c r="V732" s="274"/>
      <c r="W732" s="274"/>
      <c r="X732" s="274"/>
      <c r="Y732" s="274"/>
      <c r="Z732" s="274"/>
      <c r="AA732" s="274"/>
      <c r="AB732" s="274"/>
      <c r="AC732" s="274"/>
      <c r="AD732" s="274"/>
      <c r="AE732" s="274"/>
      <c r="AF732" s="274"/>
      <c r="AG732" s="274"/>
      <c r="AH732" s="274"/>
      <c r="AI732" s="274"/>
      <c r="AJ732" s="274"/>
      <c r="AK732" s="274"/>
      <c r="AL732" s="274"/>
      <c r="AM732" s="274"/>
      <c r="AN732" s="274"/>
      <c r="AO732" s="274"/>
      <c r="AP732" s="274"/>
      <c r="AQ732" s="274"/>
      <c r="AR732" s="274"/>
      <c r="AS732" s="274"/>
      <c r="AT732" s="274"/>
      <c r="AU732" s="274"/>
      <c r="AV732" s="274"/>
      <c r="AW732" s="274"/>
      <c r="AX732" s="274"/>
      <c r="AY732" s="274"/>
      <c r="AZ732" s="274"/>
      <c r="BA732" s="274"/>
      <c r="BB732" s="274"/>
      <c r="BC732" s="274"/>
      <c r="BD732" s="274"/>
      <c r="BE732" s="274"/>
      <c r="BF732" s="274"/>
      <c r="BG732" s="274"/>
      <c r="BH732" s="274"/>
      <c r="BI732" s="274"/>
      <c r="BJ732" s="274"/>
      <c r="BK732" s="274"/>
      <c r="BL732" s="274"/>
      <c r="BM732" s="274"/>
      <c r="BN732" s="274"/>
      <c r="BO732" s="274"/>
      <c r="BP732" s="274"/>
      <c r="BQ732" s="274"/>
      <c r="BR732" s="274"/>
      <c r="BS732" s="274"/>
      <c r="BT732" s="274"/>
      <c r="BU732" s="274"/>
      <c r="BV732" s="274"/>
      <c r="BW732" s="274"/>
      <c r="BX732" s="274"/>
      <c r="BY732" s="274"/>
      <c r="BZ732" s="274"/>
      <c r="CA732" s="274"/>
      <c r="CB732" s="274"/>
      <c r="CC732" s="274"/>
      <c r="CD732" s="274"/>
      <c r="CE732" s="274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032*2017*6010*A</v>
      </c>
      <c r="B734" s="274">
        <f>ROUND(C59,0)</f>
        <v>23888</v>
      </c>
      <c r="C734" s="274">
        <f>ROUND(C60,2)</f>
        <v>195.15</v>
      </c>
      <c r="D734" s="274">
        <f>ROUND(C61,0)</f>
        <v>15261779</v>
      </c>
      <c r="E734" s="274">
        <f>ROUND(C62,0)</f>
        <v>4140513</v>
      </c>
      <c r="F734" s="274">
        <f>ROUND(C63,0)</f>
        <v>2807715</v>
      </c>
      <c r="G734" s="274">
        <f>ROUND(C64,0)</f>
        <v>2397936</v>
      </c>
      <c r="H734" s="274">
        <f>ROUND(C65,0)</f>
        <v>3454</v>
      </c>
      <c r="I734" s="274">
        <f>ROUND(C66,0)</f>
        <v>205721</v>
      </c>
      <c r="J734" s="274">
        <f>ROUND(C67,0)</f>
        <v>752782</v>
      </c>
      <c r="K734" s="274">
        <f>ROUND(C68,0)</f>
        <v>143514</v>
      </c>
      <c r="L734" s="274">
        <f>ROUND(C69,0)</f>
        <v>62487</v>
      </c>
      <c r="M734" s="274">
        <f>ROUND(C70,0)</f>
        <v>4500</v>
      </c>
      <c r="N734" s="274">
        <f>ROUND(C75,0)</f>
        <v>90553199</v>
      </c>
      <c r="O734" s="274">
        <f>ROUND(C73,0)</f>
        <v>90051022</v>
      </c>
      <c r="P734" s="274">
        <f>IF(C76&gt;0,ROUND(C76,0),0)</f>
        <v>20827</v>
      </c>
      <c r="Q734" s="274">
        <f>IF(C77&gt;0,ROUND(C77,0),0)</f>
        <v>37485</v>
      </c>
      <c r="R734" s="274">
        <f>IF(C78&gt;0,ROUND(C78,0),0)</f>
        <v>8730</v>
      </c>
      <c r="S734" s="274">
        <f>IF(C79&gt;0,ROUND(C79,0),0)</f>
        <v>278288</v>
      </c>
      <c r="T734" s="274">
        <f>IF(C80&gt;0,ROUND(C80,2),0)</f>
        <v>120.29</v>
      </c>
      <c r="U734" s="274"/>
      <c r="V734" s="274"/>
      <c r="W734" s="274"/>
      <c r="X734" s="274"/>
      <c r="Y734" s="274">
        <f>IF(M668&lt;&gt;0,ROUND(M668,0),0)</f>
        <v>13628789</v>
      </c>
      <c r="Z734" s="274"/>
      <c r="AA734" s="274"/>
      <c r="AB734" s="274"/>
      <c r="AC734" s="274"/>
      <c r="AD734" s="274"/>
      <c r="AE734" s="274"/>
      <c r="AF734" s="274"/>
      <c r="AG734" s="274"/>
      <c r="AH734" s="274"/>
      <c r="AI734" s="274"/>
      <c r="AJ734" s="274"/>
      <c r="AK734" s="274"/>
      <c r="AL734" s="274"/>
      <c r="AM734" s="274"/>
      <c r="AN734" s="274"/>
      <c r="AO734" s="274"/>
      <c r="AP734" s="274"/>
      <c r="AQ734" s="274"/>
      <c r="AR734" s="274"/>
      <c r="AS734" s="274"/>
      <c r="AT734" s="274"/>
      <c r="AU734" s="274"/>
      <c r="AV734" s="274"/>
      <c r="AW734" s="274"/>
      <c r="AX734" s="274"/>
      <c r="AY734" s="274"/>
      <c r="AZ734" s="274"/>
      <c r="BA734" s="274"/>
      <c r="BB734" s="274"/>
      <c r="BC734" s="274"/>
      <c r="BD734" s="274"/>
      <c r="BE734" s="274"/>
      <c r="BF734" s="274"/>
      <c r="BG734" s="274"/>
      <c r="BH734" s="274"/>
      <c r="BI734" s="274"/>
      <c r="BJ734" s="274"/>
      <c r="BK734" s="274"/>
      <c r="BL734" s="274"/>
      <c r="BM734" s="274"/>
      <c r="BN734" s="274"/>
      <c r="BO734" s="274"/>
      <c r="BP734" s="274"/>
      <c r="BQ734" s="274"/>
      <c r="BR734" s="274"/>
      <c r="BS734" s="274"/>
      <c r="BT734" s="274"/>
      <c r="BU734" s="274"/>
      <c r="BV734" s="274"/>
      <c r="BW734" s="274"/>
      <c r="BX734" s="274"/>
      <c r="BY734" s="274"/>
      <c r="BZ734" s="274"/>
      <c r="CA734" s="274"/>
      <c r="CB734" s="274"/>
      <c r="CC734" s="274"/>
      <c r="CD734" s="274"/>
      <c r="CE734" s="274"/>
    </row>
    <row r="735" spans="1:84" ht="12.6" customHeight="1" x14ac:dyDescent="0.25">
      <c r="A735" s="209" t="str">
        <f>RIGHT($C$83,3)&amp;"*"&amp;RIGHT($C$82,4)&amp;"*"&amp;D$55&amp;"*"&amp;"A"</f>
        <v>032*2017*6030*A</v>
      </c>
      <c r="B735" s="274">
        <f>ROUND(D59,0)</f>
        <v>0</v>
      </c>
      <c r="C735" s="276">
        <f>ROUND(D60,2)</f>
        <v>0</v>
      </c>
      <c r="D735" s="274">
        <f>ROUND(D61,0)</f>
        <v>0</v>
      </c>
      <c r="E735" s="274">
        <f>ROUND(D62,0)</f>
        <v>0</v>
      </c>
      <c r="F735" s="274">
        <f>ROUND(D63,0)</f>
        <v>0</v>
      </c>
      <c r="G735" s="274">
        <f>ROUND(D64,0)</f>
        <v>0</v>
      </c>
      <c r="H735" s="274">
        <f>ROUND(D65,0)</f>
        <v>0</v>
      </c>
      <c r="I735" s="274">
        <f>ROUND(D66,0)</f>
        <v>0</v>
      </c>
      <c r="J735" s="274">
        <f>ROUND(D67,0)</f>
        <v>0</v>
      </c>
      <c r="K735" s="274">
        <f>ROUND(D68,0)</f>
        <v>0</v>
      </c>
      <c r="L735" s="274">
        <f>ROUND(D69,0)</f>
        <v>0</v>
      </c>
      <c r="M735" s="274">
        <f>ROUND(D70,0)</f>
        <v>0</v>
      </c>
      <c r="N735" s="274">
        <f>ROUND(D75,0)</f>
        <v>0</v>
      </c>
      <c r="O735" s="274">
        <f>ROUND(D73,0)</f>
        <v>0</v>
      </c>
      <c r="P735" s="274">
        <f>IF(D76&gt;0,ROUND(D76,0),0)</f>
        <v>0</v>
      </c>
      <c r="Q735" s="274">
        <f>IF(D77&gt;0,ROUND(D77,0),0)</f>
        <v>0</v>
      </c>
      <c r="R735" s="274">
        <f>IF(D78&gt;0,ROUND(D78,0),0)</f>
        <v>0</v>
      </c>
      <c r="S735" s="274">
        <f>IF(D79&gt;0,ROUND(D79,0),0)</f>
        <v>0</v>
      </c>
      <c r="T735" s="276">
        <f>IF(D80&gt;0,ROUND(D80,2),0)</f>
        <v>0</v>
      </c>
      <c r="U735" s="274"/>
      <c r="V735" s="275"/>
      <c r="W735" s="274"/>
      <c r="X735" s="274"/>
      <c r="Y735" s="274">
        <f t="shared" ref="Y735:Y779" si="21">IF(M669&lt;&gt;0,ROUND(M669,0),0)</f>
        <v>0</v>
      </c>
      <c r="Z735" s="275"/>
      <c r="AA735" s="275"/>
      <c r="AB735" s="275"/>
      <c r="AC735" s="275"/>
      <c r="AD735" s="275"/>
      <c r="AE735" s="275"/>
      <c r="AF735" s="275"/>
      <c r="AG735" s="275"/>
      <c r="AH735" s="275"/>
      <c r="AI735" s="275"/>
      <c r="AJ735" s="275"/>
      <c r="AK735" s="275"/>
      <c r="AL735" s="275"/>
      <c r="AM735" s="275"/>
      <c r="AN735" s="275"/>
      <c r="AO735" s="275"/>
      <c r="AP735" s="275"/>
      <c r="AQ735" s="275"/>
      <c r="AR735" s="275"/>
      <c r="AS735" s="275"/>
      <c r="AT735" s="275"/>
      <c r="AU735" s="275"/>
      <c r="AV735" s="275"/>
      <c r="AW735" s="275"/>
      <c r="AX735" s="275"/>
      <c r="AY735" s="275"/>
      <c r="AZ735" s="275"/>
      <c r="BA735" s="275"/>
      <c r="BB735" s="275"/>
      <c r="BC735" s="275"/>
      <c r="BD735" s="275"/>
      <c r="BE735" s="275"/>
      <c r="BF735" s="275"/>
      <c r="BG735" s="275"/>
      <c r="BH735" s="275"/>
      <c r="BI735" s="275"/>
      <c r="BJ735" s="275"/>
      <c r="BK735" s="275"/>
      <c r="BL735" s="275"/>
      <c r="BM735" s="275"/>
      <c r="BN735" s="275"/>
      <c r="BO735" s="275"/>
      <c r="BP735" s="275"/>
      <c r="BQ735" s="275"/>
      <c r="BR735" s="275"/>
      <c r="BS735" s="275"/>
      <c r="BT735" s="275"/>
      <c r="BU735" s="275"/>
      <c r="BV735" s="275"/>
      <c r="BW735" s="275"/>
      <c r="BX735" s="275"/>
      <c r="BY735" s="275"/>
      <c r="BZ735" s="275"/>
      <c r="CA735" s="275"/>
      <c r="CB735" s="275"/>
      <c r="CC735" s="275"/>
      <c r="CD735" s="275"/>
      <c r="CE735" s="275"/>
    </row>
    <row r="736" spans="1:84" ht="12.6" customHeight="1" x14ac:dyDescent="0.25">
      <c r="A736" s="209" t="str">
        <f>RIGHT($C$83,3)&amp;"*"&amp;RIGHT($C$82,4)&amp;"*"&amp;E$55&amp;"*"&amp;"A"</f>
        <v>032*2017*6070*A</v>
      </c>
      <c r="B736" s="274">
        <f>ROUND(E59,0)</f>
        <v>71992</v>
      </c>
      <c r="C736" s="276">
        <f>ROUND(E60,2)</f>
        <v>390.15</v>
      </c>
      <c r="D736" s="274">
        <f>ROUND(E61,0)</f>
        <v>28790565</v>
      </c>
      <c r="E736" s="274">
        <f>ROUND(E62,0)</f>
        <v>8540165</v>
      </c>
      <c r="F736" s="274">
        <f>ROUND(E63,0)</f>
        <v>46500</v>
      </c>
      <c r="G736" s="274">
        <f>ROUND(E64,0)</f>
        <v>2677944</v>
      </c>
      <c r="H736" s="274">
        <f>ROUND(E65,0)</f>
        <v>5209</v>
      </c>
      <c r="I736" s="274">
        <f>ROUND(E66,0)</f>
        <v>1317531</v>
      </c>
      <c r="J736" s="274">
        <f>ROUND(E67,0)</f>
        <v>2264531</v>
      </c>
      <c r="K736" s="274">
        <f>ROUND(E68,0)</f>
        <v>381111</v>
      </c>
      <c r="L736" s="274">
        <f>ROUND(E69,0)</f>
        <v>58272</v>
      </c>
      <c r="M736" s="274">
        <f>ROUND(E70,0)</f>
        <v>28429</v>
      </c>
      <c r="N736" s="274">
        <f>ROUND(E75,0)</f>
        <v>194804223</v>
      </c>
      <c r="O736" s="274">
        <f>ROUND(E73,0)</f>
        <v>180651668</v>
      </c>
      <c r="P736" s="274">
        <f>IF(E76&gt;0,ROUND(E76,0),0)</f>
        <v>93975</v>
      </c>
      <c r="Q736" s="274">
        <f>IF(E77&gt;0,ROUND(E77,0),0)</f>
        <v>284719</v>
      </c>
      <c r="R736" s="274">
        <f>IF(E78&gt;0,ROUND(E78,0),0)</f>
        <v>39392</v>
      </c>
      <c r="S736" s="274">
        <f>IF(E79&gt;0,ROUND(E79,0),0)</f>
        <v>695559</v>
      </c>
      <c r="T736" s="276">
        <f>IF(E80&gt;0,ROUND(E80,2),0)</f>
        <v>228.2</v>
      </c>
      <c r="U736" s="274"/>
      <c r="V736" s="275"/>
      <c r="W736" s="274"/>
      <c r="X736" s="274"/>
      <c r="Y736" s="274">
        <f t="shared" si="21"/>
        <v>31972547</v>
      </c>
      <c r="Z736" s="275"/>
      <c r="AA736" s="275"/>
      <c r="AB736" s="275"/>
      <c r="AC736" s="275"/>
      <c r="AD736" s="275"/>
      <c r="AE736" s="275"/>
      <c r="AF736" s="275"/>
      <c r="AG736" s="275"/>
      <c r="AH736" s="275"/>
      <c r="AI736" s="275"/>
      <c r="AJ736" s="275"/>
      <c r="AK736" s="275"/>
      <c r="AL736" s="275"/>
      <c r="AM736" s="275"/>
      <c r="AN736" s="275"/>
      <c r="AO736" s="275"/>
      <c r="AP736" s="275"/>
      <c r="AQ736" s="275"/>
      <c r="AR736" s="275"/>
      <c r="AS736" s="275"/>
      <c r="AT736" s="275"/>
      <c r="AU736" s="275"/>
      <c r="AV736" s="275"/>
      <c r="AW736" s="275"/>
      <c r="AX736" s="275"/>
      <c r="AY736" s="275"/>
      <c r="AZ736" s="275"/>
      <c r="BA736" s="275"/>
      <c r="BB736" s="275"/>
      <c r="BC736" s="275"/>
      <c r="BD736" s="275"/>
      <c r="BE736" s="275"/>
      <c r="BF736" s="275"/>
      <c r="BG736" s="275"/>
      <c r="BH736" s="275"/>
      <c r="BI736" s="275"/>
      <c r="BJ736" s="275"/>
      <c r="BK736" s="275"/>
      <c r="BL736" s="275"/>
      <c r="BM736" s="275"/>
      <c r="BN736" s="275"/>
      <c r="BO736" s="275"/>
      <c r="BP736" s="275"/>
      <c r="BQ736" s="275"/>
      <c r="BR736" s="275"/>
      <c r="BS736" s="275"/>
      <c r="BT736" s="275"/>
      <c r="BU736" s="275"/>
      <c r="BV736" s="275"/>
      <c r="BW736" s="275"/>
      <c r="BX736" s="275"/>
      <c r="BY736" s="275"/>
      <c r="BZ736" s="275"/>
      <c r="CA736" s="275"/>
      <c r="CB736" s="275"/>
      <c r="CC736" s="275"/>
      <c r="CD736" s="275"/>
      <c r="CE736" s="275"/>
    </row>
    <row r="737" spans="1:83" ht="12.6" customHeight="1" x14ac:dyDescent="0.25">
      <c r="A737" s="209" t="str">
        <f>RIGHT($C$83,3)&amp;"*"&amp;RIGHT($C$82,4)&amp;"*"&amp;F$55&amp;"*"&amp;"A"</f>
        <v>032*2017*6100*A</v>
      </c>
      <c r="B737" s="274">
        <f>ROUND(F59,0)</f>
        <v>0</v>
      </c>
      <c r="C737" s="276">
        <f>ROUND(F60,2)</f>
        <v>0</v>
      </c>
      <c r="D737" s="274">
        <f>ROUND(F61,0)</f>
        <v>0</v>
      </c>
      <c r="E737" s="274">
        <f>ROUND(F62,0)</f>
        <v>0</v>
      </c>
      <c r="F737" s="274">
        <f>ROUND(F63,0)</f>
        <v>0</v>
      </c>
      <c r="G737" s="274">
        <f>ROUND(F64,0)</f>
        <v>0</v>
      </c>
      <c r="H737" s="274">
        <f>ROUND(F65,0)</f>
        <v>0</v>
      </c>
      <c r="I737" s="274">
        <f>ROUND(F66,0)</f>
        <v>0</v>
      </c>
      <c r="J737" s="274">
        <f>ROUND(F67,0)</f>
        <v>0</v>
      </c>
      <c r="K737" s="274">
        <f>ROUND(F68,0)</f>
        <v>0</v>
      </c>
      <c r="L737" s="274">
        <f>ROUND(F69,0)</f>
        <v>0</v>
      </c>
      <c r="M737" s="274">
        <f>ROUND(F70,0)</f>
        <v>0</v>
      </c>
      <c r="N737" s="274">
        <f>ROUND(F75,0)</f>
        <v>0</v>
      </c>
      <c r="O737" s="274">
        <f>ROUND(F73,0)</f>
        <v>0</v>
      </c>
      <c r="P737" s="274">
        <f>IF(F76&gt;0,ROUND(F76,0),0)</f>
        <v>0</v>
      </c>
      <c r="Q737" s="274">
        <f>IF(F77&gt;0,ROUND(F77,0),0)</f>
        <v>0</v>
      </c>
      <c r="R737" s="274">
        <f>IF(F78&gt;0,ROUND(F78,0),0)</f>
        <v>0</v>
      </c>
      <c r="S737" s="274">
        <f>IF(F79&gt;0,ROUND(F79,0),0)</f>
        <v>0</v>
      </c>
      <c r="T737" s="276">
        <f>IF(F80&gt;0,ROUND(F80,2),0)</f>
        <v>0</v>
      </c>
      <c r="U737" s="274"/>
      <c r="V737" s="275"/>
      <c r="W737" s="274"/>
      <c r="X737" s="274"/>
      <c r="Y737" s="274">
        <f t="shared" si="21"/>
        <v>0</v>
      </c>
      <c r="Z737" s="275"/>
      <c r="AA737" s="275"/>
      <c r="AB737" s="275"/>
      <c r="AC737" s="275"/>
      <c r="AD737" s="275"/>
      <c r="AE737" s="275"/>
      <c r="AF737" s="275"/>
      <c r="AG737" s="275"/>
      <c r="AH737" s="275"/>
      <c r="AI737" s="275"/>
      <c r="AJ737" s="275"/>
      <c r="AK737" s="275"/>
      <c r="AL737" s="275"/>
      <c r="AM737" s="275"/>
      <c r="AN737" s="275"/>
      <c r="AO737" s="275"/>
      <c r="AP737" s="275"/>
      <c r="AQ737" s="275"/>
      <c r="AR737" s="275"/>
      <c r="AS737" s="275"/>
      <c r="AT737" s="275"/>
      <c r="AU737" s="275"/>
      <c r="AV737" s="275"/>
      <c r="AW737" s="275"/>
      <c r="AX737" s="275"/>
      <c r="AY737" s="275"/>
      <c r="AZ737" s="275"/>
      <c r="BA737" s="275"/>
      <c r="BB737" s="275"/>
      <c r="BC737" s="275"/>
      <c r="BD737" s="275"/>
      <c r="BE737" s="275"/>
      <c r="BF737" s="275"/>
      <c r="BG737" s="275"/>
      <c r="BH737" s="275"/>
      <c r="BI737" s="275"/>
      <c r="BJ737" s="275"/>
      <c r="BK737" s="275"/>
      <c r="BL737" s="275"/>
      <c r="BM737" s="275"/>
      <c r="BN737" s="275"/>
      <c r="BO737" s="275"/>
      <c r="BP737" s="275"/>
      <c r="BQ737" s="275"/>
      <c r="BR737" s="275"/>
      <c r="BS737" s="275"/>
      <c r="BT737" s="275"/>
      <c r="BU737" s="275"/>
      <c r="BV737" s="275"/>
      <c r="BW737" s="275"/>
      <c r="BX737" s="275"/>
      <c r="BY737" s="275"/>
      <c r="BZ737" s="275"/>
      <c r="CA737" s="275"/>
      <c r="CB737" s="275"/>
      <c r="CC737" s="275"/>
      <c r="CD737" s="275"/>
      <c r="CE737" s="275"/>
    </row>
    <row r="738" spans="1:83" ht="12.6" customHeight="1" x14ac:dyDescent="0.25">
      <c r="A738" s="209" t="str">
        <f>RIGHT($C$83,3)&amp;"*"&amp;RIGHT($C$82,4)&amp;"*"&amp;G$55&amp;"*"&amp;"A"</f>
        <v>032*2017*6120*A</v>
      </c>
      <c r="B738" s="274">
        <f>ROUND(G59,0)</f>
        <v>7712</v>
      </c>
      <c r="C738" s="276">
        <f>ROUND(G60,2)</f>
        <v>50.13</v>
      </c>
      <c r="D738" s="274">
        <f>ROUND(G61,0)</f>
        <v>3864708</v>
      </c>
      <c r="E738" s="274">
        <f>ROUND(G62,0)</f>
        <v>1129780</v>
      </c>
      <c r="F738" s="274">
        <f>ROUND(G63,0)</f>
        <v>434479</v>
      </c>
      <c r="G738" s="274">
        <f>ROUND(G64,0)</f>
        <v>187326</v>
      </c>
      <c r="H738" s="274">
        <f>ROUND(G65,0)</f>
        <v>866</v>
      </c>
      <c r="I738" s="274">
        <f>ROUND(G66,0)</f>
        <v>145989</v>
      </c>
      <c r="J738" s="274">
        <f>ROUND(G67,0)</f>
        <v>314348</v>
      </c>
      <c r="K738" s="274">
        <f>ROUND(G68,0)</f>
        <v>30637</v>
      </c>
      <c r="L738" s="274">
        <f>ROUND(G69,0)</f>
        <v>11505</v>
      </c>
      <c r="M738" s="274">
        <f>ROUND(G70,0)</f>
        <v>8791</v>
      </c>
      <c r="N738" s="274">
        <f>ROUND(G75,0)</f>
        <v>22070590</v>
      </c>
      <c r="O738" s="274">
        <f>ROUND(G73,0)</f>
        <v>22017864</v>
      </c>
      <c r="P738" s="274">
        <f>IF(G76&gt;0,ROUND(G76,0),0)</f>
        <v>20301</v>
      </c>
      <c r="Q738" s="274">
        <f>IF(G77&gt;0,ROUND(G77,0),0)</f>
        <v>30801</v>
      </c>
      <c r="R738" s="274">
        <f>IF(G78&gt;0,ROUND(G78,0),0)</f>
        <v>8510</v>
      </c>
      <c r="S738" s="274">
        <f>IF(G79&gt;0,ROUND(G79,0),0)</f>
        <v>0</v>
      </c>
      <c r="T738" s="276">
        <f>IF(G80&gt;0,ROUND(G80,2),0)</f>
        <v>25.93</v>
      </c>
      <c r="U738" s="274"/>
      <c r="V738" s="275"/>
      <c r="W738" s="274"/>
      <c r="X738" s="274"/>
      <c r="Y738" s="274">
        <f t="shared" si="21"/>
        <v>5180385</v>
      </c>
      <c r="Z738" s="275"/>
      <c r="AA738" s="275"/>
      <c r="AB738" s="275"/>
      <c r="AC738" s="275"/>
      <c r="AD738" s="275"/>
      <c r="AE738" s="275"/>
      <c r="AF738" s="275"/>
      <c r="AG738" s="275"/>
      <c r="AH738" s="275"/>
      <c r="AI738" s="275"/>
      <c r="AJ738" s="275"/>
      <c r="AK738" s="275"/>
      <c r="AL738" s="275"/>
      <c r="AM738" s="275"/>
      <c r="AN738" s="275"/>
      <c r="AO738" s="275"/>
      <c r="AP738" s="275"/>
      <c r="AQ738" s="275"/>
      <c r="AR738" s="275"/>
      <c r="AS738" s="275"/>
      <c r="AT738" s="275"/>
      <c r="AU738" s="275"/>
      <c r="AV738" s="275"/>
      <c r="AW738" s="275"/>
      <c r="AX738" s="275"/>
      <c r="AY738" s="275"/>
      <c r="AZ738" s="275"/>
      <c r="BA738" s="275"/>
      <c r="BB738" s="275"/>
      <c r="BC738" s="275"/>
      <c r="BD738" s="275"/>
      <c r="BE738" s="275"/>
      <c r="BF738" s="275"/>
      <c r="BG738" s="275"/>
      <c r="BH738" s="275"/>
      <c r="BI738" s="275"/>
      <c r="BJ738" s="275"/>
      <c r="BK738" s="275"/>
      <c r="BL738" s="275"/>
      <c r="BM738" s="275"/>
      <c r="BN738" s="275"/>
      <c r="BO738" s="275"/>
      <c r="BP738" s="275"/>
      <c r="BQ738" s="275"/>
      <c r="BR738" s="275"/>
      <c r="BS738" s="275"/>
      <c r="BT738" s="275"/>
      <c r="BU738" s="275"/>
      <c r="BV738" s="275"/>
      <c r="BW738" s="275"/>
      <c r="BX738" s="275"/>
      <c r="BY738" s="275"/>
      <c r="BZ738" s="275"/>
      <c r="CA738" s="275"/>
      <c r="CB738" s="275"/>
      <c r="CC738" s="275"/>
      <c r="CD738" s="275"/>
      <c r="CE738" s="275"/>
    </row>
    <row r="739" spans="1:83" ht="12.6" customHeight="1" x14ac:dyDescent="0.25">
      <c r="A739" s="209" t="str">
        <f>RIGHT($C$83,3)&amp;"*"&amp;RIGHT($C$82,4)&amp;"*"&amp;H$55&amp;"*"&amp;"A"</f>
        <v>032*2017*6140*A</v>
      </c>
      <c r="B739" s="274">
        <f>ROUND(H59,0)</f>
        <v>7600</v>
      </c>
      <c r="C739" s="276">
        <f>ROUND(H60,2)</f>
        <v>33.72</v>
      </c>
      <c r="D739" s="274">
        <f>ROUND(H61,0)</f>
        <v>4269380</v>
      </c>
      <c r="E739" s="274">
        <f>ROUND(H62,0)</f>
        <v>1199382</v>
      </c>
      <c r="F739" s="274">
        <f>ROUND(H63,0)</f>
        <v>1712535</v>
      </c>
      <c r="G739" s="274">
        <f>ROUND(H64,0)</f>
        <v>83244</v>
      </c>
      <c r="H739" s="274">
        <f>ROUND(H65,0)</f>
        <v>1521</v>
      </c>
      <c r="I739" s="274">
        <f>ROUND(H66,0)</f>
        <v>666362</v>
      </c>
      <c r="J739" s="274">
        <f>ROUND(H67,0)</f>
        <v>186456</v>
      </c>
      <c r="K739" s="274">
        <f>ROUND(H68,0)</f>
        <v>5280</v>
      </c>
      <c r="L739" s="274">
        <f>ROUND(H69,0)</f>
        <v>25401</v>
      </c>
      <c r="M739" s="274">
        <f>ROUND(H70,0)</f>
        <v>864</v>
      </c>
      <c r="N739" s="274">
        <f>ROUND(H75,0)</f>
        <v>23473444</v>
      </c>
      <c r="O739" s="274">
        <f>ROUND(H73,0)</f>
        <v>21055049</v>
      </c>
      <c r="P739" s="274">
        <f>IF(H76&gt;0,ROUND(H76,0),0)</f>
        <v>0</v>
      </c>
      <c r="Q739" s="274">
        <f>IF(H77&gt;0,ROUND(H77,0),0)</f>
        <v>32015</v>
      </c>
      <c r="R739" s="274">
        <f>IF(H78&gt;0,ROUND(H78,0),0)</f>
        <v>0</v>
      </c>
      <c r="S739" s="274">
        <f>IF(H79&gt;0,ROUND(H79,0),0)</f>
        <v>30103</v>
      </c>
      <c r="T739" s="276">
        <f>IF(H80&gt;0,ROUND(H80,2),0)</f>
        <v>16.920000000000002</v>
      </c>
      <c r="U739" s="274"/>
      <c r="V739" s="275"/>
      <c r="W739" s="274"/>
      <c r="X739" s="274"/>
      <c r="Y739" s="274">
        <f t="shared" si="21"/>
        <v>3004473</v>
      </c>
      <c r="Z739" s="275"/>
      <c r="AA739" s="275"/>
      <c r="AB739" s="275"/>
      <c r="AC739" s="275"/>
      <c r="AD739" s="275"/>
      <c r="AE739" s="275"/>
      <c r="AF739" s="275"/>
      <c r="AG739" s="275"/>
      <c r="AH739" s="275"/>
      <c r="AI739" s="275"/>
      <c r="AJ739" s="275"/>
      <c r="AK739" s="275"/>
      <c r="AL739" s="275"/>
      <c r="AM739" s="275"/>
      <c r="AN739" s="275"/>
      <c r="AO739" s="275"/>
      <c r="AP739" s="275"/>
      <c r="AQ739" s="275"/>
      <c r="AR739" s="275"/>
      <c r="AS739" s="275"/>
      <c r="AT739" s="275"/>
      <c r="AU739" s="275"/>
      <c r="AV739" s="275"/>
      <c r="AW739" s="275"/>
      <c r="AX739" s="275"/>
      <c r="AY739" s="275"/>
      <c r="AZ739" s="275"/>
      <c r="BA739" s="275"/>
      <c r="BB739" s="275"/>
      <c r="BC739" s="275"/>
      <c r="BD739" s="275"/>
      <c r="BE739" s="275"/>
      <c r="BF739" s="275"/>
      <c r="BG739" s="275"/>
      <c r="BH739" s="275"/>
      <c r="BI739" s="275"/>
      <c r="BJ739" s="275"/>
      <c r="BK739" s="275"/>
      <c r="BL739" s="275"/>
      <c r="BM739" s="275"/>
      <c r="BN739" s="275"/>
      <c r="BO739" s="275"/>
      <c r="BP739" s="275"/>
      <c r="BQ739" s="275"/>
      <c r="BR739" s="275"/>
      <c r="BS739" s="275"/>
      <c r="BT739" s="275"/>
      <c r="BU739" s="275"/>
      <c r="BV739" s="275"/>
      <c r="BW739" s="275"/>
      <c r="BX739" s="275"/>
      <c r="BY739" s="275"/>
      <c r="BZ739" s="275"/>
      <c r="CA739" s="275"/>
      <c r="CB739" s="275"/>
      <c r="CC739" s="275"/>
      <c r="CD739" s="275"/>
      <c r="CE739" s="275"/>
    </row>
    <row r="740" spans="1:83" ht="12.6" customHeight="1" x14ac:dyDescent="0.25">
      <c r="A740" s="209" t="str">
        <f>RIGHT($C$83,3)&amp;"*"&amp;RIGHT($C$82,4)&amp;"*"&amp;I$55&amp;"*"&amp;"A"</f>
        <v>032*2017*6150*A</v>
      </c>
      <c r="B740" s="274">
        <f>ROUND(I59,0)</f>
        <v>0</v>
      </c>
      <c r="C740" s="276">
        <f>ROUND(I60,2)</f>
        <v>0</v>
      </c>
      <c r="D740" s="274">
        <f>ROUND(I61,0)</f>
        <v>0</v>
      </c>
      <c r="E740" s="274">
        <f>ROUND(I62,0)</f>
        <v>0</v>
      </c>
      <c r="F740" s="274">
        <f>ROUND(I63,0)</f>
        <v>0</v>
      </c>
      <c r="G740" s="274">
        <f>ROUND(I64,0)</f>
        <v>0</v>
      </c>
      <c r="H740" s="274">
        <f>ROUND(I65,0)</f>
        <v>0</v>
      </c>
      <c r="I740" s="274">
        <f>ROUND(I66,0)</f>
        <v>0</v>
      </c>
      <c r="J740" s="274">
        <f>ROUND(I67,0)</f>
        <v>0</v>
      </c>
      <c r="K740" s="274">
        <f>ROUND(I68,0)</f>
        <v>0</v>
      </c>
      <c r="L740" s="274">
        <f>ROUND(I69,0)</f>
        <v>0</v>
      </c>
      <c r="M740" s="274">
        <f>ROUND(I70,0)</f>
        <v>0</v>
      </c>
      <c r="N740" s="274">
        <f>ROUND(I75,0)</f>
        <v>0</v>
      </c>
      <c r="O740" s="274">
        <f>ROUND(I73,0)</f>
        <v>0</v>
      </c>
      <c r="P740" s="274">
        <f>IF(I76&gt;0,ROUND(I76,0),0)</f>
        <v>0</v>
      </c>
      <c r="Q740" s="274">
        <f>IF(I77&gt;0,ROUND(I77,0),0)</f>
        <v>0</v>
      </c>
      <c r="R740" s="274">
        <f>IF(I78&gt;0,ROUND(I78,0),0)</f>
        <v>0</v>
      </c>
      <c r="S740" s="274">
        <f>IF(I79&gt;0,ROUND(I79,0),0)</f>
        <v>0</v>
      </c>
      <c r="T740" s="276">
        <f>IF(I80&gt;0,ROUND(I80,2),0)</f>
        <v>0</v>
      </c>
      <c r="U740" s="274"/>
      <c r="V740" s="275"/>
      <c r="W740" s="274"/>
      <c r="X740" s="274"/>
      <c r="Y740" s="274">
        <f t="shared" si="21"/>
        <v>0</v>
      </c>
      <c r="Z740" s="275"/>
      <c r="AA740" s="275"/>
      <c r="AB740" s="275"/>
      <c r="AC740" s="275"/>
      <c r="AD740" s="275"/>
      <c r="AE740" s="275"/>
      <c r="AF740" s="275"/>
      <c r="AG740" s="275"/>
      <c r="AH740" s="275"/>
      <c r="AI740" s="275"/>
      <c r="AJ740" s="275"/>
      <c r="AK740" s="275"/>
      <c r="AL740" s="275"/>
      <c r="AM740" s="275"/>
      <c r="AN740" s="275"/>
      <c r="AO740" s="275"/>
      <c r="AP740" s="275"/>
      <c r="AQ740" s="275"/>
      <c r="AR740" s="275"/>
      <c r="AS740" s="275"/>
      <c r="AT740" s="275"/>
      <c r="AU740" s="275"/>
      <c r="AV740" s="275"/>
      <c r="AW740" s="275"/>
      <c r="AX740" s="275"/>
      <c r="AY740" s="275"/>
      <c r="AZ740" s="275"/>
      <c r="BA740" s="275"/>
      <c r="BB740" s="275"/>
      <c r="BC740" s="275"/>
      <c r="BD740" s="275"/>
      <c r="BE740" s="275"/>
      <c r="BF740" s="275"/>
      <c r="BG740" s="275"/>
      <c r="BH740" s="275"/>
      <c r="BI740" s="275"/>
      <c r="BJ740" s="275"/>
      <c r="BK740" s="275"/>
      <c r="BL740" s="275"/>
      <c r="BM740" s="275"/>
      <c r="BN740" s="275"/>
      <c r="BO740" s="275"/>
      <c r="BP740" s="275"/>
      <c r="BQ740" s="275"/>
      <c r="BR740" s="275"/>
      <c r="BS740" s="275"/>
      <c r="BT740" s="275"/>
      <c r="BU740" s="275"/>
      <c r="BV740" s="275"/>
      <c r="BW740" s="275"/>
      <c r="BX740" s="275"/>
      <c r="BY740" s="275"/>
      <c r="BZ740" s="275"/>
      <c r="CA740" s="275"/>
      <c r="CB740" s="275"/>
      <c r="CC740" s="275"/>
      <c r="CD740" s="275"/>
      <c r="CE740" s="275"/>
    </row>
    <row r="741" spans="1:83" ht="12.6" customHeight="1" x14ac:dyDescent="0.25">
      <c r="A741" s="209" t="str">
        <f>RIGHT($C$83,3)&amp;"*"&amp;RIGHT($C$82,4)&amp;"*"&amp;J$55&amp;"*"&amp;"A"</f>
        <v>032*2017*6170*A</v>
      </c>
      <c r="B741" s="274">
        <f>ROUND(J59,0)</f>
        <v>11071</v>
      </c>
      <c r="C741" s="276">
        <f>ROUND(J60,2)</f>
        <v>48.7</v>
      </c>
      <c r="D741" s="274">
        <f>ROUND(J61,0)</f>
        <v>4370737</v>
      </c>
      <c r="E741" s="274">
        <f>ROUND(J62,0)</f>
        <v>1174995</v>
      </c>
      <c r="F741" s="274">
        <f>ROUND(J63,0)</f>
        <v>833835</v>
      </c>
      <c r="G741" s="274">
        <f>ROUND(J64,0)</f>
        <v>538344</v>
      </c>
      <c r="H741" s="274">
        <f>ROUND(J65,0)</f>
        <v>1338</v>
      </c>
      <c r="I741" s="274">
        <f>ROUND(J66,0)</f>
        <v>482100</v>
      </c>
      <c r="J741" s="274">
        <f>ROUND(J67,0)</f>
        <v>210910</v>
      </c>
      <c r="K741" s="274">
        <f>ROUND(J68,0)</f>
        <v>1031</v>
      </c>
      <c r="L741" s="274">
        <f>ROUND(J69,0)</f>
        <v>17110</v>
      </c>
      <c r="M741" s="274">
        <f>ROUND(J70,0)</f>
        <v>5500</v>
      </c>
      <c r="N741" s="274">
        <f>ROUND(J75,0)</f>
        <v>38898435</v>
      </c>
      <c r="O741" s="274">
        <f>ROUND(J73,0)</f>
        <v>38898241</v>
      </c>
      <c r="P741" s="274">
        <f>IF(J76&gt;0,ROUND(J76,0),0)</f>
        <v>2522</v>
      </c>
      <c r="Q741" s="274">
        <f>IF(J77&gt;0,ROUND(J77,0),0)</f>
        <v>0</v>
      </c>
      <c r="R741" s="274">
        <f>IF(J78&gt;0,ROUND(J78,0),0)</f>
        <v>1057</v>
      </c>
      <c r="S741" s="274">
        <f>IF(J79&gt;0,ROUND(J79,0),0)</f>
        <v>0</v>
      </c>
      <c r="T741" s="276">
        <f>IF(J80&gt;0,ROUND(J80,2),0)</f>
        <v>28.83</v>
      </c>
      <c r="U741" s="274"/>
      <c r="V741" s="275"/>
      <c r="W741" s="274"/>
      <c r="X741" s="274"/>
      <c r="Y741" s="274">
        <f t="shared" si="21"/>
        <v>3617881</v>
      </c>
      <c r="Z741" s="275"/>
      <c r="AA741" s="275"/>
      <c r="AB741" s="275"/>
      <c r="AC741" s="275"/>
      <c r="AD741" s="275"/>
      <c r="AE741" s="275"/>
      <c r="AF741" s="275"/>
      <c r="AG741" s="275"/>
      <c r="AH741" s="275"/>
      <c r="AI741" s="275"/>
      <c r="AJ741" s="275"/>
      <c r="AK741" s="275"/>
      <c r="AL741" s="275"/>
      <c r="AM741" s="275"/>
      <c r="AN741" s="275"/>
      <c r="AO741" s="275"/>
      <c r="AP741" s="275"/>
      <c r="AQ741" s="275"/>
      <c r="AR741" s="275"/>
      <c r="AS741" s="275"/>
      <c r="AT741" s="275"/>
      <c r="AU741" s="275"/>
      <c r="AV741" s="275"/>
      <c r="AW741" s="275"/>
      <c r="AX741" s="275"/>
      <c r="AY741" s="275"/>
      <c r="AZ741" s="275"/>
      <c r="BA741" s="275"/>
      <c r="BB741" s="275"/>
      <c r="BC741" s="275"/>
      <c r="BD741" s="275"/>
      <c r="BE741" s="275"/>
      <c r="BF741" s="275"/>
      <c r="BG741" s="275"/>
      <c r="BH741" s="275"/>
      <c r="BI741" s="275"/>
      <c r="BJ741" s="275"/>
      <c r="BK741" s="275"/>
      <c r="BL741" s="275"/>
      <c r="BM741" s="275"/>
      <c r="BN741" s="275"/>
      <c r="BO741" s="275"/>
      <c r="BP741" s="275"/>
      <c r="BQ741" s="275"/>
      <c r="BR741" s="275"/>
      <c r="BS741" s="275"/>
      <c r="BT741" s="275"/>
      <c r="BU741" s="275"/>
      <c r="BV741" s="275"/>
      <c r="BW741" s="275"/>
      <c r="BX741" s="275"/>
      <c r="BY741" s="275"/>
      <c r="BZ741" s="275"/>
      <c r="CA741" s="275"/>
      <c r="CB741" s="275"/>
      <c r="CC741" s="275"/>
      <c r="CD741" s="275"/>
      <c r="CE741" s="275"/>
    </row>
    <row r="742" spans="1:83" ht="12.6" customHeight="1" x14ac:dyDescent="0.25">
      <c r="A742" s="209" t="str">
        <f>RIGHT($C$83,3)&amp;"*"&amp;RIGHT($C$82,4)&amp;"*"&amp;K$55&amp;"*"&amp;"A"</f>
        <v>032*2017*6200*A</v>
      </c>
      <c r="B742" s="274">
        <f>ROUND(K59,0)</f>
        <v>0</v>
      </c>
      <c r="C742" s="276">
        <f>ROUND(K60,2)</f>
        <v>0</v>
      </c>
      <c r="D742" s="274">
        <f>ROUND(K61,0)</f>
        <v>0</v>
      </c>
      <c r="E742" s="274">
        <f>ROUND(K62,0)</f>
        <v>0</v>
      </c>
      <c r="F742" s="274">
        <f>ROUND(K63,0)</f>
        <v>0</v>
      </c>
      <c r="G742" s="274">
        <f>ROUND(K64,0)</f>
        <v>0</v>
      </c>
      <c r="H742" s="274">
        <f>ROUND(K65,0)</f>
        <v>0</v>
      </c>
      <c r="I742" s="274">
        <f>ROUND(K66,0)</f>
        <v>0</v>
      </c>
      <c r="J742" s="274">
        <f>ROUND(K67,0)</f>
        <v>0</v>
      </c>
      <c r="K742" s="274">
        <f>ROUND(K68,0)</f>
        <v>0</v>
      </c>
      <c r="L742" s="274">
        <f>ROUND(K69,0)</f>
        <v>0</v>
      </c>
      <c r="M742" s="274">
        <f>ROUND(K70,0)</f>
        <v>0</v>
      </c>
      <c r="N742" s="274">
        <f>ROUND(K75,0)</f>
        <v>0</v>
      </c>
      <c r="O742" s="274">
        <f>ROUND(K73,0)</f>
        <v>0</v>
      </c>
      <c r="P742" s="274">
        <f>IF(K76&gt;0,ROUND(K76,0),0)</f>
        <v>0</v>
      </c>
      <c r="Q742" s="274">
        <f>IF(K77&gt;0,ROUND(K77,0),0)</f>
        <v>0</v>
      </c>
      <c r="R742" s="274">
        <f>IF(K78&gt;0,ROUND(K78,0),0)</f>
        <v>0</v>
      </c>
      <c r="S742" s="274">
        <f>IF(K79&gt;0,ROUND(K79,0),0)</f>
        <v>0</v>
      </c>
      <c r="T742" s="276">
        <f>IF(K80&gt;0,ROUND(K80,2),0)</f>
        <v>0</v>
      </c>
      <c r="U742" s="274"/>
      <c r="V742" s="275"/>
      <c r="W742" s="274"/>
      <c r="X742" s="274"/>
      <c r="Y742" s="274">
        <f t="shared" si="21"/>
        <v>0</v>
      </c>
      <c r="Z742" s="275"/>
      <c r="AA742" s="275"/>
      <c r="AB742" s="275"/>
      <c r="AC742" s="275"/>
      <c r="AD742" s="275"/>
      <c r="AE742" s="275"/>
      <c r="AF742" s="275"/>
      <c r="AG742" s="275"/>
      <c r="AH742" s="275"/>
      <c r="AI742" s="275"/>
      <c r="AJ742" s="275"/>
      <c r="AK742" s="275"/>
      <c r="AL742" s="275"/>
      <c r="AM742" s="275"/>
      <c r="AN742" s="275"/>
      <c r="AO742" s="275"/>
      <c r="AP742" s="275"/>
      <c r="AQ742" s="275"/>
      <c r="AR742" s="275"/>
      <c r="AS742" s="275"/>
      <c r="AT742" s="275"/>
      <c r="AU742" s="275"/>
      <c r="AV742" s="275"/>
      <c r="AW742" s="275"/>
      <c r="AX742" s="275"/>
      <c r="AY742" s="275"/>
      <c r="AZ742" s="275"/>
      <c r="BA742" s="275"/>
      <c r="BB742" s="275"/>
      <c r="BC742" s="275"/>
      <c r="BD742" s="275"/>
      <c r="BE742" s="275"/>
      <c r="BF742" s="275"/>
      <c r="BG742" s="275"/>
      <c r="BH742" s="275"/>
      <c r="BI742" s="275"/>
      <c r="BJ742" s="275"/>
      <c r="BK742" s="275"/>
      <c r="BL742" s="275"/>
      <c r="BM742" s="275"/>
      <c r="BN742" s="275"/>
      <c r="BO742" s="275"/>
      <c r="BP742" s="275"/>
      <c r="BQ742" s="275"/>
      <c r="BR742" s="275"/>
      <c r="BS742" s="275"/>
      <c r="BT742" s="275"/>
      <c r="BU742" s="275"/>
      <c r="BV742" s="275"/>
      <c r="BW742" s="275"/>
      <c r="BX742" s="275"/>
      <c r="BY742" s="275"/>
      <c r="BZ742" s="275"/>
      <c r="CA742" s="275"/>
      <c r="CB742" s="275"/>
      <c r="CC742" s="275"/>
      <c r="CD742" s="275"/>
      <c r="CE742" s="275"/>
    </row>
    <row r="743" spans="1:83" ht="12.6" customHeight="1" x14ac:dyDescent="0.25">
      <c r="A743" s="209" t="str">
        <f>RIGHT($C$83,3)&amp;"*"&amp;RIGHT($C$82,4)&amp;"*"&amp;L$55&amp;"*"&amp;"A"</f>
        <v>032*2017*6210*A</v>
      </c>
      <c r="B743" s="274">
        <f>ROUND(L59,0)</f>
        <v>0</v>
      </c>
      <c r="C743" s="276">
        <f>ROUND(L60,2)</f>
        <v>0</v>
      </c>
      <c r="D743" s="274">
        <f>ROUND(L61,0)</f>
        <v>0</v>
      </c>
      <c r="E743" s="274">
        <f>ROUND(L62,0)</f>
        <v>0</v>
      </c>
      <c r="F743" s="274">
        <f>ROUND(L63,0)</f>
        <v>0</v>
      </c>
      <c r="G743" s="274">
        <f>ROUND(L64,0)</f>
        <v>0</v>
      </c>
      <c r="H743" s="274">
        <f>ROUND(L65,0)</f>
        <v>0</v>
      </c>
      <c r="I743" s="274">
        <f>ROUND(L66,0)</f>
        <v>0</v>
      </c>
      <c r="J743" s="274">
        <f>ROUND(L67,0)</f>
        <v>0</v>
      </c>
      <c r="K743" s="274">
        <f>ROUND(L68,0)</f>
        <v>0</v>
      </c>
      <c r="L743" s="274">
        <f>ROUND(L69,0)</f>
        <v>0</v>
      </c>
      <c r="M743" s="274">
        <f>ROUND(L70,0)</f>
        <v>0</v>
      </c>
      <c r="N743" s="274">
        <f>ROUND(L75,0)</f>
        <v>0</v>
      </c>
      <c r="O743" s="274">
        <f>ROUND(L73,0)</f>
        <v>0</v>
      </c>
      <c r="P743" s="274">
        <f>IF(L76&gt;0,ROUND(L76,0),0)</f>
        <v>0</v>
      </c>
      <c r="Q743" s="274">
        <f>IF(L77&gt;0,ROUND(L77,0),0)</f>
        <v>0</v>
      </c>
      <c r="R743" s="274">
        <f>IF(L78&gt;0,ROUND(L78,0),0)</f>
        <v>0</v>
      </c>
      <c r="S743" s="274">
        <f>IF(L79&gt;0,ROUND(L79,0),0)</f>
        <v>0</v>
      </c>
      <c r="T743" s="276">
        <f>IF(L80&gt;0,ROUND(L80,2),0)</f>
        <v>0</v>
      </c>
      <c r="U743" s="274"/>
      <c r="V743" s="275"/>
      <c r="W743" s="274"/>
      <c r="X743" s="274"/>
      <c r="Y743" s="274">
        <f t="shared" si="21"/>
        <v>0</v>
      </c>
      <c r="Z743" s="275"/>
      <c r="AA743" s="275"/>
      <c r="AB743" s="275"/>
      <c r="AC743" s="275"/>
      <c r="AD743" s="275"/>
      <c r="AE743" s="275"/>
      <c r="AF743" s="275"/>
      <c r="AG743" s="275"/>
      <c r="AH743" s="275"/>
      <c r="AI743" s="275"/>
      <c r="AJ743" s="275"/>
      <c r="AK743" s="275"/>
      <c r="AL743" s="275"/>
      <c r="AM743" s="275"/>
      <c r="AN743" s="275"/>
      <c r="AO743" s="275"/>
      <c r="AP743" s="275"/>
      <c r="AQ743" s="275"/>
      <c r="AR743" s="275"/>
      <c r="AS743" s="275"/>
      <c r="AT743" s="275"/>
      <c r="AU743" s="275"/>
      <c r="AV743" s="275"/>
      <c r="AW743" s="275"/>
      <c r="AX743" s="275"/>
      <c r="AY743" s="275"/>
      <c r="AZ743" s="275"/>
      <c r="BA743" s="275"/>
      <c r="BB743" s="275"/>
      <c r="BC743" s="275"/>
      <c r="BD743" s="275"/>
      <c r="BE743" s="275"/>
      <c r="BF743" s="275"/>
      <c r="BG743" s="275"/>
      <c r="BH743" s="275"/>
      <c r="BI743" s="275"/>
      <c r="BJ743" s="275"/>
      <c r="BK743" s="275"/>
      <c r="BL743" s="275"/>
      <c r="BM743" s="275"/>
      <c r="BN743" s="275"/>
      <c r="BO743" s="275"/>
      <c r="BP743" s="275"/>
      <c r="BQ743" s="275"/>
      <c r="BR743" s="275"/>
      <c r="BS743" s="275"/>
      <c r="BT743" s="275"/>
      <c r="BU743" s="275"/>
      <c r="BV743" s="275"/>
      <c r="BW743" s="275"/>
      <c r="BX743" s="275"/>
      <c r="BY743" s="275"/>
      <c r="BZ743" s="275"/>
      <c r="CA743" s="275"/>
      <c r="CB743" s="275"/>
      <c r="CC743" s="275"/>
      <c r="CD743" s="275"/>
      <c r="CE743" s="275"/>
    </row>
    <row r="744" spans="1:83" ht="12.6" customHeight="1" x14ac:dyDescent="0.25">
      <c r="A744" s="209" t="str">
        <f>RIGHT($C$83,3)&amp;"*"&amp;RIGHT($C$82,4)&amp;"*"&amp;M$55&amp;"*"&amp;"A"</f>
        <v>032*2017*6330*A</v>
      </c>
      <c r="B744" s="274">
        <f>ROUND(M59,0)</f>
        <v>0</v>
      </c>
      <c r="C744" s="276">
        <f>ROUND(M60,2)</f>
        <v>0</v>
      </c>
      <c r="D744" s="274">
        <f>ROUND(M61,0)</f>
        <v>0</v>
      </c>
      <c r="E744" s="274">
        <f>ROUND(M62,0)</f>
        <v>0</v>
      </c>
      <c r="F744" s="274">
        <f>ROUND(M63,0)</f>
        <v>0</v>
      </c>
      <c r="G744" s="274">
        <f>ROUND(M64,0)</f>
        <v>0</v>
      </c>
      <c r="H744" s="274">
        <f>ROUND(M65,0)</f>
        <v>0</v>
      </c>
      <c r="I744" s="274">
        <f>ROUND(M66,0)</f>
        <v>0</v>
      </c>
      <c r="J744" s="274">
        <f>ROUND(M67,0)</f>
        <v>0</v>
      </c>
      <c r="K744" s="274">
        <f>ROUND(M68,0)</f>
        <v>0</v>
      </c>
      <c r="L744" s="274">
        <f>ROUND(M69,0)</f>
        <v>0</v>
      </c>
      <c r="M744" s="274">
        <f>ROUND(M70,0)</f>
        <v>0</v>
      </c>
      <c r="N744" s="274">
        <f>ROUND(M75,0)</f>
        <v>0</v>
      </c>
      <c r="O744" s="274">
        <f>ROUND(M73,0)</f>
        <v>0</v>
      </c>
      <c r="P744" s="274">
        <f>IF(M76&gt;0,ROUND(M76,0),0)</f>
        <v>0</v>
      </c>
      <c r="Q744" s="274">
        <f>IF(M77&gt;0,ROUND(M77,0),0)</f>
        <v>0</v>
      </c>
      <c r="R744" s="274">
        <f>IF(M78&gt;0,ROUND(M78,0),0)</f>
        <v>0</v>
      </c>
      <c r="S744" s="274">
        <f>IF(M79&gt;0,ROUND(M79,0),0)</f>
        <v>0</v>
      </c>
      <c r="T744" s="276">
        <f>IF(M80&gt;0,ROUND(M80,2),0)</f>
        <v>0</v>
      </c>
      <c r="U744" s="274"/>
      <c r="V744" s="275"/>
      <c r="W744" s="274"/>
      <c r="X744" s="274"/>
      <c r="Y744" s="274">
        <f t="shared" si="21"/>
        <v>0</v>
      </c>
      <c r="Z744" s="275"/>
      <c r="AA744" s="275"/>
      <c r="AB744" s="275"/>
      <c r="AC744" s="275"/>
      <c r="AD744" s="275"/>
      <c r="AE744" s="275"/>
      <c r="AF744" s="275"/>
      <c r="AG744" s="275"/>
      <c r="AH744" s="275"/>
      <c r="AI744" s="275"/>
      <c r="AJ744" s="275"/>
      <c r="AK744" s="275"/>
      <c r="AL744" s="275"/>
      <c r="AM744" s="275"/>
      <c r="AN744" s="275"/>
      <c r="AO744" s="275"/>
      <c r="AP744" s="275"/>
      <c r="AQ744" s="275"/>
      <c r="AR744" s="275"/>
      <c r="AS744" s="275"/>
      <c r="AT744" s="275"/>
      <c r="AU744" s="275"/>
      <c r="AV744" s="275"/>
      <c r="AW744" s="275"/>
      <c r="AX744" s="275"/>
      <c r="AY744" s="275"/>
      <c r="AZ744" s="275"/>
      <c r="BA744" s="275"/>
      <c r="BB744" s="275"/>
      <c r="BC744" s="275"/>
      <c r="BD744" s="275"/>
      <c r="BE744" s="275"/>
      <c r="BF744" s="275"/>
      <c r="BG744" s="275"/>
      <c r="BH744" s="275"/>
      <c r="BI744" s="275"/>
      <c r="BJ744" s="275"/>
      <c r="BK744" s="275"/>
      <c r="BL744" s="275"/>
      <c r="BM744" s="275"/>
      <c r="BN744" s="275"/>
      <c r="BO744" s="275"/>
      <c r="BP744" s="275"/>
      <c r="BQ744" s="275"/>
      <c r="BR744" s="275"/>
      <c r="BS744" s="275"/>
      <c r="BT744" s="275"/>
      <c r="BU744" s="275"/>
      <c r="BV744" s="275"/>
      <c r="BW744" s="275"/>
      <c r="BX744" s="275"/>
      <c r="BY744" s="275"/>
      <c r="BZ744" s="275"/>
      <c r="CA744" s="275"/>
      <c r="CB744" s="275"/>
      <c r="CC744" s="275"/>
      <c r="CD744" s="275"/>
      <c r="CE744" s="275"/>
    </row>
    <row r="745" spans="1:83" ht="12.6" customHeight="1" x14ac:dyDescent="0.25">
      <c r="A745" s="209" t="str">
        <f>RIGHT($C$83,3)&amp;"*"&amp;RIGHT($C$82,4)&amp;"*"&amp;N$55&amp;"*"&amp;"A"</f>
        <v>032*2017*6400*A</v>
      </c>
      <c r="B745" s="274">
        <f>ROUND(N59,0)</f>
        <v>0</v>
      </c>
      <c r="C745" s="276">
        <f>ROUND(N60,2)</f>
        <v>0</v>
      </c>
      <c r="D745" s="274">
        <f>ROUND(N61,0)</f>
        <v>0</v>
      </c>
      <c r="E745" s="274">
        <f>ROUND(N62,0)</f>
        <v>0</v>
      </c>
      <c r="F745" s="274">
        <f>ROUND(N63,0)</f>
        <v>0</v>
      </c>
      <c r="G745" s="274">
        <f>ROUND(N64,0)</f>
        <v>0</v>
      </c>
      <c r="H745" s="274">
        <f>ROUND(N65,0)</f>
        <v>0</v>
      </c>
      <c r="I745" s="274">
        <f>ROUND(N66,0)</f>
        <v>0</v>
      </c>
      <c r="J745" s="274">
        <f>ROUND(N67,0)</f>
        <v>0</v>
      </c>
      <c r="K745" s="274">
        <f>ROUND(N68,0)</f>
        <v>0</v>
      </c>
      <c r="L745" s="274">
        <f>ROUND(N69,0)</f>
        <v>0</v>
      </c>
      <c r="M745" s="274">
        <f>ROUND(N70,0)</f>
        <v>0</v>
      </c>
      <c r="N745" s="274">
        <f>ROUND(N75,0)</f>
        <v>0</v>
      </c>
      <c r="O745" s="274">
        <f>ROUND(N73,0)</f>
        <v>0</v>
      </c>
      <c r="P745" s="274">
        <f>IF(N76&gt;0,ROUND(N76,0),0)</f>
        <v>0</v>
      </c>
      <c r="Q745" s="274">
        <f>IF(N77&gt;0,ROUND(N77,0),0)</f>
        <v>0</v>
      </c>
      <c r="R745" s="274">
        <f>IF(N78&gt;0,ROUND(N78,0),0)</f>
        <v>0</v>
      </c>
      <c r="S745" s="274">
        <f>IF(N79&gt;0,ROUND(N79,0),0)</f>
        <v>0</v>
      </c>
      <c r="T745" s="276">
        <f>IF(N80&gt;0,ROUND(N80,2),0)</f>
        <v>0</v>
      </c>
      <c r="U745" s="274"/>
      <c r="V745" s="275"/>
      <c r="W745" s="274"/>
      <c r="X745" s="274"/>
      <c r="Y745" s="274">
        <f t="shared" si="21"/>
        <v>0</v>
      </c>
      <c r="Z745" s="275"/>
      <c r="AA745" s="275"/>
      <c r="AB745" s="275"/>
      <c r="AC745" s="275"/>
      <c r="AD745" s="275"/>
      <c r="AE745" s="275"/>
      <c r="AF745" s="275"/>
      <c r="AG745" s="275"/>
      <c r="AH745" s="275"/>
      <c r="AI745" s="275"/>
      <c r="AJ745" s="275"/>
      <c r="AK745" s="275"/>
      <c r="AL745" s="275"/>
      <c r="AM745" s="275"/>
      <c r="AN745" s="275"/>
      <c r="AO745" s="275"/>
      <c r="AP745" s="275"/>
      <c r="AQ745" s="275"/>
      <c r="AR745" s="275"/>
      <c r="AS745" s="275"/>
      <c r="AT745" s="275"/>
      <c r="AU745" s="275"/>
      <c r="AV745" s="275"/>
      <c r="AW745" s="275"/>
      <c r="AX745" s="275"/>
      <c r="AY745" s="275"/>
      <c r="AZ745" s="275"/>
      <c r="BA745" s="275"/>
      <c r="BB745" s="275"/>
      <c r="BC745" s="275"/>
      <c r="BD745" s="275"/>
      <c r="BE745" s="275"/>
      <c r="BF745" s="275"/>
      <c r="BG745" s="275"/>
      <c r="BH745" s="275"/>
      <c r="BI745" s="275"/>
      <c r="BJ745" s="275"/>
      <c r="BK745" s="275"/>
      <c r="BL745" s="275"/>
      <c r="BM745" s="275"/>
      <c r="BN745" s="275"/>
      <c r="BO745" s="275"/>
      <c r="BP745" s="275"/>
      <c r="BQ745" s="275"/>
      <c r="BR745" s="275"/>
      <c r="BS745" s="275"/>
      <c r="BT745" s="275"/>
      <c r="BU745" s="275"/>
      <c r="BV745" s="275"/>
      <c r="BW745" s="275"/>
      <c r="BX745" s="275"/>
      <c r="BY745" s="275"/>
      <c r="BZ745" s="275"/>
      <c r="CA745" s="275"/>
      <c r="CB745" s="275"/>
      <c r="CC745" s="275"/>
      <c r="CD745" s="275"/>
      <c r="CE745" s="275"/>
    </row>
    <row r="746" spans="1:83" ht="12.6" customHeight="1" x14ac:dyDescent="0.25">
      <c r="A746" s="209" t="str">
        <f>RIGHT($C$83,3)&amp;"*"&amp;RIGHT($C$82,4)&amp;"*"&amp;O$55&amp;"*"&amp;"A"</f>
        <v>032*2017*7010*A</v>
      </c>
      <c r="B746" s="274">
        <f>ROUND(O59,0)</f>
        <v>20325</v>
      </c>
      <c r="C746" s="276">
        <f>ROUND(O60,2)</f>
        <v>133.53</v>
      </c>
      <c r="D746" s="274">
        <f>ROUND(O61,0)</f>
        <v>11773146</v>
      </c>
      <c r="E746" s="274">
        <f>ROUND(O62,0)</f>
        <v>3234360</v>
      </c>
      <c r="F746" s="274">
        <f>ROUND(O63,0)</f>
        <v>1398692</v>
      </c>
      <c r="G746" s="274">
        <f>ROUND(O64,0)</f>
        <v>1246338</v>
      </c>
      <c r="H746" s="274">
        <f>ROUND(O65,0)</f>
        <v>3745</v>
      </c>
      <c r="I746" s="274">
        <f>ROUND(O66,0)</f>
        <v>486126</v>
      </c>
      <c r="J746" s="274">
        <f>ROUND(O67,0)</f>
        <v>500316</v>
      </c>
      <c r="K746" s="274">
        <f>ROUND(O68,0)</f>
        <v>203284</v>
      </c>
      <c r="L746" s="274">
        <f>ROUND(O69,0)</f>
        <v>69016</v>
      </c>
      <c r="M746" s="274">
        <f>ROUND(O70,0)</f>
        <v>161455</v>
      </c>
      <c r="N746" s="274">
        <f>ROUND(O75,0)</f>
        <v>119221872</v>
      </c>
      <c r="O746" s="274">
        <f>ROUND(O73,0)</f>
        <v>110644871</v>
      </c>
      <c r="P746" s="274">
        <f>IF(O76&gt;0,ROUND(O76,0),0)</f>
        <v>17619</v>
      </c>
      <c r="Q746" s="274">
        <f>IF(O77&gt;0,ROUND(O77,0),0)</f>
        <v>54696</v>
      </c>
      <c r="R746" s="274">
        <f>IF(O78&gt;0,ROUND(O78,0),0)</f>
        <v>7385</v>
      </c>
      <c r="S746" s="274">
        <f>IF(O79&gt;0,ROUND(O79,0),0)</f>
        <v>305895</v>
      </c>
      <c r="T746" s="276">
        <f>IF(O80&gt;0,ROUND(O80,2),0)</f>
        <v>79.819999999999993</v>
      </c>
      <c r="U746" s="274"/>
      <c r="V746" s="275"/>
      <c r="W746" s="274"/>
      <c r="X746" s="274"/>
      <c r="Y746" s="274">
        <f t="shared" si="21"/>
        <v>10959171</v>
      </c>
      <c r="Z746" s="275"/>
      <c r="AA746" s="275"/>
      <c r="AB746" s="275"/>
      <c r="AC746" s="275"/>
      <c r="AD746" s="275"/>
      <c r="AE746" s="275"/>
      <c r="AF746" s="275"/>
      <c r="AG746" s="275"/>
      <c r="AH746" s="275"/>
      <c r="AI746" s="275"/>
      <c r="AJ746" s="275"/>
      <c r="AK746" s="275"/>
      <c r="AL746" s="275"/>
      <c r="AM746" s="275"/>
      <c r="AN746" s="275"/>
      <c r="AO746" s="275"/>
      <c r="AP746" s="275"/>
      <c r="AQ746" s="275"/>
      <c r="AR746" s="275"/>
      <c r="AS746" s="275"/>
      <c r="AT746" s="275"/>
      <c r="AU746" s="275"/>
      <c r="AV746" s="275"/>
      <c r="AW746" s="275"/>
      <c r="AX746" s="275"/>
      <c r="AY746" s="275"/>
      <c r="AZ746" s="275"/>
      <c r="BA746" s="275"/>
      <c r="BB746" s="275"/>
      <c r="BC746" s="275"/>
      <c r="BD746" s="275"/>
      <c r="BE746" s="275"/>
      <c r="BF746" s="275"/>
      <c r="BG746" s="275"/>
      <c r="BH746" s="275"/>
      <c r="BI746" s="275"/>
      <c r="BJ746" s="275"/>
      <c r="BK746" s="275"/>
      <c r="BL746" s="275"/>
      <c r="BM746" s="275"/>
      <c r="BN746" s="275"/>
      <c r="BO746" s="275"/>
      <c r="BP746" s="275"/>
      <c r="BQ746" s="275"/>
      <c r="BR746" s="275"/>
      <c r="BS746" s="275"/>
      <c r="BT746" s="275"/>
      <c r="BU746" s="275"/>
      <c r="BV746" s="275"/>
      <c r="BW746" s="275"/>
      <c r="BX746" s="275"/>
      <c r="BY746" s="275"/>
      <c r="BZ746" s="275"/>
      <c r="CA746" s="275"/>
      <c r="CB746" s="275"/>
      <c r="CC746" s="275"/>
      <c r="CD746" s="275"/>
      <c r="CE746" s="275"/>
    </row>
    <row r="747" spans="1:83" ht="12.6" customHeight="1" x14ac:dyDescent="0.25">
      <c r="A747" s="209" t="str">
        <f>RIGHT($C$83,3)&amp;"*"&amp;RIGHT($C$82,4)&amp;"*"&amp;P$55&amp;"*"&amp;"A"</f>
        <v>032*2017*7020*A</v>
      </c>
      <c r="B747" s="274">
        <f>ROUND(P59,0)</f>
        <v>4119106</v>
      </c>
      <c r="C747" s="276">
        <f>ROUND(P60,2)</f>
        <v>249.03</v>
      </c>
      <c r="D747" s="274">
        <f>ROUND(P61,0)</f>
        <v>17972571</v>
      </c>
      <c r="E747" s="274">
        <f>ROUND(P62,0)</f>
        <v>5032951</v>
      </c>
      <c r="F747" s="274">
        <f>ROUND(P63,0)</f>
        <v>1524735</v>
      </c>
      <c r="G747" s="274">
        <f>ROUND(P64,0)</f>
        <v>56096931</v>
      </c>
      <c r="H747" s="274">
        <f>ROUND(P65,0)</f>
        <v>10297</v>
      </c>
      <c r="I747" s="274">
        <f>ROUND(P66,0)</f>
        <v>4088929</v>
      </c>
      <c r="J747" s="274">
        <f>ROUND(P67,0)</f>
        <v>5105853</v>
      </c>
      <c r="K747" s="274">
        <f>ROUND(P68,0)</f>
        <v>2423313</v>
      </c>
      <c r="L747" s="274">
        <f>ROUND(P69,0)</f>
        <v>138242</v>
      </c>
      <c r="M747" s="274">
        <f>ROUND(P70,0)</f>
        <v>17976</v>
      </c>
      <c r="N747" s="274">
        <f>ROUND(P75,0)</f>
        <v>937139875</v>
      </c>
      <c r="O747" s="274">
        <f>ROUND(P73,0)</f>
        <v>500240231</v>
      </c>
      <c r="P747" s="274">
        <f>IF(P76&gt;0,ROUND(P76,0),0)</f>
        <v>88022</v>
      </c>
      <c r="Q747" s="274">
        <f>IF(P77&gt;0,ROUND(P77,0),0)</f>
        <v>47739</v>
      </c>
      <c r="R747" s="274">
        <f>IF(P78&gt;0,ROUND(P78,0),0)</f>
        <v>36897</v>
      </c>
      <c r="S747" s="274">
        <f>IF(P79&gt;0,ROUND(P79,0),0)</f>
        <v>716445</v>
      </c>
      <c r="T747" s="276">
        <f>IF(P80&gt;0,ROUND(P80,2),0)</f>
        <v>88.72</v>
      </c>
      <c r="U747" s="274"/>
      <c r="V747" s="275"/>
      <c r="W747" s="274"/>
      <c r="X747" s="274"/>
      <c r="Y747" s="274">
        <f t="shared" si="21"/>
        <v>53920523</v>
      </c>
      <c r="Z747" s="275"/>
      <c r="AA747" s="275"/>
      <c r="AB747" s="275"/>
      <c r="AC747" s="275"/>
      <c r="AD747" s="275"/>
      <c r="AE747" s="275"/>
      <c r="AF747" s="275"/>
      <c r="AG747" s="275"/>
      <c r="AH747" s="275"/>
      <c r="AI747" s="275"/>
      <c r="AJ747" s="275"/>
      <c r="AK747" s="275"/>
      <c r="AL747" s="275"/>
      <c r="AM747" s="275"/>
      <c r="AN747" s="275"/>
      <c r="AO747" s="275"/>
      <c r="AP747" s="275"/>
      <c r="AQ747" s="275"/>
      <c r="AR747" s="275"/>
      <c r="AS747" s="275"/>
      <c r="AT747" s="275"/>
      <c r="AU747" s="275"/>
      <c r="AV747" s="275"/>
      <c r="AW747" s="275"/>
      <c r="AX747" s="275"/>
      <c r="AY747" s="275"/>
      <c r="AZ747" s="275"/>
      <c r="BA747" s="275"/>
      <c r="BB747" s="275"/>
      <c r="BC747" s="275"/>
      <c r="BD747" s="275"/>
      <c r="BE747" s="275"/>
      <c r="BF747" s="275"/>
      <c r="BG747" s="275"/>
      <c r="BH747" s="275"/>
      <c r="BI747" s="275"/>
      <c r="BJ747" s="275"/>
      <c r="BK747" s="275"/>
      <c r="BL747" s="275"/>
      <c r="BM747" s="275"/>
      <c r="BN747" s="275"/>
      <c r="BO747" s="275"/>
      <c r="BP747" s="275"/>
      <c r="BQ747" s="275"/>
      <c r="BR747" s="275"/>
      <c r="BS747" s="275"/>
      <c r="BT747" s="275"/>
      <c r="BU747" s="275"/>
      <c r="BV747" s="275"/>
      <c r="BW747" s="275"/>
      <c r="BX747" s="275"/>
      <c r="BY747" s="275"/>
      <c r="BZ747" s="275"/>
      <c r="CA747" s="275"/>
      <c r="CB747" s="275"/>
      <c r="CC747" s="275"/>
      <c r="CD747" s="275"/>
      <c r="CE747" s="275"/>
    </row>
    <row r="748" spans="1:83" ht="12.6" customHeight="1" x14ac:dyDescent="0.25">
      <c r="A748" s="209" t="str">
        <f>RIGHT($C$83,3)&amp;"*"&amp;RIGHT($C$82,4)&amp;"*"&amp;Q$55&amp;"*"&amp;"A"</f>
        <v>032*2017*7030*A</v>
      </c>
      <c r="B748" s="274">
        <f>ROUND(Q59,0)</f>
        <v>1241535</v>
      </c>
      <c r="C748" s="276">
        <f>ROUND(Q60,2)</f>
        <v>11.04</v>
      </c>
      <c r="D748" s="274">
        <f>ROUND(Q61,0)</f>
        <v>2073316</v>
      </c>
      <c r="E748" s="274">
        <f>ROUND(Q62,0)</f>
        <v>542550</v>
      </c>
      <c r="F748" s="274">
        <f>ROUND(Q63,0)</f>
        <v>0</v>
      </c>
      <c r="G748" s="274">
        <f>ROUND(Q64,0)</f>
        <v>138504</v>
      </c>
      <c r="H748" s="274">
        <f>ROUND(Q65,0)</f>
        <v>486</v>
      </c>
      <c r="I748" s="274">
        <f>ROUND(Q66,0)</f>
        <v>17617</v>
      </c>
      <c r="J748" s="274">
        <f>ROUND(Q67,0)</f>
        <v>61084</v>
      </c>
      <c r="K748" s="274">
        <f>ROUND(Q68,0)</f>
        <v>2106</v>
      </c>
      <c r="L748" s="274">
        <f>ROUND(Q69,0)</f>
        <v>7972</v>
      </c>
      <c r="M748" s="274">
        <f>ROUND(Q70,0)</f>
        <v>0</v>
      </c>
      <c r="N748" s="274">
        <f>ROUND(Q75,0)</f>
        <v>31072622</v>
      </c>
      <c r="O748" s="274">
        <f>ROUND(Q73,0)</f>
        <v>19348804</v>
      </c>
      <c r="P748" s="274">
        <f>IF(Q76&gt;0,ROUND(Q76,0),0)</f>
        <v>2369</v>
      </c>
      <c r="Q748" s="274">
        <f>IF(Q77&gt;0,ROUND(Q77,0),0)</f>
        <v>0</v>
      </c>
      <c r="R748" s="274">
        <f>IF(Q78&gt;0,ROUND(Q78,0),0)</f>
        <v>993</v>
      </c>
      <c r="S748" s="274">
        <f>IF(Q79&gt;0,ROUND(Q79,0),0)</f>
        <v>69912</v>
      </c>
      <c r="T748" s="276">
        <f>IF(Q80&gt;0,ROUND(Q80,2),0)</f>
        <v>15.16</v>
      </c>
      <c r="U748" s="274"/>
      <c r="V748" s="275"/>
      <c r="W748" s="274"/>
      <c r="X748" s="274"/>
      <c r="Y748" s="274">
        <f t="shared" si="21"/>
        <v>1785855</v>
      </c>
      <c r="Z748" s="275"/>
      <c r="AA748" s="275"/>
      <c r="AB748" s="275"/>
      <c r="AC748" s="275"/>
      <c r="AD748" s="275"/>
      <c r="AE748" s="275"/>
      <c r="AF748" s="275"/>
      <c r="AG748" s="275"/>
      <c r="AH748" s="275"/>
      <c r="AI748" s="275"/>
      <c r="AJ748" s="275"/>
      <c r="AK748" s="275"/>
      <c r="AL748" s="275"/>
      <c r="AM748" s="275"/>
      <c r="AN748" s="275"/>
      <c r="AO748" s="275"/>
      <c r="AP748" s="275"/>
      <c r="AQ748" s="275"/>
      <c r="AR748" s="275"/>
      <c r="AS748" s="275"/>
      <c r="AT748" s="275"/>
      <c r="AU748" s="275"/>
      <c r="AV748" s="275"/>
      <c r="AW748" s="275"/>
      <c r="AX748" s="275"/>
      <c r="AY748" s="275"/>
      <c r="AZ748" s="275"/>
      <c r="BA748" s="275"/>
      <c r="BB748" s="275"/>
      <c r="BC748" s="275"/>
      <c r="BD748" s="275"/>
      <c r="BE748" s="275"/>
      <c r="BF748" s="275"/>
      <c r="BG748" s="275"/>
      <c r="BH748" s="275"/>
      <c r="BI748" s="275"/>
      <c r="BJ748" s="275"/>
      <c r="BK748" s="275"/>
      <c r="BL748" s="275"/>
      <c r="BM748" s="275"/>
      <c r="BN748" s="275"/>
      <c r="BO748" s="275"/>
      <c r="BP748" s="275"/>
      <c r="BQ748" s="275"/>
      <c r="BR748" s="275"/>
      <c r="BS748" s="275"/>
      <c r="BT748" s="275"/>
      <c r="BU748" s="275"/>
      <c r="BV748" s="275"/>
      <c r="BW748" s="275"/>
      <c r="BX748" s="275"/>
      <c r="BY748" s="275"/>
      <c r="BZ748" s="275"/>
      <c r="CA748" s="275"/>
      <c r="CB748" s="275"/>
      <c r="CC748" s="275"/>
      <c r="CD748" s="275"/>
      <c r="CE748" s="275"/>
    </row>
    <row r="749" spans="1:83" ht="12.6" customHeight="1" x14ac:dyDescent="0.25">
      <c r="A749" s="209" t="str">
        <f>RIGHT($C$83,3)&amp;"*"&amp;RIGHT($C$82,4)&amp;"*"&amp;R$55&amp;"*"&amp;"A"</f>
        <v>032*2017*7040*A</v>
      </c>
      <c r="B749" s="274">
        <f>ROUND(R59,0)</f>
        <v>0</v>
      </c>
      <c r="C749" s="276">
        <f>ROUND(R60,2)</f>
        <v>0</v>
      </c>
      <c r="D749" s="274">
        <f>ROUND(R61,0)</f>
        <v>0</v>
      </c>
      <c r="E749" s="274">
        <f>ROUND(R62,0)</f>
        <v>0</v>
      </c>
      <c r="F749" s="274">
        <f>ROUND(R63,0)</f>
        <v>0</v>
      </c>
      <c r="G749" s="274">
        <f>ROUND(R64,0)</f>
        <v>0</v>
      </c>
      <c r="H749" s="274">
        <f>ROUND(R65,0)</f>
        <v>0</v>
      </c>
      <c r="I749" s="274">
        <f>ROUND(R66,0)</f>
        <v>0</v>
      </c>
      <c r="J749" s="274">
        <f>ROUND(R67,0)</f>
        <v>0</v>
      </c>
      <c r="K749" s="274">
        <f>ROUND(R68,0)</f>
        <v>0</v>
      </c>
      <c r="L749" s="274">
        <f>ROUND(R69,0)</f>
        <v>0</v>
      </c>
      <c r="M749" s="274">
        <f>ROUND(R70,0)</f>
        <v>0</v>
      </c>
      <c r="N749" s="274">
        <f>ROUND(R75,0)</f>
        <v>0</v>
      </c>
      <c r="O749" s="274">
        <f>ROUND(R73,0)</f>
        <v>0</v>
      </c>
      <c r="P749" s="274">
        <f>IF(R76&gt;0,ROUND(R76,0),0)</f>
        <v>0</v>
      </c>
      <c r="Q749" s="274">
        <f>IF(R77&gt;0,ROUND(R77,0),0)</f>
        <v>0</v>
      </c>
      <c r="R749" s="274">
        <f>IF(R78&gt;0,ROUND(R78,0),0)</f>
        <v>0</v>
      </c>
      <c r="S749" s="274">
        <f>IF(R79&gt;0,ROUND(R79,0),0)</f>
        <v>0</v>
      </c>
      <c r="T749" s="276">
        <f>IF(R80&gt;0,ROUND(R80,2),0)</f>
        <v>0</v>
      </c>
      <c r="U749" s="274"/>
      <c r="V749" s="275"/>
      <c r="W749" s="274"/>
      <c r="X749" s="274"/>
      <c r="Y749" s="274">
        <f t="shared" si="21"/>
        <v>0</v>
      </c>
      <c r="Z749" s="275"/>
      <c r="AA749" s="275"/>
      <c r="AB749" s="275"/>
      <c r="AC749" s="275"/>
      <c r="AD749" s="275"/>
      <c r="AE749" s="275"/>
      <c r="AF749" s="275"/>
      <c r="AG749" s="275"/>
      <c r="AH749" s="275"/>
      <c r="AI749" s="275"/>
      <c r="AJ749" s="275"/>
      <c r="AK749" s="275"/>
      <c r="AL749" s="275"/>
      <c r="AM749" s="275"/>
      <c r="AN749" s="275"/>
      <c r="AO749" s="275"/>
      <c r="AP749" s="275"/>
      <c r="AQ749" s="275"/>
      <c r="AR749" s="275"/>
      <c r="AS749" s="275"/>
      <c r="AT749" s="275"/>
      <c r="AU749" s="275"/>
      <c r="AV749" s="275"/>
      <c r="AW749" s="275"/>
      <c r="AX749" s="275"/>
      <c r="AY749" s="275"/>
      <c r="AZ749" s="275"/>
      <c r="BA749" s="275"/>
      <c r="BB749" s="275"/>
      <c r="BC749" s="275"/>
      <c r="BD749" s="275"/>
      <c r="BE749" s="275"/>
      <c r="BF749" s="275"/>
      <c r="BG749" s="275"/>
      <c r="BH749" s="275"/>
      <c r="BI749" s="275"/>
      <c r="BJ749" s="275"/>
      <c r="BK749" s="275"/>
      <c r="BL749" s="275"/>
      <c r="BM749" s="275"/>
      <c r="BN749" s="275"/>
      <c r="BO749" s="275"/>
      <c r="BP749" s="275"/>
      <c r="BQ749" s="275"/>
      <c r="BR749" s="275"/>
      <c r="BS749" s="275"/>
      <c r="BT749" s="275"/>
      <c r="BU749" s="275"/>
      <c r="BV749" s="275"/>
      <c r="BW749" s="275"/>
      <c r="BX749" s="275"/>
      <c r="BY749" s="275"/>
      <c r="BZ749" s="275"/>
      <c r="CA749" s="275"/>
      <c r="CB749" s="275"/>
      <c r="CC749" s="275"/>
      <c r="CD749" s="275"/>
      <c r="CE749" s="275"/>
    </row>
    <row r="750" spans="1:83" ht="12.6" customHeight="1" x14ac:dyDescent="0.25">
      <c r="A750" s="209" t="str">
        <f>RIGHT($C$83,3)&amp;"*"&amp;RIGHT($C$82,4)&amp;"*"&amp;S$55&amp;"*"&amp;"A"</f>
        <v>032*2017*7050*A</v>
      </c>
      <c r="B750" s="274"/>
      <c r="C750" s="276">
        <f>ROUND(S60,2)</f>
        <v>38.68</v>
      </c>
      <c r="D750" s="274">
        <f>ROUND(S61,0)</f>
        <v>2804848</v>
      </c>
      <c r="E750" s="274">
        <f>ROUND(S62,0)</f>
        <v>1206333</v>
      </c>
      <c r="F750" s="274">
        <f>ROUND(S63,0)</f>
        <v>0</v>
      </c>
      <c r="G750" s="274">
        <f>ROUND(S64,0)</f>
        <v>-339792</v>
      </c>
      <c r="H750" s="274">
        <f>ROUND(S65,0)</f>
        <v>0</v>
      </c>
      <c r="I750" s="274">
        <f>ROUND(S66,0)</f>
        <v>200904</v>
      </c>
      <c r="J750" s="274">
        <f>ROUND(S67,0)</f>
        <v>346664</v>
      </c>
      <c r="K750" s="274">
        <f>ROUND(S68,0)</f>
        <v>-35633</v>
      </c>
      <c r="L750" s="274">
        <f>ROUND(S69,0)</f>
        <v>33517</v>
      </c>
      <c r="M750" s="274">
        <f>ROUND(S70,0)</f>
        <v>0</v>
      </c>
      <c r="N750" s="274">
        <f>ROUND(S75,0)</f>
        <v>0</v>
      </c>
      <c r="O750" s="274">
        <f>ROUND(S73,0)</f>
        <v>0</v>
      </c>
      <c r="P750" s="274">
        <f>IF(S76&gt;0,ROUND(S76,0),0)</f>
        <v>17441</v>
      </c>
      <c r="Q750" s="274">
        <f>IF(S77&gt;0,ROUND(S77,0),0)</f>
        <v>0</v>
      </c>
      <c r="R750" s="274">
        <f>IF(S78&gt;0,ROUND(S78,0),0)</f>
        <v>7311</v>
      </c>
      <c r="S750" s="274">
        <f>IF(S79&gt;0,ROUND(S79,0),0)</f>
        <v>19856</v>
      </c>
      <c r="T750" s="276">
        <f>IF(S80&gt;0,ROUND(S80,2),0)</f>
        <v>0</v>
      </c>
      <c r="U750" s="274"/>
      <c r="V750" s="275"/>
      <c r="W750" s="274"/>
      <c r="X750" s="274"/>
      <c r="Y750" s="274">
        <f t="shared" si="21"/>
        <v>3668340</v>
      </c>
      <c r="Z750" s="275"/>
      <c r="AA750" s="275"/>
      <c r="AB750" s="275"/>
      <c r="AC750" s="275"/>
      <c r="AD750" s="275"/>
      <c r="AE750" s="275"/>
      <c r="AF750" s="275"/>
      <c r="AG750" s="275"/>
      <c r="AH750" s="275"/>
      <c r="AI750" s="275"/>
      <c r="AJ750" s="275"/>
      <c r="AK750" s="275"/>
      <c r="AL750" s="275"/>
      <c r="AM750" s="275"/>
      <c r="AN750" s="275"/>
      <c r="AO750" s="275"/>
      <c r="AP750" s="275"/>
      <c r="AQ750" s="275"/>
      <c r="AR750" s="275"/>
      <c r="AS750" s="275"/>
      <c r="AT750" s="275"/>
      <c r="AU750" s="275"/>
      <c r="AV750" s="275"/>
      <c r="AW750" s="275"/>
      <c r="AX750" s="275"/>
      <c r="AY750" s="275"/>
      <c r="AZ750" s="275"/>
      <c r="BA750" s="275"/>
      <c r="BB750" s="275"/>
      <c r="BC750" s="275"/>
      <c r="BD750" s="275"/>
      <c r="BE750" s="275"/>
      <c r="BF750" s="275"/>
      <c r="BG750" s="275"/>
      <c r="BH750" s="275"/>
      <c r="BI750" s="275"/>
      <c r="BJ750" s="275"/>
      <c r="BK750" s="275"/>
      <c r="BL750" s="275"/>
      <c r="BM750" s="275"/>
      <c r="BN750" s="275"/>
      <c r="BO750" s="275"/>
      <c r="BP750" s="275"/>
      <c r="BQ750" s="275"/>
      <c r="BR750" s="275"/>
      <c r="BS750" s="275"/>
      <c r="BT750" s="275"/>
      <c r="BU750" s="275"/>
      <c r="BV750" s="275"/>
      <c r="BW750" s="275"/>
      <c r="BX750" s="275"/>
      <c r="BY750" s="275"/>
      <c r="BZ750" s="275"/>
      <c r="CA750" s="275"/>
      <c r="CB750" s="275"/>
      <c r="CC750" s="275"/>
      <c r="CD750" s="275"/>
      <c r="CE750" s="275"/>
    </row>
    <row r="751" spans="1:83" ht="12.6" customHeight="1" x14ac:dyDescent="0.25">
      <c r="A751" s="209" t="str">
        <f>RIGHT($C$83,3)&amp;"*"&amp;RIGHT($C$82,4)&amp;"*"&amp;T$55&amp;"*"&amp;"A"</f>
        <v>032*2017*7060*A</v>
      </c>
      <c r="B751" s="274"/>
      <c r="C751" s="276">
        <f>ROUND(T60,2)</f>
        <v>13.66</v>
      </c>
      <c r="D751" s="274">
        <f>ROUND(T61,0)</f>
        <v>1591593</v>
      </c>
      <c r="E751" s="274">
        <f>ROUND(T62,0)</f>
        <v>383224</v>
      </c>
      <c r="F751" s="274">
        <f>ROUND(T63,0)</f>
        <v>0</v>
      </c>
      <c r="G751" s="274">
        <f>ROUND(T64,0)</f>
        <v>1063884</v>
      </c>
      <c r="H751" s="274">
        <f>ROUND(T65,0)</f>
        <v>720</v>
      </c>
      <c r="I751" s="274">
        <f>ROUND(T66,0)</f>
        <v>312</v>
      </c>
      <c r="J751" s="274">
        <f>ROUND(T67,0)</f>
        <v>17195</v>
      </c>
      <c r="K751" s="274">
        <f>ROUND(T68,0)</f>
        <v>291</v>
      </c>
      <c r="L751" s="274">
        <f>ROUND(T69,0)</f>
        <v>58</v>
      </c>
      <c r="M751" s="274">
        <f>ROUND(T70,0)</f>
        <v>0</v>
      </c>
      <c r="N751" s="274">
        <f>ROUND(T75,0)</f>
        <v>12599779</v>
      </c>
      <c r="O751" s="274">
        <f>ROUND(T73,0)</f>
        <v>11947833</v>
      </c>
      <c r="P751" s="274">
        <f>IF(T76&gt;0,ROUND(T76,0),0)</f>
        <v>0</v>
      </c>
      <c r="Q751" s="274">
        <f>IF(T77&gt;0,ROUND(T77,0),0)</f>
        <v>84073</v>
      </c>
      <c r="R751" s="274">
        <f>IF(T78&gt;0,ROUND(T78,0),0)</f>
        <v>0</v>
      </c>
      <c r="S751" s="274">
        <f>IF(T79&gt;0,ROUND(T79,0),0)</f>
        <v>0</v>
      </c>
      <c r="T751" s="276">
        <f>IF(T80&gt;0,ROUND(T80,2),0)</f>
        <v>11.74</v>
      </c>
      <c r="U751" s="274"/>
      <c r="V751" s="275"/>
      <c r="W751" s="274"/>
      <c r="X751" s="274"/>
      <c r="Y751" s="274">
        <f t="shared" si="21"/>
        <v>1233267</v>
      </c>
      <c r="Z751" s="275"/>
      <c r="AA751" s="275"/>
      <c r="AB751" s="275"/>
      <c r="AC751" s="275"/>
      <c r="AD751" s="275"/>
      <c r="AE751" s="275"/>
      <c r="AF751" s="275"/>
      <c r="AG751" s="275"/>
      <c r="AH751" s="275"/>
      <c r="AI751" s="275"/>
      <c r="AJ751" s="275"/>
      <c r="AK751" s="275"/>
      <c r="AL751" s="275"/>
      <c r="AM751" s="275"/>
      <c r="AN751" s="275"/>
      <c r="AO751" s="275"/>
      <c r="AP751" s="275"/>
      <c r="AQ751" s="275"/>
      <c r="AR751" s="275"/>
      <c r="AS751" s="275"/>
      <c r="AT751" s="275"/>
      <c r="AU751" s="275"/>
      <c r="AV751" s="275"/>
      <c r="AW751" s="275"/>
      <c r="AX751" s="275"/>
      <c r="AY751" s="275"/>
      <c r="AZ751" s="275"/>
      <c r="BA751" s="275"/>
      <c r="BB751" s="275"/>
      <c r="BC751" s="275"/>
      <c r="BD751" s="275"/>
      <c r="BE751" s="275"/>
      <c r="BF751" s="275"/>
      <c r="BG751" s="275"/>
      <c r="BH751" s="275"/>
      <c r="BI751" s="275"/>
      <c r="BJ751" s="275"/>
      <c r="BK751" s="275"/>
      <c r="BL751" s="275"/>
      <c r="BM751" s="275"/>
      <c r="BN751" s="275"/>
      <c r="BO751" s="275"/>
      <c r="BP751" s="275"/>
      <c r="BQ751" s="275"/>
      <c r="BR751" s="275"/>
      <c r="BS751" s="275"/>
      <c r="BT751" s="275"/>
      <c r="BU751" s="275"/>
      <c r="BV751" s="275"/>
      <c r="BW751" s="275"/>
      <c r="BX751" s="275"/>
      <c r="BY751" s="275"/>
      <c r="BZ751" s="275"/>
      <c r="CA751" s="275"/>
      <c r="CB751" s="275"/>
      <c r="CC751" s="275"/>
      <c r="CD751" s="275"/>
      <c r="CE751" s="275"/>
    </row>
    <row r="752" spans="1:83" ht="12.6" customHeight="1" x14ac:dyDescent="0.25">
      <c r="A752" s="209" t="str">
        <f>RIGHT($C$83,3)&amp;"*"&amp;RIGHT($C$82,4)&amp;"*"&amp;U$55&amp;"*"&amp;"A"</f>
        <v>032*2017*7070*A</v>
      </c>
      <c r="B752" s="274">
        <f>ROUND(U59,0)</f>
        <v>3078895</v>
      </c>
      <c r="C752" s="276">
        <f>ROUND(U60,2)</f>
        <v>94.7</v>
      </c>
      <c r="D752" s="274">
        <f>ROUND(U61,0)</f>
        <v>11764251</v>
      </c>
      <c r="E752" s="274">
        <f>ROUND(U62,0)</f>
        <v>4174368</v>
      </c>
      <c r="F752" s="274">
        <f>ROUND(U63,0)</f>
        <v>89424</v>
      </c>
      <c r="G752" s="274">
        <f>ROUND(U64,0)</f>
        <v>8024440</v>
      </c>
      <c r="H752" s="274">
        <f>ROUND(U65,0)</f>
        <v>209277</v>
      </c>
      <c r="I752" s="274">
        <f>ROUND(U66,0)</f>
        <v>8153477</v>
      </c>
      <c r="J752" s="274">
        <f>ROUND(U67,0)</f>
        <v>450570</v>
      </c>
      <c r="K752" s="274">
        <f>ROUND(U68,0)</f>
        <v>981022</v>
      </c>
      <c r="L752" s="274">
        <f>ROUND(U69,0)</f>
        <v>188041</v>
      </c>
      <c r="M752" s="274">
        <f>ROUND(U70,0)</f>
        <v>18170076</v>
      </c>
      <c r="N752" s="274">
        <f>ROUND(U75,0)</f>
        <v>119401098</v>
      </c>
      <c r="O752" s="274">
        <f>ROUND(U73,0)</f>
        <v>83300211</v>
      </c>
      <c r="P752" s="274">
        <f>IF(U76&gt;0,ROUND(U76,0),0)</f>
        <v>18834</v>
      </c>
      <c r="Q752" s="274">
        <f>IF(U77&gt;0,ROUND(U77,0),0)</f>
        <v>0</v>
      </c>
      <c r="R752" s="274">
        <f>IF(U78&gt;0,ROUND(U78,0),0)</f>
        <v>7895</v>
      </c>
      <c r="S752" s="274">
        <f>IF(U79&gt;0,ROUND(U79,0),0)</f>
        <v>8388</v>
      </c>
      <c r="T752" s="276">
        <f>IF(U80&gt;0,ROUND(U80,2),0)</f>
        <v>2.94</v>
      </c>
      <c r="U752" s="274"/>
      <c r="V752" s="275"/>
      <c r="W752" s="274"/>
      <c r="X752" s="274"/>
      <c r="Y752" s="274">
        <f t="shared" si="21"/>
        <v>9351622</v>
      </c>
      <c r="Z752" s="275"/>
      <c r="AA752" s="275"/>
      <c r="AB752" s="275"/>
      <c r="AC752" s="275"/>
      <c r="AD752" s="275"/>
      <c r="AE752" s="275"/>
      <c r="AF752" s="275"/>
      <c r="AG752" s="275"/>
      <c r="AH752" s="275"/>
      <c r="AI752" s="275"/>
      <c r="AJ752" s="275"/>
      <c r="AK752" s="275"/>
      <c r="AL752" s="275"/>
      <c r="AM752" s="275"/>
      <c r="AN752" s="275"/>
      <c r="AO752" s="275"/>
      <c r="AP752" s="275"/>
      <c r="AQ752" s="275"/>
      <c r="AR752" s="275"/>
      <c r="AS752" s="275"/>
      <c r="AT752" s="275"/>
      <c r="AU752" s="275"/>
      <c r="AV752" s="275"/>
      <c r="AW752" s="275"/>
      <c r="AX752" s="275"/>
      <c r="AY752" s="275"/>
      <c r="AZ752" s="275"/>
      <c r="BA752" s="275"/>
      <c r="BB752" s="275"/>
      <c r="BC752" s="275"/>
      <c r="BD752" s="275"/>
      <c r="BE752" s="275"/>
      <c r="BF752" s="275"/>
      <c r="BG752" s="275"/>
      <c r="BH752" s="275"/>
      <c r="BI752" s="275"/>
      <c r="BJ752" s="275"/>
      <c r="BK752" s="275"/>
      <c r="BL752" s="275"/>
      <c r="BM752" s="275"/>
      <c r="BN752" s="275"/>
      <c r="BO752" s="275"/>
      <c r="BP752" s="275"/>
      <c r="BQ752" s="275"/>
      <c r="BR752" s="275"/>
      <c r="BS752" s="275"/>
      <c r="BT752" s="275"/>
      <c r="BU752" s="275"/>
      <c r="BV752" s="275"/>
      <c r="BW752" s="275"/>
      <c r="BX752" s="275"/>
      <c r="BY752" s="275"/>
      <c r="BZ752" s="275"/>
      <c r="CA752" s="275"/>
      <c r="CB752" s="275"/>
      <c r="CC752" s="275"/>
      <c r="CD752" s="275"/>
      <c r="CE752" s="275"/>
    </row>
    <row r="753" spans="1:83" ht="12.6" customHeight="1" x14ac:dyDescent="0.25">
      <c r="A753" s="209" t="str">
        <f>RIGHT($C$83,3)&amp;"*"&amp;RIGHT($C$82,4)&amp;"*"&amp;V$55&amp;"*"&amp;"A"</f>
        <v>032*2017*7110*A</v>
      </c>
      <c r="B753" s="274">
        <f>ROUND(V59,0)</f>
        <v>0</v>
      </c>
      <c r="C753" s="276">
        <f>ROUND(V60,2)</f>
        <v>0</v>
      </c>
      <c r="D753" s="274">
        <f>ROUND(V61,0)</f>
        <v>0</v>
      </c>
      <c r="E753" s="274">
        <f>ROUND(V62,0)</f>
        <v>0</v>
      </c>
      <c r="F753" s="274">
        <f>ROUND(V63,0)</f>
        <v>0</v>
      </c>
      <c r="G753" s="274">
        <f>ROUND(V64,0)</f>
        <v>360</v>
      </c>
      <c r="H753" s="274">
        <f>ROUND(V65,0)</f>
        <v>0</v>
      </c>
      <c r="I753" s="274">
        <f>ROUND(V66,0)</f>
        <v>0</v>
      </c>
      <c r="J753" s="274">
        <f>ROUND(V67,0)</f>
        <v>135318</v>
      </c>
      <c r="K753" s="274">
        <f>ROUND(V68,0)</f>
        <v>0</v>
      </c>
      <c r="L753" s="274">
        <f>ROUND(V69,0)</f>
        <v>0</v>
      </c>
      <c r="M753" s="274">
        <f>ROUND(V70,0)</f>
        <v>0</v>
      </c>
      <c r="N753" s="274">
        <f>ROUND(V75,0)</f>
        <v>602554</v>
      </c>
      <c r="O753" s="274">
        <f>ROUND(V73,0)</f>
        <v>65170</v>
      </c>
      <c r="P753" s="274">
        <f>IF(V76&gt;0,ROUND(V76,0),0)</f>
        <v>0</v>
      </c>
      <c r="Q753" s="274">
        <f>IF(V77&gt;0,ROUND(V77,0),0)</f>
        <v>0</v>
      </c>
      <c r="R753" s="274">
        <f>IF(V78&gt;0,ROUND(V78,0),0)</f>
        <v>0</v>
      </c>
      <c r="S753" s="274">
        <f>IF(V79&gt;0,ROUND(V79,0),0)</f>
        <v>0</v>
      </c>
      <c r="T753" s="276">
        <f>IF(V80&gt;0,ROUND(V80,2),0)</f>
        <v>0</v>
      </c>
      <c r="U753" s="274"/>
      <c r="V753" s="275"/>
      <c r="W753" s="274"/>
      <c r="X753" s="274"/>
      <c r="Y753" s="274">
        <f t="shared" si="21"/>
        <v>46763</v>
      </c>
      <c r="Z753" s="275"/>
      <c r="AA753" s="275"/>
      <c r="AB753" s="275"/>
      <c r="AC753" s="275"/>
      <c r="AD753" s="275"/>
      <c r="AE753" s="275"/>
      <c r="AF753" s="275"/>
      <c r="AG753" s="275"/>
      <c r="AH753" s="275"/>
      <c r="AI753" s="275"/>
      <c r="AJ753" s="275"/>
      <c r="AK753" s="275"/>
      <c r="AL753" s="275"/>
      <c r="AM753" s="275"/>
      <c r="AN753" s="275"/>
      <c r="AO753" s="275"/>
      <c r="AP753" s="275"/>
      <c r="AQ753" s="275"/>
      <c r="AR753" s="275"/>
      <c r="AS753" s="275"/>
      <c r="AT753" s="275"/>
      <c r="AU753" s="275"/>
      <c r="AV753" s="275"/>
      <c r="AW753" s="275"/>
      <c r="AX753" s="275"/>
      <c r="AY753" s="275"/>
      <c r="AZ753" s="275"/>
      <c r="BA753" s="275"/>
      <c r="BB753" s="275"/>
      <c r="BC753" s="275"/>
      <c r="BD753" s="275"/>
      <c r="BE753" s="275"/>
      <c r="BF753" s="275"/>
      <c r="BG753" s="275"/>
      <c r="BH753" s="275"/>
      <c r="BI753" s="275"/>
      <c r="BJ753" s="275"/>
      <c r="BK753" s="275"/>
      <c r="BL753" s="275"/>
      <c r="BM753" s="275"/>
      <c r="BN753" s="275"/>
      <c r="BO753" s="275"/>
      <c r="BP753" s="275"/>
      <c r="BQ753" s="275"/>
      <c r="BR753" s="275"/>
      <c r="BS753" s="275"/>
      <c r="BT753" s="275"/>
      <c r="BU753" s="275"/>
      <c r="BV753" s="275"/>
      <c r="BW753" s="275"/>
      <c r="BX753" s="275"/>
      <c r="BY753" s="275"/>
      <c r="BZ753" s="275"/>
      <c r="CA753" s="275"/>
      <c r="CB753" s="275"/>
      <c r="CC753" s="275"/>
      <c r="CD753" s="275"/>
      <c r="CE753" s="275"/>
    </row>
    <row r="754" spans="1:83" ht="12.6" customHeight="1" x14ac:dyDescent="0.25">
      <c r="A754" s="209" t="str">
        <f>RIGHT($C$83,3)&amp;"*"&amp;RIGHT($C$82,4)&amp;"*"&amp;W$55&amp;"*"&amp;"A"</f>
        <v>032*2017*7120*A</v>
      </c>
      <c r="B754" s="274">
        <f>ROUND(W59,0)</f>
        <v>0</v>
      </c>
      <c r="C754" s="276">
        <f>ROUND(W60,2)</f>
        <v>0</v>
      </c>
      <c r="D754" s="274">
        <f>ROUND(W61,0)</f>
        <v>0</v>
      </c>
      <c r="E754" s="274">
        <f>ROUND(W62,0)</f>
        <v>0</v>
      </c>
      <c r="F754" s="274">
        <f>ROUND(W63,0)</f>
        <v>0</v>
      </c>
      <c r="G754" s="274">
        <f>ROUND(W64,0)</f>
        <v>0</v>
      </c>
      <c r="H754" s="274">
        <f>ROUND(W65,0)</f>
        <v>0</v>
      </c>
      <c r="I754" s="274">
        <f>ROUND(W66,0)</f>
        <v>0</v>
      </c>
      <c r="J754" s="274">
        <f>ROUND(W67,0)</f>
        <v>0</v>
      </c>
      <c r="K754" s="274">
        <f>ROUND(W68,0)</f>
        <v>0</v>
      </c>
      <c r="L754" s="274">
        <f>ROUND(W69,0)</f>
        <v>0</v>
      </c>
      <c r="M754" s="274">
        <f>ROUND(W70,0)</f>
        <v>0</v>
      </c>
      <c r="N754" s="274">
        <f>ROUND(W75,0)</f>
        <v>0</v>
      </c>
      <c r="O754" s="274">
        <f>ROUND(W73,0)</f>
        <v>0</v>
      </c>
      <c r="P754" s="274">
        <f>IF(W76&gt;0,ROUND(W76,0),0)</f>
        <v>0</v>
      </c>
      <c r="Q754" s="274">
        <f>IF(W77&gt;0,ROUND(W77,0),0)</f>
        <v>0</v>
      </c>
      <c r="R754" s="274">
        <f>IF(W78&gt;0,ROUND(W78,0),0)</f>
        <v>0</v>
      </c>
      <c r="S754" s="274">
        <f>IF(W79&gt;0,ROUND(W79,0),0)</f>
        <v>0</v>
      </c>
      <c r="T754" s="276">
        <f>IF(W80&gt;0,ROUND(W80,2),0)</f>
        <v>0</v>
      </c>
      <c r="U754" s="274"/>
      <c r="V754" s="275"/>
      <c r="W754" s="274"/>
      <c r="X754" s="274"/>
      <c r="Y754" s="274">
        <f t="shared" si="21"/>
        <v>0</v>
      </c>
      <c r="Z754" s="275"/>
      <c r="AA754" s="275"/>
      <c r="AB754" s="275"/>
      <c r="AC754" s="275"/>
      <c r="AD754" s="275"/>
      <c r="AE754" s="275"/>
      <c r="AF754" s="275"/>
      <c r="AG754" s="275"/>
      <c r="AH754" s="275"/>
      <c r="AI754" s="275"/>
      <c r="AJ754" s="275"/>
      <c r="AK754" s="275"/>
      <c r="AL754" s="275"/>
      <c r="AM754" s="275"/>
      <c r="AN754" s="275"/>
      <c r="AO754" s="275"/>
      <c r="AP754" s="275"/>
      <c r="AQ754" s="275"/>
      <c r="AR754" s="275"/>
      <c r="AS754" s="275"/>
      <c r="AT754" s="275"/>
      <c r="AU754" s="275"/>
      <c r="AV754" s="275"/>
      <c r="AW754" s="275"/>
      <c r="AX754" s="275"/>
      <c r="AY754" s="275"/>
      <c r="AZ754" s="275"/>
      <c r="BA754" s="275"/>
      <c r="BB754" s="275"/>
      <c r="BC754" s="275"/>
      <c r="BD754" s="275"/>
      <c r="BE754" s="275"/>
      <c r="BF754" s="275"/>
      <c r="BG754" s="275"/>
      <c r="BH754" s="275"/>
      <c r="BI754" s="275"/>
      <c r="BJ754" s="275"/>
      <c r="BK754" s="275"/>
      <c r="BL754" s="275"/>
      <c r="BM754" s="275"/>
      <c r="BN754" s="275"/>
      <c r="BO754" s="275"/>
      <c r="BP754" s="275"/>
      <c r="BQ754" s="275"/>
      <c r="BR754" s="275"/>
      <c r="BS754" s="275"/>
      <c r="BT754" s="275"/>
      <c r="BU754" s="275"/>
      <c r="BV754" s="275"/>
      <c r="BW754" s="275"/>
      <c r="BX754" s="275"/>
      <c r="BY754" s="275"/>
      <c r="BZ754" s="275"/>
      <c r="CA754" s="275"/>
      <c r="CB754" s="275"/>
      <c r="CC754" s="275"/>
      <c r="CD754" s="275"/>
      <c r="CE754" s="275"/>
    </row>
    <row r="755" spans="1:83" ht="12.6" customHeight="1" x14ac:dyDescent="0.25">
      <c r="A755" s="209" t="str">
        <f>RIGHT($C$83,3)&amp;"*"&amp;RIGHT($C$82,4)&amp;"*"&amp;X$55&amp;"*"&amp;"A"</f>
        <v>032*2017*7130*A</v>
      </c>
      <c r="B755" s="274">
        <f>ROUND(X59,0)</f>
        <v>82838</v>
      </c>
      <c r="C755" s="276">
        <f>ROUND(X60,2)</f>
        <v>22.61</v>
      </c>
      <c r="D755" s="274">
        <f>ROUND(X61,0)</f>
        <v>797276</v>
      </c>
      <c r="E755" s="274">
        <f>ROUND(X62,0)</f>
        <v>221562</v>
      </c>
      <c r="F755" s="274">
        <f>ROUND(X63,0)</f>
        <v>0</v>
      </c>
      <c r="G755" s="274">
        <f>ROUND(X64,0)</f>
        <v>247748</v>
      </c>
      <c r="H755" s="274">
        <f>ROUND(X65,0)</f>
        <v>507</v>
      </c>
      <c r="I755" s="274">
        <f>ROUND(X66,0)</f>
        <v>232099</v>
      </c>
      <c r="J755" s="274">
        <f>ROUND(X67,0)</f>
        <v>37952</v>
      </c>
      <c r="K755" s="274">
        <f>ROUND(X68,0)</f>
        <v>640</v>
      </c>
      <c r="L755" s="274">
        <f>ROUND(X69,0)</f>
        <v>0</v>
      </c>
      <c r="M755" s="274">
        <f>ROUND(X70,0)</f>
        <v>-73306</v>
      </c>
      <c r="N755" s="274">
        <f>ROUND(X75,0)</f>
        <v>109944506</v>
      </c>
      <c r="O755" s="274">
        <f>ROUND(X73,0)</f>
        <v>54400094</v>
      </c>
      <c r="P755" s="274">
        <f>IF(X76&gt;0,ROUND(X76,0),0)</f>
        <v>0</v>
      </c>
      <c r="Q755" s="274">
        <f>IF(X77&gt;0,ROUND(X77,0),0)</f>
        <v>0</v>
      </c>
      <c r="R755" s="274">
        <f>IF(X78&gt;0,ROUND(X78,0),0)</f>
        <v>0</v>
      </c>
      <c r="S755" s="274">
        <f>IF(X79&gt;0,ROUND(X79,0),0)</f>
        <v>0</v>
      </c>
      <c r="T755" s="276">
        <f>IF(X80&gt;0,ROUND(X80,2),0)</f>
        <v>0</v>
      </c>
      <c r="U755" s="274"/>
      <c r="V755" s="275"/>
      <c r="W755" s="274"/>
      <c r="X755" s="274"/>
      <c r="Y755" s="274">
        <f t="shared" si="21"/>
        <v>2321684</v>
      </c>
      <c r="Z755" s="275"/>
      <c r="AA755" s="275"/>
      <c r="AB755" s="275"/>
      <c r="AC755" s="275"/>
      <c r="AD755" s="275"/>
      <c r="AE755" s="275"/>
      <c r="AF755" s="275"/>
      <c r="AG755" s="275"/>
      <c r="AH755" s="275"/>
      <c r="AI755" s="275"/>
      <c r="AJ755" s="275"/>
      <c r="AK755" s="275"/>
      <c r="AL755" s="275"/>
      <c r="AM755" s="275"/>
      <c r="AN755" s="275"/>
      <c r="AO755" s="275"/>
      <c r="AP755" s="275"/>
      <c r="AQ755" s="275"/>
      <c r="AR755" s="275"/>
      <c r="AS755" s="275"/>
      <c r="AT755" s="275"/>
      <c r="AU755" s="275"/>
      <c r="AV755" s="275"/>
      <c r="AW755" s="275"/>
      <c r="AX755" s="275"/>
      <c r="AY755" s="275"/>
      <c r="AZ755" s="275"/>
      <c r="BA755" s="275"/>
      <c r="BB755" s="275"/>
      <c r="BC755" s="275"/>
      <c r="BD755" s="275"/>
      <c r="BE755" s="275"/>
      <c r="BF755" s="275"/>
      <c r="BG755" s="275"/>
      <c r="BH755" s="275"/>
      <c r="BI755" s="275"/>
      <c r="BJ755" s="275"/>
      <c r="BK755" s="275"/>
      <c r="BL755" s="275"/>
      <c r="BM755" s="275"/>
      <c r="BN755" s="275"/>
      <c r="BO755" s="275"/>
      <c r="BP755" s="275"/>
      <c r="BQ755" s="275"/>
      <c r="BR755" s="275"/>
      <c r="BS755" s="275"/>
      <c r="BT755" s="275"/>
      <c r="BU755" s="275"/>
      <c r="BV755" s="275"/>
      <c r="BW755" s="275"/>
      <c r="BX755" s="275"/>
      <c r="BY755" s="275"/>
      <c r="BZ755" s="275"/>
      <c r="CA755" s="275"/>
      <c r="CB755" s="275"/>
      <c r="CC755" s="275"/>
      <c r="CD755" s="275"/>
      <c r="CE755" s="275"/>
    </row>
    <row r="756" spans="1:83" ht="12.6" customHeight="1" x14ac:dyDescent="0.25">
      <c r="A756" s="209" t="str">
        <f>RIGHT($C$83,3)&amp;"*"&amp;RIGHT($C$82,4)&amp;"*"&amp;Y$55&amp;"*"&amp;"A"</f>
        <v>032*2017*7140*A</v>
      </c>
      <c r="B756" s="274">
        <f>ROUND(Y59,0)</f>
        <v>1203618</v>
      </c>
      <c r="C756" s="276">
        <f>ROUND(Y60,2)</f>
        <v>112.08</v>
      </c>
      <c r="D756" s="274">
        <f>ROUND(Y61,0)</f>
        <v>5514567</v>
      </c>
      <c r="E756" s="274">
        <f>ROUND(Y62,0)</f>
        <v>1568425</v>
      </c>
      <c r="F756" s="274">
        <f>ROUND(Y63,0)</f>
        <v>55265</v>
      </c>
      <c r="G756" s="274">
        <f>ROUND(Y64,0)</f>
        <v>3931218</v>
      </c>
      <c r="H756" s="274">
        <f>ROUND(Y65,0)</f>
        <v>4856</v>
      </c>
      <c r="I756" s="274">
        <f>ROUND(Y66,0)</f>
        <v>2571391</v>
      </c>
      <c r="J756" s="274">
        <f>ROUND(Y67,0)</f>
        <v>792746</v>
      </c>
      <c r="K756" s="274">
        <f>ROUND(Y68,0)</f>
        <v>59216</v>
      </c>
      <c r="L756" s="274">
        <f>ROUND(Y69,0)</f>
        <v>9662</v>
      </c>
      <c r="M756" s="274">
        <f>ROUND(Y70,0)</f>
        <v>14229</v>
      </c>
      <c r="N756" s="274">
        <f>ROUND(Y75,0)</f>
        <v>153273362</v>
      </c>
      <c r="O756" s="274">
        <f>ROUND(Y73,0)</f>
        <v>68882915</v>
      </c>
      <c r="P756" s="274">
        <f>IF(Y76&gt;0,ROUND(Y76,0),0)</f>
        <v>46504</v>
      </c>
      <c r="Q756" s="274">
        <f>IF(Y77&gt;0,ROUND(Y77,0),0)</f>
        <v>0</v>
      </c>
      <c r="R756" s="274">
        <f>IF(Y78&gt;0,ROUND(Y78,0),0)</f>
        <v>19493</v>
      </c>
      <c r="S756" s="274">
        <f>IF(Y79&gt;0,ROUND(Y79,0),0)</f>
        <v>143091</v>
      </c>
      <c r="T756" s="276">
        <f>IF(Y80&gt;0,ROUND(Y80,2),0)</f>
        <v>5.62</v>
      </c>
      <c r="U756" s="274"/>
      <c r="V756" s="275"/>
      <c r="W756" s="274"/>
      <c r="X756" s="274"/>
      <c r="Y756" s="274">
        <f t="shared" si="21"/>
        <v>13191033</v>
      </c>
      <c r="Z756" s="275"/>
      <c r="AA756" s="275"/>
      <c r="AB756" s="275"/>
      <c r="AC756" s="275"/>
      <c r="AD756" s="275"/>
      <c r="AE756" s="275"/>
      <c r="AF756" s="275"/>
      <c r="AG756" s="275"/>
      <c r="AH756" s="275"/>
      <c r="AI756" s="275"/>
      <c r="AJ756" s="275"/>
      <c r="AK756" s="275"/>
      <c r="AL756" s="275"/>
      <c r="AM756" s="275"/>
      <c r="AN756" s="275"/>
      <c r="AO756" s="275"/>
      <c r="AP756" s="275"/>
      <c r="AQ756" s="275"/>
      <c r="AR756" s="275"/>
      <c r="AS756" s="275"/>
      <c r="AT756" s="275"/>
      <c r="AU756" s="275"/>
      <c r="AV756" s="275"/>
      <c r="AW756" s="275"/>
      <c r="AX756" s="275"/>
      <c r="AY756" s="275"/>
      <c r="AZ756" s="275"/>
      <c r="BA756" s="275"/>
      <c r="BB756" s="275"/>
      <c r="BC756" s="275"/>
      <c r="BD756" s="275"/>
      <c r="BE756" s="275"/>
      <c r="BF756" s="275"/>
      <c r="BG756" s="275"/>
      <c r="BH756" s="275"/>
      <c r="BI756" s="275"/>
      <c r="BJ756" s="275"/>
      <c r="BK756" s="275"/>
      <c r="BL756" s="275"/>
      <c r="BM756" s="275"/>
      <c r="BN756" s="275"/>
      <c r="BO756" s="275"/>
      <c r="BP756" s="275"/>
      <c r="BQ756" s="275"/>
      <c r="BR756" s="275"/>
      <c r="BS756" s="275"/>
      <c r="BT756" s="275"/>
      <c r="BU756" s="275"/>
      <c r="BV756" s="275"/>
      <c r="BW756" s="275"/>
      <c r="BX756" s="275"/>
      <c r="BY756" s="275"/>
      <c r="BZ756" s="275"/>
      <c r="CA756" s="275"/>
      <c r="CB756" s="275"/>
      <c r="CC756" s="275"/>
      <c r="CD756" s="275"/>
      <c r="CE756" s="275"/>
    </row>
    <row r="757" spans="1:83" ht="12.6" customHeight="1" x14ac:dyDescent="0.25">
      <c r="A757" s="209" t="str">
        <f>RIGHT($C$83,3)&amp;"*"&amp;RIGHT($C$82,4)&amp;"*"&amp;Z$55&amp;"*"&amp;"A"</f>
        <v>032*2017*7150*A</v>
      </c>
      <c r="B757" s="274">
        <f>ROUND(Z59,0)</f>
        <v>0</v>
      </c>
      <c r="C757" s="276">
        <f>ROUND(Z60,2)</f>
        <v>0</v>
      </c>
      <c r="D757" s="274">
        <f>ROUND(Z61,0)</f>
        <v>0</v>
      </c>
      <c r="E757" s="274">
        <f>ROUND(Z62,0)</f>
        <v>0</v>
      </c>
      <c r="F757" s="274">
        <f>ROUND(Z63,0)</f>
        <v>0</v>
      </c>
      <c r="G757" s="274">
        <f>ROUND(Z64,0)</f>
        <v>0</v>
      </c>
      <c r="H757" s="274">
        <f>ROUND(Z65,0)</f>
        <v>0</v>
      </c>
      <c r="I757" s="274">
        <f>ROUND(Z66,0)</f>
        <v>0</v>
      </c>
      <c r="J757" s="274">
        <f>ROUND(Z67,0)</f>
        <v>0</v>
      </c>
      <c r="K757" s="274">
        <f>ROUND(Z68,0)</f>
        <v>0</v>
      </c>
      <c r="L757" s="274">
        <f>ROUND(Z69,0)</f>
        <v>0</v>
      </c>
      <c r="M757" s="274">
        <f>ROUND(Z70,0)</f>
        <v>0</v>
      </c>
      <c r="N757" s="274">
        <f>ROUND(Z75,0)</f>
        <v>0</v>
      </c>
      <c r="O757" s="274">
        <f>ROUND(Z73,0)</f>
        <v>0</v>
      </c>
      <c r="P757" s="274">
        <f>IF(Z76&gt;0,ROUND(Z76,0),0)</f>
        <v>0</v>
      </c>
      <c r="Q757" s="274">
        <f>IF(Z77&gt;0,ROUND(Z77,0),0)</f>
        <v>0</v>
      </c>
      <c r="R757" s="274">
        <f>IF(Z78&gt;0,ROUND(Z78,0),0)</f>
        <v>0</v>
      </c>
      <c r="S757" s="274">
        <f>IF(Z79&gt;0,ROUND(Z79,0),0)</f>
        <v>0</v>
      </c>
      <c r="T757" s="276">
        <f>IF(Z80&gt;0,ROUND(Z80,2),0)</f>
        <v>0</v>
      </c>
      <c r="U757" s="274"/>
      <c r="V757" s="275"/>
      <c r="W757" s="274"/>
      <c r="X757" s="274"/>
      <c r="Y757" s="274">
        <f t="shared" si="21"/>
        <v>0</v>
      </c>
      <c r="Z757" s="275"/>
      <c r="AA757" s="275"/>
      <c r="AB757" s="275"/>
      <c r="AC757" s="275"/>
      <c r="AD757" s="275"/>
      <c r="AE757" s="275"/>
      <c r="AF757" s="275"/>
      <c r="AG757" s="275"/>
      <c r="AH757" s="275"/>
      <c r="AI757" s="275"/>
      <c r="AJ757" s="275"/>
      <c r="AK757" s="275"/>
      <c r="AL757" s="275"/>
      <c r="AM757" s="275"/>
      <c r="AN757" s="275"/>
      <c r="AO757" s="275"/>
      <c r="AP757" s="275"/>
      <c r="AQ757" s="275"/>
      <c r="AR757" s="275"/>
      <c r="AS757" s="275"/>
      <c r="AT757" s="275"/>
      <c r="AU757" s="275"/>
      <c r="AV757" s="275"/>
      <c r="AW757" s="275"/>
      <c r="AX757" s="275"/>
      <c r="AY757" s="275"/>
      <c r="AZ757" s="275"/>
      <c r="BA757" s="275"/>
      <c r="BB757" s="275"/>
      <c r="BC757" s="275"/>
      <c r="BD757" s="275"/>
      <c r="BE757" s="275"/>
      <c r="BF757" s="275"/>
      <c r="BG757" s="275"/>
      <c r="BH757" s="275"/>
      <c r="BI757" s="275"/>
      <c r="BJ757" s="275"/>
      <c r="BK757" s="275"/>
      <c r="BL757" s="275"/>
      <c r="BM757" s="275"/>
      <c r="BN757" s="275"/>
      <c r="BO757" s="275"/>
      <c r="BP757" s="275"/>
      <c r="BQ757" s="275"/>
      <c r="BR757" s="275"/>
      <c r="BS757" s="275"/>
      <c r="BT757" s="275"/>
      <c r="BU757" s="275"/>
      <c r="BV757" s="275"/>
      <c r="BW757" s="275"/>
      <c r="BX757" s="275"/>
      <c r="BY757" s="275"/>
      <c r="BZ757" s="275"/>
      <c r="CA757" s="275"/>
      <c r="CB757" s="275"/>
      <c r="CC757" s="275"/>
      <c r="CD757" s="275"/>
      <c r="CE757" s="275"/>
    </row>
    <row r="758" spans="1:83" ht="12.6" customHeight="1" x14ac:dyDescent="0.25">
      <c r="A758" s="209" t="str">
        <f>RIGHT($C$83,3)&amp;"*"&amp;RIGHT($C$82,4)&amp;"*"&amp;AA$55&amp;"*"&amp;"A"</f>
        <v>032*2017*7160*A</v>
      </c>
      <c r="B758" s="274">
        <f>ROUND(AA59,0)</f>
        <v>38200</v>
      </c>
      <c r="C758" s="276">
        <f>ROUND(AA60,2)</f>
        <v>7.8</v>
      </c>
      <c r="D758" s="274">
        <f>ROUND(AA61,0)</f>
        <v>527352</v>
      </c>
      <c r="E758" s="274">
        <f>ROUND(AA62,0)</f>
        <v>140747</v>
      </c>
      <c r="F758" s="274">
        <f>ROUND(AA63,0)</f>
        <v>0</v>
      </c>
      <c r="G758" s="274">
        <f>ROUND(AA64,0)</f>
        <v>673208</v>
      </c>
      <c r="H758" s="274">
        <f>ROUND(AA65,0)</f>
        <v>0</v>
      </c>
      <c r="I758" s="274">
        <f>ROUND(AA66,0)</f>
        <v>108120</v>
      </c>
      <c r="J758" s="274">
        <f>ROUND(AA67,0)</f>
        <v>14997</v>
      </c>
      <c r="K758" s="274">
        <f>ROUND(AA68,0)</f>
        <v>-11399</v>
      </c>
      <c r="L758" s="274">
        <f>ROUND(AA69,0)</f>
        <v>4744</v>
      </c>
      <c r="M758" s="274">
        <f>ROUND(AA70,0)</f>
        <v>0</v>
      </c>
      <c r="N758" s="274">
        <f>ROUND(AA75,0)</f>
        <v>18501179</v>
      </c>
      <c r="O758" s="274">
        <f>ROUND(AA73,0)</f>
        <v>3279016</v>
      </c>
      <c r="P758" s="274">
        <f>IF(AA76&gt;0,ROUND(AA76,0),0)</f>
        <v>0</v>
      </c>
      <c r="Q758" s="274">
        <f>IF(AA77&gt;0,ROUND(AA77,0),0)</f>
        <v>0</v>
      </c>
      <c r="R758" s="274">
        <f>IF(AA78&gt;0,ROUND(AA78,0),0)</f>
        <v>0</v>
      </c>
      <c r="S758" s="274">
        <f>IF(AA79&gt;0,ROUND(AA79,0),0)</f>
        <v>13525</v>
      </c>
      <c r="T758" s="276">
        <f>IF(AA80&gt;0,ROUND(AA80,2),0)</f>
        <v>0</v>
      </c>
      <c r="U758" s="274"/>
      <c r="V758" s="275"/>
      <c r="W758" s="274"/>
      <c r="X758" s="274"/>
      <c r="Y758" s="274">
        <f t="shared" si="21"/>
        <v>751152</v>
      </c>
      <c r="Z758" s="275"/>
      <c r="AA758" s="275"/>
      <c r="AB758" s="275"/>
      <c r="AC758" s="275"/>
      <c r="AD758" s="275"/>
      <c r="AE758" s="275"/>
      <c r="AF758" s="275"/>
      <c r="AG758" s="275"/>
      <c r="AH758" s="275"/>
      <c r="AI758" s="275"/>
      <c r="AJ758" s="275"/>
      <c r="AK758" s="275"/>
      <c r="AL758" s="275"/>
      <c r="AM758" s="275"/>
      <c r="AN758" s="275"/>
      <c r="AO758" s="275"/>
      <c r="AP758" s="275"/>
      <c r="AQ758" s="275"/>
      <c r="AR758" s="275"/>
      <c r="AS758" s="275"/>
      <c r="AT758" s="275"/>
      <c r="AU758" s="275"/>
      <c r="AV758" s="275"/>
      <c r="AW758" s="275"/>
      <c r="AX758" s="275"/>
      <c r="AY758" s="275"/>
      <c r="AZ758" s="275"/>
      <c r="BA758" s="275"/>
      <c r="BB758" s="275"/>
      <c r="BC758" s="275"/>
      <c r="BD758" s="275"/>
      <c r="BE758" s="275"/>
      <c r="BF758" s="275"/>
      <c r="BG758" s="275"/>
      <c r="BH758" s="275"/>
      <c r="BI758" s="275"/>
      <c r="BJ758" s="275"/>
      <c r="BK758" s="275"/>
      <c r="BL758" s="275"/>
      <c r="BM758" s="275"/>
      <c r="BN758" s="275"/>
      <c r="BO758" s="275"/>
      <c r="BP758" s="275"/>
      <c r="BQ758" s="275"/>
      <c r="BR758" s="275"/>
      <c r="BS758" s="275"/>
      <c r="BT758" s="275"/>
      <c r="BU758" s="275"/>
      <c r="BV758" s="275"/>
      <c r="BW758" s="275"/>
      <c r="BX758" s="275"/>
      <c r="BY758" s="275"/>
      <c r="BZ758" s="275"/>
      <c r="CA758" s="275"/>
      <c r="CB758" s="275"/>
      <c r="CC758" s="275"/>
      <c r="CD758" s="275"/>
      <c r="CE758" s="275"/>
    </row>
    <row r="759" spans="1:83" ht="12.6" customHeight="1" x14ac:dyDescent="0.25">
      <c r="A759" s="209" t="str">
        <f>RIGHT($C$83,3)&amp;"*"&amp;RIGHT($C$82,4)&amp;"*"&amp;AB$55&amp;"*"&amp;"A"</f>
        <v>032*2017*7170*A</v>
      </c>
      <c r="B759" s="274"/>
      <c r="C759" s="276">
        <f>ROUND(AB60,2)</f>
        <v>24.79</v>
      </c>
      <c r="D759" s="274">
        <f>ROUND(AB61,0)</f>
        <v>8786533</v>
      </c>
      <c r="E759" s="274">
        <f>ROUND(AB62,0)</f>
        <v>2367207</v>
      </c>
      <c r="F759" s="274">
        <f>ROUND(AB63,0)</f>
        <v>15762</v>
      </c>
      <c r="G759" s="274">
        <f>ROUND(AB64,0)</f>
        <v>16201661</v>
      </c>
      <c r="H759" s="274">
        <f>ROUND(AB65,0)</f>
        <v>7375</v>
      </c>
      <c r="I759" s="274">
        <f>ROUND(AB66,0)</f>
        <v>1535327</v>
      </c>
      <c r="J759" s="274">
        <f>ROUND(AB67,0)</f>
        <v>763381</v>
      </c>
      <c r="K759" s="274">
        <f>ROUND(AB68,0)</f>
        <v>72123</v>
      </c>
      <c r="L759" s="274">
        <f>ROUND(AB69,0)</f>
        <v>3871498</v>
      </c>
      <c r="M759" s="274">
        <f>ROUND(AB70,0)</f>
        <v>5258783</v>
      </c>
      <c r="N759" s="274">
        <f>ROUND(AB75,0)</f>
        <v>371061283</v>
      </c>
      <c r="O759" s="274">
        <f>ROUND(AB73,0)</f>
        <v>253942526</v>
      </c>
      <c r="P759" s="274">
        <f>IF(AB76&gt;0,ROUND(AB76,0),0)</f>
        <v>19190</v>
      </c>
      <c r="Q759" s="274">
        <f>IF(AB77&gt;0,ROUND(AB77,0),0)</f>
        <v>0</v>
      </c>
      <c r="R759" s="274">
        <f>IF(AB78&gt;0,ROUND(AB78,0),0)</f>
        <v>8044</v>
      </c>
      <c r="S759" s="274">
        <f>IF(AB79&gt;0,ROUND(AB79,0),0)</f>
        <v>0</v>
      </c>
      <c r="T759" s="276">
        <f>IF(AB80&gt;0,ROUND(AB80,2),0)</f>
        <v>3.58</v>
      </c>
      <c r="U759" s="274"/>
      <c r="V759" s="275"/>
      <c r="W759" s="274"/>
      <c r="X759" s="274"/>
      <c r="Y759" s="274">
        <f t="shared" si="21"/>
        <v>16228755</v>
      </c>
      <c r="Z759" s="275"/>
      <c r="AA759" s="275"/>
      <c r="AB759" s="275"/>
      <c r="AC759" s="275"/>
      <c r="AD759" s="275"/>
      <c r="AE759" s="275"/>
      <c r="AF759" s="275"/>
      <c r="AG759" s="275"/>
      <c r="AH759" s="275"/>
      <c r="AI759" s="275"/>
      <c r="AJ759" s="275"/>
      <c r="AK759" s="275"/>
      <c r="AL759" s="275"/>
      <c r="AM759" s="275"/>
      <c r="AN759" s="275"/>
      <c r="AO759" s="275"/>
      <c r="AP759" s="275"/>
      <c r="AQ759" s="275"/>
      <c r="AR759" s="275"/>
      <c r="AS759" s="275"/>
      <c r="AT759" s="275"/>
      <c r="AU759" s="275"/>
      <c r="AV759" s="275"/>
      <c r="AW759" s="275"/>
      <c r="AX759" s="275"/>
      <c r="AY759" s="275"/>
      <c r="AZ759" s="275"/>
      <c r="BA759" s="275"/>
      <c r="BB759" s="275"/>
      <c r="BC759" s="275"/>
      <c r="BD759" s="275"/>
      <c r="BE759" s="275"/>
      <c r="BF759" s="275"/>
      <c r="BG759" s="275"/>
      <c r="BH759" s="275"/>
      <c r="BI759" s="275"/>
      <c r="BJ759" s="275"/>
      <c r="BK759" s="275"/>
      <c r="BL759" s="275"/>
      <c r="BM759" s="275"/>
      <c r="BN759" s="275"/>
      <c r="BO759" s="275"/>
      <c r="BP759" s="275"/>
      <c r="BQ759" s="275"/>
      <c r="BR759" s="275"/>
      <c r="BS759" s="275"/>
      <c r="BT759" s="275"/>
      <c r="BU759" s="275"/>
      <c r="BV759" s="275"/>
      <c r="BW759" s="275"/>
      <c r="BX759" s="275"/>
      <c r="BY759" s="275"/>
      <c r="BZ759" s="275"/>
      <c r="CA759" s="275"/>
      <c r="CB759" s="275"/>
      <c r="CC759" s="275"/>
      <c r="CD759" s="275"/>
      <c r="CE759" s="275"/>
    </row>
    <row r="760" spans="1:83" ht="12.6" customHeight="1" x14ac:dyDescent="0.25">
      <c r="A760" s="209" t="str">
        <f>RIGHT($C$83,3)&amp;"*"&amp;RIGHT($C$82,4)&amp;"*"&amp;AC$55&amp;"*"&amp;"A"</f>
        <v>032*2017*7180*A</v>
      </c>
      <c r="B760" s="274">
        <f>ROUND(AC59,0)</f>
        <v>135774</v>
      </c>
      <c r="C760" s="276">
        <f>ROUND(AC60,2)</f>
        <v>64.36</v>
      </c>
      <c r="D760" s="274">
        <f>ROUND(AC61,0)</f>
        <v>2285534</v>
      </c>
      <c r="E760" s="274">
        <f>ROUND(AC62,0)</f>
        <v>672360</v>
      </c>
      <c r="F760" s="274">
        <f>ROUND(AC63,0)</f>
        <v>23863</v>
      </c>
      <c r="G760" s="274">
        <f>ROUND(AC64,0)</f>
        <v>707226</v>
      </c>
      <c r="H760" s="274">
        <f>ROUND(AC65,0)</f>
        <v>985</v>
      </c>
      <c r="I760" s="274">
        <f>ROUND(AC66,0)</f>
        <v>24240</v>
      </c>
      <c r="J760" s="274">
        <f>ROUND(AC67,0)</f>
        <v>150293</v>
      </c>
      <c r="K760" s="274">
        <f>ROUND(AC68,0)</f>
        <v>80425</v>
      </c>
      <c r="L760" s="274">
        <f>ROUND(AC69,0)</f>
        <v>60</v>
      </c>
      <c r="M760" s="274">
        <f>ROUND(AC70,0)</f>
        <v>0</v>
      </c>
      <c r="N760" s="274">
        <f>ROUND(AC75,0)</f>
        <v>54501137</v>
      </c>
      <c r="O760" s="274">
        <f>ROUND(AC73,0)</f>
        <v>46807788</v>
      </c>
      <c r="P760" s="274">
        <f>IF(AC76&gt;0,ROUND(AC76,0),0)</f>
        <v>981</v>
      </c>
      <c r="Q760" s="274">
        <f>IF(AC77&gt;0,ROUND(AC77,0),0)</f>
        <v>0</v>
      </c>
      <c r="R760" s="274">
        <f>IF(AC78&gt;0,ROUND(AC78,0),0)</f>
        <v>411</v>
      </c>
      <c r="S760" s="274">
        <f>IF(AC79&gt;0,ROUND(AC79,0),0)</f>
        <v>0</v>
      </c>
      <c r="T760" s="276">
        <f>IF(AC80&gt;0,ROUND(AC80,2),0)</f>
        <v>0</v>
      </c>
      <c r="U760" s="274"/>
      <c r="V760" s="275"/>
      <c r="W760" s="274"/>
      <c r="X760" s="274"/>
      <c r="Y760" s="274">
        <f t="shared" si="21"/>
        <v>2541826</v>
      </c>
      <c r="Z760" s="275"/>
      <c r="AA760" s="275"/>
      <c r="AB760" s="275"/>
      <c r="AC760" s="275"/>
      <c r="AD760" s="275"/>
      <c r="AE760" s="275"/>
      <c r="AF760" s="275"/>
      <c r="AG760" s="275"/>
      <c r="AH760" s="275"/>
      <c r="AI760" s="275"/>
      <c r="AJ760" s="275"/>
      <c r="AK760" s="275"/>
      <c r="AL760" s="275"/>
      <c r="AM760" s="275"/>
      <c r="AN760" s="275"/>
      <c r="AO760" s="275"/>
      <c r="AP760" s="275"/>
      <c r="AQ760" s="275"/>
      <c r="AR760" s="275"/>
      <c r="AS760" s="275"/>
      <c r="AT760" s="275"/>
      <c r="AU760" s="275"/>
      <c r="AV760" s="275"/>
      <c r="AW760" s="275"/>
      <c r="AX760" s="275"/>
      <c r="AY760" s="275"/>
      <c r="AZ760" s="275"/>
      <c r="BA760" s="275"/>
      <c r="BB760" s="275"/>
      <c r="BC760" s="275"/>
      <c r="BD760" s="275"/>
      <c r="BE760" s="275"/>
      <c r="BF760" s="275"/>
      <c r="BG760" s="275"/>
      <c r="BH760" s="275"/>
      <c r="BI760" s="275"/>
      <c r="BJ760" s="275"/>
      <c r="BK760" s="275"/>
      <c r="BL760" s="275"/>
      <c r="BM760" s="275"/>
      <c r="BN760" s="275"/>
      <c r="BO760" s="275"/>
      <c r="BP760" s="275"/>
      <c r="BQ760" s="275"/>
      <c r="BR760" s="275"/>
      <c r="BS760" s="275"/>
      <c r="BT760" s="275"/>
      <c r="BU760" s="275"/>
      <c r="BV760" s="275"/>
      <c r="BW760" s="275"/>
      <c r="BX760" s="275"/>
      <c r="BY760" s="275"/>
      <c r="BZ760" s="275"/>
      <c r="CA760" s="275"/>
      <c r="CB760" s="275"/>
      <c r="CC760" s="275"/>
      <c r="CD760" s="275"/>
      <c r="CE760" s="275"/>
    </row>
    <row r="761" spans="1:83" ht="12.6" customHeight="1" x14ac:dyDescent="0.25">
      <c r="A761" s="209" t="str">
        <f>RIGHT($C$83,3)&amp;"*"&amp;RIGHT($C$82,4)&amp;"*"&amp;AD$55&amp;"*"&amp;"A"</f>
        <v>032*2017*7190*A</v>
      </c>
      <c r="B761" s="274">
        <f>ROUND(AD59,0)</f>
        <v>0</v>
      </c>
      <c r="C761" s="276">
        <f>ROUND(AD60,2)</f>
        <v>32.69</v>
      </c>
      <c r="D761" s="274">
        <f>ROUND(AD61,0)</f>
        <v>6599567</v>
      </c>
      <c r="E761" s="274">
        <f>ROUND(AD62,0)</f>
        <v>1554614</v>
      </c>
      <c r="F761" s="274">
        <f>ROUND(AD63,0)</f>
        <v>113261</v>
      </c>
      <c r="G761" s="274">
        <f>ROUND(AD64,0)</f>
        <v>1361336</v>
      </c>
      <c r="H761" s="274">
        <f>ROUND(AD65,0)</f>
        <v>77013</v>
      </c>
      <c r="I761" s="274">
        <f>ROUND(AD66,0)</f>
        <v>1149678</v>
      </c>
      <c r="J761" s="274">
        <f>ROUND(AD67,0)</f>
        <v>815516</v>
      </c>
      <c r="K761" s="274">
        <f>ROUND(AD68,0)</f>
        <v>169042</v>
      </c>
      <c r="L761" s="274">
        <f>ROUND(AD69,0)</f>
        <v>426944</v>
      </c>
      <c r="M761" s="274">
        <f>ROUND(AD70,0)</f>
        <v>2819873</v>
      </c>
      <c r="N761" s="274">
        <f>ROUND(AD75,0)</f>
        <v>73771032</v>
      </c>
      <c r="O761" s="274">
        <f>ROUND(AD73,0)</f>
        <v>9924793</v>
      </c>
      <c r="P761" s="274">
        <f>IF(AD76&gt;0,ROUND(AD76,0),0)</f>
        <v>40223</v>
      </c>
      <c r="Q761" s="274">
        <f>IF(AD77&gt;0,ROUND(AD77,0),0)</f>
        <v>0</v>
      </c>
      <c r="R761" s="274">
        <f>IF(AD78&gt;0,ROUND(AD78,0),0)</f>
        <v>16860</v>
      </c>
      <c r="S761" s="274">
        <f>IF(AD79&gt;0,ROUND(AD79,0),0)</f>
        <v>55840</v>
      </c>
      <c r="T761" s="276">
        <f>IF(AD80&gt;0,ROUND(AD80,2),0)</f>
        <v>20.75</v>
      </c>
      <c r="U761" s="274"/>
      <c r="V761" s="275"/>
      <c r="W761" s="274"/>
      <c r="X761" s="274"/>
      <c r="Y761" s="274">
        <f t="shared" si="21"/>
        <v>9270049</v>
      </c>
      <c r="Z761" s="275"/>
      <c r="AA761" s="275"/>
      <c r="AB761" s="275"/>
      <c r="AC761" s="275"/>
      <c r="AD761" s="275"/>
      <c r="AE761" s="275"/>
      <c r="AF761" s="275"/>
      <c r="AG761" s="275"/>
      <c r="AH761" s="275"/>
      <c r="AI761" s="275"/>
      <c r="AJ761" s="275"/>
      <c r="AK761" s="275"/>
      <c r="AL761" s="275"/>
      <c r="AM761" s="275"/>
      <c r="AN761" s="275"/>
      <c r="AO761" s="275"/>
      <c r="AP761" s="275"/>
      <c r="AQ761" s="275"/>
      <c r="AR761" s="275"/>
      <c r="AS761" s="275"/>
      <c r="AT761" s="275"/>
      <c r="AU761" s="275"/>
      <c r="AV761" s="275"/>
      <c r="AW761" s="275"/>
      <c r="AX761" s="275"/>
      <c r="AY761" s="275"/>
      <c r="AZ761" s="275"/>
      <c r="BA761" s="275"/>
      <c r="BB761" s="275"/>
      <c r="BC761" s="275"/>
      <c r="BD761" s="275"/>
      <c r="BE761" s="275"/>
      <c r="BF761" s="275"/>
      <c r="BG761" s="275"/>
      <c r="BH761" s="275"/>
      <c r="BI761" s="275"/>
      <c r="BJ761" s="275"/>
      <c r="BK761" s="275"/>
      <c r="BL761" s="275"/>
      <c r="BM761" s="275"/>
      <c r="BN761" s="275"/>
      <c r="BO761" s="275"/>
      <c r="BP761" s="275"/>
      <c r="BQ761" s="275"/>
      <c r="BR761" s="275"/>
      <c r="BS761" s="275"/>
      <c r="BT761" s="275"/>
      <c r="BU761" s="275"/>
      <c r="BV761" s="275"/>
      <c r="BW761" s="275"/>
      <c r="BX761" s="275"/>
      <c r="BY761" s="275"/>
      <c r="BZ761" s="275"/>
      <c r="CA761" s="275"/>
      <c r="CB761" s="275"/>
      <c r="CC761" s="275"/>
      <c r="CD761" s="275"/>
      <c r="CE761" s="275"/>
    </row>
    <row r="762" spans="1:83" ht="12.6" customHeight="1" x14ac:dyDescent="0.25">
      <c r="A762" s="209" t="str">
        <f>RIGHT($C$83,3)&amp;"*"&amp;RIGHT($C$82,4)&amp;"*"&amp;AE$55&amp;"*"&amp;"A"</f>
        <v>032*2017*7200*A</v>
      </c>
      <c r="B762" s="274">
        <f>ROUND(AE59,0)</f>
        <v>177994</v>
      </c>
      <c r="C762" s="276">
        <f>ROUND(AE60,2)</f>
        <v>26.41</v>
      </c>
      <c r="D762" s="274">
        <f>ROUND(AE61,0)</f>
        <v>3869777</v>
      </c>
      <c r="E762" s="274">
        <f>ROUND(AE62,0)</f>
        <v>1043448</v>
      </c>
      <c r="F762" s="274">
        <f>ROUND(AE63,0)</f>
        <v>0</v>
      </c>
      <c r="G762" s="274">
        <f>ROUND(AE64,0)</f>
        <v>67261</v>
      </c>
      <c r="H762" s="274">
        <f>ROUND(AE65,0)</f>
        <v>2149</v>
      </c>
      <c r="I762" s="274">
        <f>ROUND(AE66,0)</f>
        <v>197033</v>
      </c>
      <c r="J762" s="274">
        <f>ROUND(AE67,0)</f>
        <v>177273</v>
      </c>
      <c r="K762" s="274">
        <f>ROUND(AE68,0)</f>
        <v>198287</v>
      </c>
      <c r="L762" s="274">
        <f>ROUND(AE69,0)</f>
        <v>14455</v>
      </c>
      <c r="M762" s="274">
        <f>ROUND(AE70,0)</f>
        <v>1345</v>
      </c>
      <c r="N762" s="274">
        <f>ROUND(AE75,0)</f>
        <v>27048461</v>
      </c>
      <c r="O762" s="274">
        <f>ROUND(AE73,0)</f>
        <v>11825436</v>
      </c>
      <c r="P762" s="274">
        <f>IF(AE76&gt;0,ROUND(AE76,0),0)</f>
        <v>12994</v>
      </c>
      <c r="Q762" s="274">
        <f>IF(AE77&gt;0,ROUND(AE77,0),0)</f>
        <v>0</v>
      </c>
      <c r="R762" s="274">
        <f>IF(AE78&gt;0,ROUND(AE78,0),0)</f>
        <v>5447</v>
      </c>
      <c r="S762" s="274">
        <f>IF(AE79&gt;0,ROUND(AE79,0),0)</f>
        <v>0</v>
      </c>
      <c r="T762" s="276">
        <f>IF(AE80&gt;0,ROUND(AE80,2),0)</f>
        <v>0</v>
      </c>
      <c r="U762" s="274"/>
      <c r="V762" s="275"/>
      <c r="W762" s="274"/>
      <c r="X762" s="274"/>
      <c r="Y762" s="274">
        <f t="shared" si="21"/>
        <v>3800418</v>
      </c>
      <c r="Z762" s="275"/>
      <c r="AA762" s="275"/>
      <c r="AB762" s="275"/>
      <c r="AC762" s="275"/>
      <c r="AD762" s="275"/>
      <c r="AE762" s="275"/>
      <c r="AF762" s="275"/>
      <c r="AG762" s="275"/>
      <c r="AH762" s="275"/>
      <c r="AI762" s="275"/>
      <c r="AJ762" s="275"/>
      <c r="AK762" s="275"/>
      <c r="AL762" s="275"/>
      <c r="AM762" s="275"/>
      <c r="AN762" s="275"/>
      <c r="AO762" s="275"/>
      <c r="AP762" s="275"/>
      <c r="AQ762" s="275"/>
      <c r="AR762" s="275"/>
      <c r="AS762" s="275"/>
      <c r="AT762" s="275"/>
      <c r="AU762" s="275"/>
      <c r="AV762" s="275"/>
      <c r="AW762" s="275"/>
      <c r="AX762" s="275"/>
      <c r="AY762" s="275"/>
      <c r="AZ762" s="275"/>
      <c r="BA762" s="275"/>
      <c r="BB762" s="275"/>
      <c r="BC762" s="275"/>
      <c r="BD762" s="275"/>
      <c r="BE762" s="275"/>
      <c r="BF762" s="275"/>
      <c r="BG762" s="275"/>
      <c r="BH762" s="275"/>
      <c r="BI762" s="275"/>
      <c r="BJ762" s="275"/>
      <c r="BK762" s="275"/>
      <c r="BL762" s="275"/>
      <c r="BM762" s="275"/>
      <c r="BN762" s="275"/>
      <c r="BO762" s="275"/>
      <c r="BP762" s="275"/>
      <c r="BQ762" s="275"/>
      <c r="BR762" s="275"/>
      <c r="BS762" s="275"/>
      <c r="BT762" s="275"/>
      <c r="BU762" s="275"/>
      <c r="BV762" s="275"/>
      <c r="BW762" s="275"/>
      <c r="BX762" s="275"/>
      <c r="BY762" s="275"/>
      <c r="BZ762" s="275"/>
      <c r="CA762" s="275"/>
      <c r="CB762" s="275"/>
      <c r="CC762" s="275"/>
      <c r="CD762" s="275"/>
      <c r="CE762" s="275"/>
    </row>
    <row r="763" spans="1:83" ht="12.6" customHeight="1" x14ac:dyDescent="0.25">
      <c r="A763" s="209" t="str">
        <f>RIGHT($C$83,3)&amp;"*"&amp;RIGHT($C$82,4)&amp;"*"&amp;AF$55&amp;"*"&amp;"A"</f>
        <v>032*2017*7220*A</v>
      </c>
      <c r="B763" s="274">
        <f>ROUND(AF59,0)</f>
        <v>0</v>
      </c>
      <c r="C763" s="276">
        <f>ROUND(AF60,2)</f>
        <v>0</v>
      </c>
      <c r="D763" s="274">
        <f>ROUND(AF61,0)</f>
        <v>0</v>
      </c>
      <c r="E763" s="274">
        <f>ROUND(AF62,0)</f>
        <v>0</v>
      </c>
      <c r="F763" s="274">
        <f>ROUND(AF63,0)</f>
        <v>0</v>
      </c>
      <c r="G763" s="274">
        <f>ROUND(AF64,0)</f>
        <v>0</v>
      </c>
      <c r="H763" s="274">
        <f>ROUND(AF65,0)</f>
        <v>0</v>
      </c>
      <c r="I763" s="274">
        <f>ROUND(AF66,0)</f>
        <v>0</v>
      </c>
      <c r="J763" s="274">
        <f>ROUND(AF67,0)</f>
        <v>0</v>
      </c>
      <c r="K763" s="274">
        <f>ROUND(AF68,0)</f>
        <v>0</v>
      </c>
      <c r="L763" s="274">
        <f>ROUND(AF69,0)</f>
        <v>0</v>
      </c>
      <c r="M763" s="274">
        <f>ROUND(AF70,0)</f>
        <v>0</v>
      </c>
      <c r="N763" s="274">
        <f>ROUND(AF75,0)</f>
        <v>0</v>
      </c>
      <c r="O763" s="274">
        <f>ROUND(AF73,0)</f>
        <v>0</v>
      </c>
      <c r="P763" s="274">
        <f>IF(AF76&gt;0,ROUND(AF76,0),0)</f>
        <v>0</v>
      </c>
      <c r="Q763" s="274">
        <f>IF(AF77&gt;0,ROUND(AF77,0),0)</f>
        <v>0</v>
      </c>
      <c r="R763" s="274">
        <f>IF(AF78&gt;0,ROUND(AF78,0),0)</f>
        <v>0</v>
      </c>
      <c r="S763" s="274">
        <f>IF(AF79&gt;0,ROUND(AF79,0),0)</f>
        <v>0</v>
      </c>
      <c r="T763" s="276">
        <f>IF(AF80&gt;0,ROUND(AF80,2),0)</f>
        <v>0</v>
      </c>
      <c r="U763" s="274"/>
      <c r="V763" s="275"/>
      <c r="W763" s="274"/>
      <c r="X763" s="274"/>
      <c r="Y763" s="274">
        <f t="shared" si="21"/>
        <v>0</v>
      </c>
      <c r="Z763" s="275"/>
      <c r="AA763" s="275"/>
      <c r="AB763" s="275"/>
      <c r="AC763" s="275"/>
      <c r="AD763" s="275"/>
      <c r="AE763" s="275"/>
      <c r="AF763" s="275"/>
      <c r="AG763" s="275"/>
      <c r="AH763" s="275"/>
      <c r="AI763" s="275"/>
      <c r="AJ763" s="275"/>
      <c r="AK763" s="275"/>
      <c r="AL763" s="275"/>
      <c r="AM763" s="275"/>
      <c r="AN763" s="275"/>
      <c r="AO763" s="275"/>
      <c r="AP763" s="275"/>
      <c r="AQ763" s="275"/>
      <c r="AR763" s="275"/>
      <c r="AS763" s="275"/>
      <c r="AT763" s="275"/>
      <c r="AU763" s="275"/>
      <c r="AV763" s="275"/>
      <c r="AW763" s="275"/>
      <c r="AX763" s="275"/>
      <c r="AY763" s="275"/>
      <c r="AZ763" s="275"/>
      <c r="BA763" s="275"/>
      <c r="BB763" s="275"/>
      <c r="BC763" s="275"/>
      <c r="BD763" s="275"/>
      <c r="BE763" s="275"/>
      <c r="BF763" s="275"/>
      <c r="BG763" s="275"/>
      <c r="BH763" s="275"/>
      <c r="BI763" s="275"/>
      <c r="BJ763" s="275"/>
      <c r="BK763" s="275"/>
      <c r="BL763" s="275"/>
      <c r="BM763" s="275"/>
      <c r="BN763" s="275"/>
      <c r="BO763" s="275"/>
      <c r="BP763" s="275"/>
      <c r="BQ763" s="275"/>
      <c r="BR763" s="275"/>
      <c r="BS763" s="275"/>
      <c r="BT763" s="275"/>
      <c r="BU763" s="275"/>
      <c r="BV763" s="275"/>
      <c r="BW763" s="275"/>
      <c r="BX763" s="275"/>
      <c r="BY763" s="275"/>
      <c r="BZ763" s="275"/>
      <c r="CA763" s="275"/>
      <c r="CB763" s="275"/>
      <c r="CC763" s="275"/>
      <c r="CD763" s="275"/>
      <c r="CE763" s="275"/>
    </row>
    <row r="764" spans="1:83" ht="12.6" customHeight="1" x14ac:dyDescent="0.25">
      <c r="A764" s="209" t="str">
        <f>RIGHT($C$83,3)&amp;"*"&amp;RIGHT($C$82,4)&amp;"*"&amp;AG$55&amp;"*"&amp;"A"</f>
        <v>032*2017*7230*A</v>
      </c>
      <c r="B764" s="274">
        <f>ROUND(AG59,0)</f>
        <v>53547</v>
      </c>
      <c r="C764" s="276">
        <f>ROUND(AG60,2)</f>
        <v>89.35</v>
      </c>
      <c r="D764" s="274">
        <f>ROUND(AG61,0)</f>
        <v>7005312</v>
      </c>
      <c r="E764" s="274">
        <f>ROUND(AG62,0)</f>
        <v>2087196</v>
      </c>
      <c r="F764" s="274">
        <f>ROUND(AG63,0)</f>
        <v>5575322</v>
      </c>
      <c r="G764" s="274">
        <f>ROUND(AG64,0)</f>
        <v>1765256</v>
      </c>
      <c r="H764" s="274">
        <f>ROUND(AG65,0)</f>
        <v>2710</v>
      </c>
      <c r="I764" s="274">
        <f>ROUND(AG66,0)</f>
        <v>2038482</v>
      </c>
      <c r="J764" s="274">
        <f>ROUND(AG67,0)</f>
        <v>441515</v>
      </c>
      <c r="K764" s="274">
        <f>ROUND(AG68,0)</f>
        <v>25288</v>
      </c>
      <c r="L764" s="274">
        <f>ROUND(AG69,0)</f>
        <v>92503</v>
      </c>
      <c r="M764" s="274">
        <f>ROUND(AG70,0)</f>
        <v>2750</v>
      </c>
      <c r="N764" s="274">
        <f>ROUND(AG75,0)</f>
        <v>159105810</v>
      </c>
      <c r="O764" s="274">
        <f>ROUND(AG73,0)</f>
        <v>55571658</v>
      </c>
      <c r="P764" s="274">
        <f>IF(AG76&gt;0,ROUND(AG76,0),0)</f>
        <v>20182</v>
      </c>
      <c r="Q764" s="274">
        <f>IF(AG77&gt;0,ROUND(AG77,0),0)</f>
        <v>0</v>
      </c>
      <c r="R764" s="274">
        <f>IF(AG78&gt;0,ROUND(AG78,0),0)</f>
        <v>8460</v>
      </c>
      <c r="S764" s="274">
        <f>IF(AG79&gt;0,ROUND(AG79,0),0)</f>
        <v>297833</v>
      </c>
      <c r="T764" s="276">
        <f>IF(AG80&gt;0,ROUND(AG80,2),0)</f>
        <v>51.51</v>
      </c>
      <c r="U764" s="274"/>
      <c r="V764" s="275"/>
      <c r="W764" s="274"/>
      <c r="X764" s="274"/>
      <c r="Y764" s="274">
        <f t="shared" si="21"/>
        <v>11423982</v>
      </c>
      <c r="Z764" s="275"/>
      <c r="AA764" s="275"/>
      <c r="AB764" s="275"/>
      <c r="AC764" s="275"/>
      <c r="AD764" s="275"/>
      <c r="AE764" s="275"/>
      <c r="AF764" s="275"/>
      <c r="AG764" s="275"/>
      <c r="AH764" s="275"/>
      <c r="AI764" s="275"/>
      <c r="AJ764" s="275"/>
      <c r="AK764" s="275"/>
      <c r="AL764" s="275"/>
      <c r="AM764" s="275"/>
      <c r="AN764" s="275"/>
      <c r="AO764" s="275"/>
      <c r="AP764" s="275"/>
      <c r="AQ764" s="275"/>
      <c r="AR764" s="275"/>
      <c r="AS764" s="275"/>
      <c r="AT764" s="275"/>
      <c r="AU764" s="275"/>
      <c r="AV764" s="275"/>
      <c r="AW764" s="275"/>
      <c r="AX764" s="275"/>
      <c r="AY764" s="275"/>
      <c r="AZ764" s="275"/>
      <c r="BA764" s="275"/>
      <c r="BB764" s="275"/>
      <c r="BC764" s="275"/>
      <c r="BD764" s="275"/>
      <c r="BE764" s="275"/>
      <c r="BF764" s="275"/>
      <c r="BG764" s="275"/>
      <c r="BH764" s="275"/>
      <c r="BI764" s="275"/>
      <c r="BJ764" s="275"/>
      <c r="BK764" s="275"/>
      <c r="BL764" s="275"/>
      <c r="BM764" s="275"/>
      <c r="BN764" s="275"/>
      <c r="BO764" s="275"/>
      <c r="BP764" s="275"/>
      <c r="BQ764" s="275"/>
      <c r="BR764" s="275"/>
      <c r="BS764" s="275"/>
      <c r="BT764" s="275"/>
      <c r="BU764" s="275"/>
      <c r="BV764" s="275"/>
      <c r="BW764" s="275"/>
      <c r="BX764" s="275"/>
      <c r="BY764" s="275"/>
      <c r="BZ764" s="275"/>
      <c r="CA764" s="275"/>
      <c r="CB764" s="275"/>
      <c r="CC764" s="275"/>
      <c r="CD764" s="275"/>
      <c r="CE764" s="275"/>
    </row>
    <row r="765" spans="1:83" ht="12.6" customHeight="1" x14ac:dyDescent="0.25">
      <c r="A765" s="209" t="str">
        <f>RIGHT($C$83,3)&amp;"*"&amp;RIGHT($C$82,4)&amp;"*"&amp;AH$55&amp;"*"&amp;"A"</f>
        <v>032*2017*7240*A</v>
      </c>
      <c r="B765" s="274">
        <f>ROUND(AH59,0)</f>
        <v>0</v>
      </c>
      <c r="C765" s="276">
        <f>ROUND(AH60,2)</f>
        <v>0</v>
      </c>
      <c r="D765" s="274">
        <f>ROUND(AH61,0)</f>
        <v>0</v>
      </c>
      <c r="E765" s="274">
        <f>ROUND(AH62,0)</f>
        <v>0</v>
      </c>
      <c r="F765" s="274">
        <f>ROUND(AH63,0)</f>
        <v>0</v>
      </c>
      <c r="G765" s="274">
        <f>ROUND(AH64,0)</f>
        <v>0</v>
      </c>
      <c r="H765" s="274">
        <f>ROUND(AH65,0)</f>
        <v>0</v>
      </c>
      <c r="I765" s="274">
        <f>ROUND(AH66,0)</f>
        <v>0</v>
      </c>
      <c r="J765" s="274">
        <f>ROUND(AH67,0)</f>
        <v>0</v>
      </c>
      <c r="K765" s="274">
        <f>ROUND(AH68,0)</f>
        <v>0</v>
      </c>
      <c r="L765" s="274">
        <f>ROUND(AH69,0)</f>
        <v>0</v>
      </c>
      <c r="M765" s="274">
        <f>ROUND(AH70,0)</f>
        <v>0</v>
      </c>
      <c r="N765" s="274">
        <f>ROUND(AH75,0)</f>
        <v>0</v>
      </c>
      <c r="O765" s="274">
        <f>ROUND(AH73,0)</f>
        <v>0</v>
      </c>
      <c r="P765" s="274">
        <f>IF(AH76&gt;0,ROUND(AH76,0),0)</f>
        <v>0</v>
      </c>
      <c r="Q765" s="274">
        <f>IF(AH77&gt;0,ROUND(AH77,0),0)</f>
        <v>0</v>
      </c>
      <c r="R765" s="274">
        <f>IF(AH78&gt;0,ROUND(AH78,0),0)</f>
        <v>0</v>
      </c>
      <c r="S765" s="274">
        <f>IF(AH79&gt;0,ROUND(AH79,0),0)</f>
        <v>0</v>
      </c>
      <c r="T765" s="276">
        <f>IF(AH80&gt;0,ROUND(AH80,2),0)</f>
        <v>0</v>
      </c>
      <c r="U765" s="274"/>
      <c r="V765" s="275"/>
      <c r="W765" s="274"/>
      <c r="X765" s="274"/>
      <c r="Y765" s="274">
        <f t="shared" si="21"/>
        <v>0</v>
      </c>
      <c r="Z765" s="275"/>
      <c r="AA765" s="275"/>
      <c r="AB765" s="275"/>
      <c r="AC765" s="275"/>
      <c r="AD765" s="275"/>
      <c r="AE765" s="275"/>
      <c r="AF765" s="275"/>
      <c r="AG765" s="275"/>
      <c r="AH765" s="275"/>
      <c r="AI765" s="275"/>
      <c r="AJ765" s="275"/>
      <c r="AK765" s="275"/>
      <c r="AL765" s="275"/>
      <c r="AM765" s="275"/>
      <c r="AN765" s="275"/>
      <c r="AO765" s="275"/>
      <c r="AP765" s="275"/>
      <c r="AQ765" s="275"/>
      <c r="AR765" s="275"/>
      <c r="AS765" s="275"/>
      <c r="AT765" s="275"/>
      <c r="AU765" s="275"/>
      <c r="AV765" s="275"/>
      <c r="AW765" s="275"/>
      <c r="AX765" s="275"/>
      <c r="AY765" s="275"/>
      <c r="AZ765" s="275"/>
      <c r="BA765" s="275"/>
      <c r="BB765" s="275"/>
      <c r="BC765" s="275"/>
      <c r="BD765" s="275"/>
      <c r="BE765" s="275"/>
      <c r="BF765" s="275"/>
      <c r="BG765" s="275"/>
      <c r="BH765" s="275"/>
      <c r="BI765" s="275"/>
      <c r="BJ765" s="275"/>
      <c r="BK765" s="275"/>
      <c r="BL765" s="275"/>
      <c r="BM765" s="275"/>
      <c r="BN765" s="275"/>
      <c r="BO765" s="275"/>
      <c r="BP765" s="275"/>
      <c r="BQ765" s="275"/>
      <c r="BR765" s="275"/>
      <c r="BS765" s="275"/>
      <c r="BT765" s="275"/>
      <c r="BU765" s="275"/>
      <c r="BV765" s="275"/>
      <c r="BW765" s="275"/>
      <c r="BX765" s="275"/>
      <c r="BY765" s="275"/>
      <c r="BZ765" s="275"/>
      <c r="CA765" s="275"/>
      <c r="CB765" s="275"/>
      <c r="CC765" s="275"/>
      <c r="CD765" s="275"/>
      <c r="CE765" s="275"/>
    </row>
    <row r="766" spans="1:83" ht="12.6" customHeight="1" x14ac:dyDescent="0.25">
      <c r="A766" s="209" t="str">
        <f>RIGHT($C$83,3)&amp;"*"&amp;RIGHT($C$82,4)&amp;"*"&amp;AI$55&amp;"*"&amp;"A"</f>
        <v>032*2017*7250*A</v>
      </c>
      <c r="B766" s="274">
        <f>ROUND(AI59,0)</f>
        <v>15376</v>
      </c>
      <c r="C766" s="276">
        <f>ROUND(AI60,2)</f>
        <v>75.37</v>
      </c>
      <c r="D766" s="274">
        <f>ROUND(AI61,0)</f>
        <v>10906659</v>
      </c>
      <c r="E766" s="274">
        <f>ROUND(AI62,0)</f>
        <v>3259732</v>
      </c>
      <c r="F766" s="274">
        <f>ROUND(AI63,0)</f>
        <v>0</v>
      </c>
      <c r="G766" s="274">
        <f>ROUND(AI64,0)</f>
        <v>872366</v>
      </c>
      <c r="H766" s="274">
        <f>ROUND(AI65,0)</f>
        <v>2145</v>
      </c>
      <c r="I766" s="274">
        <f>ROUND(AI66,0)</f>
        <v>143845</v>
      </c>
      <c r="J766" s="274">
        <f>ROUND(AI67,0)</f>
        <v>30368</v>
      </c>
      <c r="K766" s="274">
        <f>ROUND(AI68,0)</f>
        <v>106594</v>
      </c>
      <c r="L766" s="274">
        <f>ROUND(AI69,0)</f>
        <v>23381</v>
      </c>
      <c r="M766" s="274">
        <f>ROUND(AI70,0)</f>
        <v>2000</v>
      </c>
      <c r="N766" s="274">
        <f>ROUND(AI75,0)</f>
        <v>81398267</v>
      </c>
      <c r="O766" s="274">
        <f>ROUND(AI73,0)</f>
        <v>44426652</v>
      </c>
      <c r="P766" s="274">
        <f>IF(AI76&gt;0,ROUND(AI76,0),0)</f>
        <v>0</v>
      </c>
      <c r="Q766" s="274">
        <f>IF(AI77&gt;0,ROUND(AI77,0),0)</f>
        <v>0</v>
      </c>
      <c r="R766" s="274">
        <f>IF(AI78&gt;0,ROUND(AI78,0),0)</f>
        <v>0</v>
      </c>
      <c r="S766" s="274">
        <f>IF(AI79&gt;0,ROUND(AI79,0),0)</f>
        <v>0</v>
      </c>
      <c r="T766" s="276">
        <f>IF(AI80&gt;0,ROUND(AI80,2),0)</f>
        <v>81.52</v>
      </c>
      <c r="U766" s="274"/>
      <c r="V766" s="275"/>
      <c r="W766" s="274"/>
      <c r="X766" s="274"/>
      <c r="Y766" s="274">
        <f t="shared" si="21"/>
        <v>6699942</v>
      </c>
      <c r="Z766" s="275"/>
      <c r="AA766" s="275"/>
      <c r="AB766" s="275"/>
      <c r="AC766" s="275"/>
      <c r="AD766" s="275"/>
      <c r="AE766" s="275"/>
      <c r="AF766" s="275"/>
      <c r="AG766" s="275"/>
      <c r="AH766" s="275"/>
      <c r="AI766" s="275"/>
      <c r="AJ766" s="275"/>
      <c r="AK766" s="275"/>
      <c r="AL766" s="275"/>
      <c r="AM766" s="275"/>
      <c r="AN766" s="275"/>
      <c r="AO766" s="275"/>
      <c r="AP766" s="275"/>
      <c r="AQ766" s="275"/>
      <c r="AR766" s="275"/>
      <c r="AS766" s="275"/>
      <c r="AT766" s="275"/>
      <c r="AU766" s="275"/>
      <c r="AV766" s="275"/>
      <c r="AW766" s="275"/>
      <c r="AX766" s="275"/>
      <c r="AY766" s="275"/>
      <c r="AZ766" s="275"/>
      <c r="BA766" s="275"/>
      <c r="BB766" s="275"/>
      <c r="BC766" s="275"/>
      <c r="BD766" s="275"/>
      <c r="BE766" s="275"/>
      <c r="BF766" s="275"/>
      <c r="BG766" s="275"/>
      <c r="BH766" s="275"/>
      <c r="BI766" s="275"/>
      <c r="BJ766" s="275"/>
      <c r="BK766" s="275"/>
      <c r="BL766" s="275"/>
      <c r="BM766" s="275"/>
      <c r="BN766" s="275"/>
      <c r="BO766" s="275"/>
      <c r="BP766" s="275"/>
      <c r="BQ766" s="275"/>
      <c r="BR766" s="275"/>
      <c r="BS766" s="275"/>
      <c r="BT766" s="275"/>
      <c r="BU766" s="275"/>
      <c r="BV766" s="275"/>
      <c r="BW766" s="275"/>
      <c r="BX766" s="275"/>
      <c r="BY766" s="275"/>
      <c r="BZ766" s="275"/>
      <c r="CA766" s="275"/>
      <c r="CB766" s="275"/>
      <c r="CC766" s="275"/>
      <c r="CD766" s="275"/>
      <c r="CE766" s="275"/>
    </row>
    <row r="767" spans="1:83" ht="12.6" customHeight="1" x14ac:dyDescent="0.25">
      <c r="A767" s="209" t="str">
        <f>RIGHT($C$83,3)&amp;"*"&amp;RIGHT($C$82,4)&amp;"*"&amp;AJ$55&amp;"*"&amp;"A"</f>
        <v>032*2017*7260*A</v>
      </c>
      <c r="B767" s="274">
        <f>ROUND(AJ59,0)</f>
        <v>24775</v>
      </c>
      <c r="C767" s="276">
        <f>ROUND(AJ60,2)</f>
        <v>78.91</v>
      </c>
      <c r="D767" s="274">
        <f>ROUND(AJ61,0)</f>
        <v>3635558</v>
      </c>
      <c r="E767" s="274">
        <f>ROUND(AJ62,0)</f>
        <v>1038758</v>
      </c>
      <c r="F767" s="274">
        <f>ROUND(AJ63,0)</f>
        <v>42000</v>
      </c>
      <c r="G767" s="274">
        <f>ROUND(AJ64,0)</f>
        <v>1964362</v>
      </c>
      <c r="H767" s="274">
        <f>ROUND(AJ65,0)</f>
        <v>1871</v>
      </c>
      <c r="I767" s="274">
        <f>ROUND(AJ66,0)</f>
        <v>1141439</v>
      </c>
      <c r="J767" s="274">
        <f>ROUND(AJ67,0)</f>
        <v>535926</v>
      </c>
      <c r="K767" s="274">
        <f>ROUND(AJ68,0)</f>
        <v>493256</v>
      </c>
      <c r="L767" s="274">
        <f>ROUND(AJ69,0)</f>
        <v>29786</v>
      </c>
      <c r="M767" s="274">
        <f>ROUND(AJ70,0)</f>
        <v>45920</v>
      </c>
      <c r="N767" s="274">
        <f>ROUND(AJ75,0)</f>
        <v>34777981</v>
      </c>
      <c r="O767" s="274">
        <f>ROUND(AJ73,0)</f>
        <v>108671</v>
      </c>
      <c r="P767" s="274">
        <f>IF(AJ76&gt;0,ROUND(AJ76,0),0)</f>
        <v>21019</v>
      </c>
      <c r="Q767" s="274">
        <f>IF(AJ77&gt;0,ROUND(AJ77,0),0)</f>
        <v>0</v>
      </c>
      <c r="R767" s="274">
        <f>IF(AJ78&gt;0,ROUND(AJ78,0),0)</f>
        <v>8811</v>
      </c>
      <c r="S767" s="274">
        <f>IF(AJ79&gt;0,ROUND(AJ79,0),0)</f>
        <v>25473</v>
      </c>
      <c r="T767" s="276">
        <f>IF(AJ80&gt;0,ROUND(AJ80,2),0)</f>
        <v>16.059999999999999</v>
      </c>
      <c r="U767" s="274"/>
      <c r="V767" s="275"/>
      <c r="W767" s="274"/>
      <c r="X767" s="274"/>
      <c r="Y767" s="274">
        <f t="shared" si="21"/>
        <v>6365281</v>
      </c>
      <c r="Z767" s="275"/>
      <c r="AA767" s="275"/>
      <c r="AB767" s="275"/>
      <c r="AC767" s="275"/>
      <c r="AD767" s="275"/>
      <c r="AE767" s="275"/>
      <c r="AF767" s="275"/>
      <c r="AG767" s="275"/>
      <c r="AH767" s="275"/>
      <c r="AI767" s="275"/>
      <c r="AJ767" s="275"/>
      <c r="AK767" s="275"/>
      <c r="AL767" s="275"/>
      <c r="AM767" s="275"/>
      <c r="AN767" s="275"/>
      <c r="AO767" s="275"/>
      <c r="AP767" s="275"/>
      <c r="AQ767" s="275"/>
      <c r="AR767" s="275"/>
      <c r="AS767" s="275"/>
      <c r="AT767" s="275"/>
      <c r="AU767" s="275"/>
      <c r="AV767" s="275"/>
      <c r="AW767" s="275"/>
      <c r="AX767" s="275"/>
      <c r="AY767" s="275"/>
      <c r="AZ767" s="275"/>
      <c r="BA767" s="275"/>
      <c r="BB767" s="275"/>
      <c r="BC767" s="275"/>
      <c r="BD767" s="275"/>
      <c r="BE767" s="275"/>
      <c r="BF767" s="275"/>
      <c r="BG767" s="275"/>
      <c r="BH767" s="275"/>
      <c r="BI767" s="275"/>
      <c r="BJ767" s="275"/>
      <c r="BK767" s="275"/>
      <c r="BL767" s="275"/>
      <c r="BM767" s="275"/>
      <c r="BN767" s="275"/>
      <c r="BO767" s="275"/>
      <c r="BP767" s="275"/>
      <c r="BQ767" s="275"/>
      <c r="BR767" s="275"/>
      <c r="BS767" s="275"/>
      <c r="BT767" s="275"/>
      <c r="BU767" s="275"/>
      <c r="BV767" s="275"/>
      <c r="BW767" s="275"/>
      <c r="BX767" s="275"/>
      <c r="BY767" s="275"/>
      <c r="BZ767" s="275"/>
      <c r="CA767" s="275"/>
      <c r="CB767" s="275"/>
      <c r="CC767" s="275"/>
      <c r="CD767" s="275"/>
      <c r="CE767" s="275"/>
    </row>
    <row r="768" spans="1:83" ht="12.6" customHeight="1" x14ac:dyDescent="0.25">
      <c r="A768" s="209" t="str">
        <f>RIGHT($C$83,3)&amp;"*"&amp;RIGHT($C$82,4)&amp;"*"&amp;AK$55&amp;"*"&amp;"A"</f>
        <v>032*2017*7310*A</v>
      </c>
      <c r="B768" s="274">
        <f>ROUND(AK59,0)</f>
        <v>76973</v>
      </c>
      <c r="C768" s="276">
        <f>ROUND(AK60,2)</f>
        <v>19.53</v>
      </c>
      <c r="D768" s="274">
        <f>ROUND(AK61,0)</f>
        <v>1813945</v>
      </c>
      <c r="E768" s="274">
        <f>ROUND(AK62,0)</f>
        <v>485291</v>
      </c>
      <c r="F768" s="274">
        <f>ROUND(AK63,0)</f>
        <v>0</v>
      </c>
      <c r="G768" s="274">
        <f>ROUND(AK64,0)</f>
        <v>9734</v>
      </c>
      <c r="H768" s="274">
        <f>ROUND(AK65,0)</f>
        <v>1306</v>
      </c>
      <c r="I768" s="274">
        <f>ROUND(AK66,0)</f>
        <v>3450</v>
      </c>
      <c r="J768" s="274">
        <f>ROUND(AK67,0)</f>
        <v>75691</v>
      </c>
      <c r="K768" s="274">
        <f>ROUND(AK68,0)</f>
        <v>0</v>
      </c>
      <c r="L768" s="274">
        <f>ROUND(AK69,0)</f>
        <v>7519</v>
      </c>
      <c r="M768" s="274">
        <f>ROUND(AK70,0)</f>
        <v>210</v>
      </c>
      <c r="N768" s="274">
        <f>ROUND(AK75,0)</f>
        <v>13462386</v>
      </c>
      <c r="O768" s="274">
        <f>ROUND(AK73,0)</f>
        <v>9947613</v>
      </c>
      <c r="P768" s="274">
        <f>IF(AK76&gt;0,ROUND(AK76,0),0)</f>
        <v>5815</v>
      </c>
      <c r="Q768" s="274">
        <f>IF(AK77&gt;0,ROUND(AK77,0),0)</f>
        <v>0</v>
      </c>
      <c r="R768" s="274">
        <f>IF(AK78&gt;0,ROUND(AK78,0),0)</f>
        <v>2438</v>
      </c>
      <c r="S768" s="274">
        <f>IF(AK79&gt;0,ROUND(AK79,0),0)</f>
        <v>27833</v>
      </c>
      <c r="T768" s="276">
        <f>IF(AK80&gt;0,ROUND(AK80,2),0)</f>
        <v>0</v>
      </c>
      <c r="U768" s="274"/>
      <c r="V768" s="275"/>
      <c r="W768" s="274"/>
      <c r="X768" s="274"/>
      <c r="Y768" s="274">
        <f t="shared" si="21"/>
        <v>1760357</v>
      </c>
      <c r="Z768" s="275"/>
      <c r="AA768" s="275"/>
      <c r="AB768" s="275"/>
      <c r="AC768" s="275"/>
      <c r="AD768" s="275"/>
      <c r="AE768" s="275"/>
      <c r="AF768" s="275"/>
      <c r="AG768" s="275"/>
      <c r="AH768" s="275"/>
      <c r="AI768" s="275"/>
      <c r="AJ768" s="275"/>
      <c r="AK768" s="275"/>
      <c r="AL768" s="275"/>
      <c r="AM768" s="275"/>
      <c r="AN768" s="275"/>
      <c r="AO768" s="275"/>
      <c r="AP768" s="275"/>
      <c r="AQ768" s="275"/>
      <c r="AR768" s="275"/>
      <c r="AS768" s="275"/>
      <c r="AT768" s="275"/>
      <c r="AU768" s="275"/>
      <c r="AV768" s="275"/>
      <c r="AW768" s="275"/>
      <c r="AX768" s="275"/>
      <c r="AY768" s="275"/>
      <c r="AZ768" s="275"/>
      <c r="BA768" s="275"/>
      <c r="BB768" s="275"/>
      <c r="BC768" s="275"/>
      <c r="BD768" s="275"/>
      <c r="BE768" s="275"/>
      <c r="BF768" s="275"/>
      <c r="BG768" s="275"/>
      <c r="BH768" s="275"/>
      <c r="BI768" s="275"/>
      <c r="BJ768" s="275"/>
      <c r="BK768" s="275"/>
      <c r="BL768" s="275"/>
      <c r="BM768" s="275"/>
      <c r="BN768" s="275"/>
      <c r="BO768" s="275"/>
      <c r="BP768" s="275"/>
      <c r="BQ768" s="275"/>
      <c r="BR768" s="275"/>
      <c r="BS768" s="275"/>
      <c r="BT768" s="275"/>
      <c r="BU768" s="275"/>
      <c r="BV768" s="275"/>
      <c r="BW768" s="275"/>
      <c r="BX768" s="275"/>
      <c r="BY768" s="275"/>
      <c r="BZ768" s="275"/>
      <c r="CA768" s="275"/>
      <c r="CB768" s="275"/>
      <c r="CC768" s="275"/>
      <c r="CD768" s="275"/>
      <c r="CE768" s="275"/>
    </row>
    <row r="769" spans="1:83" ht="12.6" customHeight="1" x14ac:dyDescent="0.25">
      <c r="A769" s="209" t="str">
        <f>RIGHT($C$83,3)&amp;"*"&amp;RIGHT($C$82,4)&amp;"*"&amp;AL$55&amp;"*"&amp;"A"</f>
        <v>032*2017*7320*A</v>
      </c>
      <c r="B769" s="274">
        <f>ROUND(AL59,0)</f>
        <v>8615</v>
      </c>
      <c r="C769" s="276">
        <f>ROUND(AL60,2)</f>
        <v>9.99</v>
      </c>
      <c r="D769" s="274">
        <f>ROUND(AL61,0)</f>
        <v>464953</v>
      </c>
      <c r="E769" s="274">
        <f>ROUND(AL62,0)</f>
        <v>132241</v>
      </c>
      <c r="F769" s="274">
        <f>ROUND(AL63,0)</f>
        <v>0</v>
      </c>
      <c r="G769" s="274">
        <f>ROUND(AL64,0)</f>
        <v>1127</v>
      </c>
      <c r="H769" s="274">
        <f>ROUND(AL65,0)</f>
        <v>728</v>
      </c>
      <c r="I769" s="274">
        <f>ROUND(AL66,0)</f>
        <v>1001</v>
      </c>
      <c r="J769" s="274">
        <f>ROUND(AL67,0)</f>
        <v>50816</v>
      </c>
      <c r="K769" s="274">
        <f>ROUND(AL68,0)</f>
        <v>0</v>
      </c>
      <c r="L769" s="274">
        <f>ROUND(AL69,0)</f>
        <v>3306</v>
      </c>
      <c r="M769" s="274">
        <f>ROUND(AL70,0)</f>
        <v>0</v>
      </c>
      <c r="N769" s="274">
        <f>ROUND(AL75,0)</f>
        <v>3221239</v>
      </c>
      <c r="O769" s="274">
        <f>ROUND(AL73,0)</f>
        <v>2507882</v>
      </c>
      <c r="P769" s="274">
        <f>IF(AL76&gt;0,ROUND(AL76,0),0)</f>
        <v>4171</v>
      </c>
      <c r="Q769" s="274">
        <f>IF(AL77&gt;0,ROUND(AL77,0),0)</f>
        <v>0</v>
      </c>
      <c r="R769" s="274">
        <f>IF(AL78&gt;0,ROUND(AL78,0),0)</f>
        <v>1748</v>
      </c>
      <c r="S769" s="274">
        <f>IF(AL79&gt;0,ROUND(AL79,0),0)</f>
        <v>0</v>
      </c>
      <c r="T769" s="276">
        <f>IF(AL80&gt;0,ROUND(AL80,2),0)</f>
        <v>0</v>
      </c>
      <c r="U769" s="274"/>
      <c r="V769" s="275"/>
      <c r="W769" s="274"/>
      <c r="X769" s="274"/>
      <c r="Y769" s="274">
        <f t="shared" si="21"/>
        <v>834017</v>
      </c>
      <c r="Z769" s="275"/>
      <c r="AA769" s="275"/>
      <c r="AB769" s="275"/>
      <c r="AC769" s="275"/>
      <c r="AD769" s="275"/>
      <c r="AE769" s="275"/>
      <c r="AF769" s="275"/>
      <c r="AG769" s="275"/>
      <c r="AH769" s="275"/>
      <c r="AI769" s="275"/>
      <c r="AJ769" s="275"/>
      <c r="AK769" s="275"/>
      <c r="AL769" s="275"/>
      <c r="AM769" s="275"/>
      <c r="AN769" s="275"/>
      <c r="AO769" s="275"/>
      <c r="AP769" s="275"/>
      <c r="AQ769" s="275"/>
      <c r="AR769" s="275"/>
      <c r="AS769" s="275"/>
      <c r="AT769" s="275"/>
      <c r="AU769" s="275"/>
      <c r="AV769" s="275"/>
      <c r="AW769" s="275"/>
      <c r="AX769" s="275"/>
      <c r="AY769" s="275"/>
      <c r="AZ769" s="275"/>
      <c r="BA769" s="275"/>
      <c r="BB769" s="275"/>
      <c r="BC769" s="275"/>
      <c r="BD769" s="275"/>
      <c r="BE769" s="275"/>
      <c r="BF769" s="275"/>
      <c r="BG769" s="275"/>
      <c r="BH769" s="275"/>
      <c r="BI769" s="275"/>
      <c r="BJ769" s="275"/>
      <c r="BK769" s="275"/>
      <c r="BL769" s="275"/>
      <c r="BM769" s="275"/>
      <c r="BN769" s="275"/>
      <c r="BO769" s="275"/>
      <c r="BP769" s="275"/>
      <c r="BQ769" s="275"/>
      <c r="BR769" s="275"/>
      <c r="BS769" s="275"/>
      <c r="BT769" s="275"/>
      <c r="BU769" s="275"/>
      <c r="BV769" s="275"/>
      <c r="BW769" s="275"/>
      <c r="BX769" s="275"/>
      <c r="BY769" s="275"/>
      <c r="BZ769" s="275"/>
      <c r="CA769" s="275"/>
      <c r="CB769" s="275"/>
      <c r="CC769" s="275"/>
      <c r="CD769" s="275"/>
      <c r="CE769" s="275"/>
    </row>
    <row r="770" spans="1:83" ht="12.6" customHeight="1" x14ac:dyDescent="0.25">
      <c r="A770" s="209" t="str">
        <f>RIGHT($C$83,3)&amp;"*"&amp;RIGHT($C$82,4)&amp;"*"&amp;AM$55&amp;"*"&amp;"A"</f>
        <v>032*2017*7330*A</v>
      </c>
      <c r="B770" s="274">
        <f>ROUND(AM59,0)</f>
        <v>0</v>
      </c>
      <c r="C770" s="276">
        <f>ROUND(AM60,2)</f>
        <v>0</v>
      </c>
      <c r="D770" s="274">
        <f>ROUND(AM61,0)</f>
        <v>0</v>
      </c>
      <c r="E770" s="274">
        <f>ROUND(AM62,0)</f>
        <v>0</v>
      </c>
      <c r="F770" s="274">
        <f>ROUND(AM63,0)</f>
        <v>0</v>
      </c>
      <c r="G770" s="274">
        <f>ROUND(AM64,0)</f>
        <v>0</v>
      </c>
      <c r="H770" s="274">
        <f>ROUND(AM65,0)</f>
        <v>0</v>
      </c>
      <c r="I770" s="274">
        <f>ROUND(AM66,0)</f>
        <v>0</v>
      </c>
      <c r="J770" s="274">
        <f>ROUND(AM67,0)</f>
        <v>0</v>
      </c>
      <c r="K770" s="274">
        <f>ROUND(AM68,0)</f>
        <v>0</v>
      </c>
      <c r="L770" s="274">
        <f>ROUND(AM69,0)</f>
        <v>0</v>
      </c>
      <c r="M770" s="274">
        <f>ROUND(AM70,0)</f>
        <v>0</v>
      </c>
      <c r="N770" s="274">
        <f>ROUND(AM75,0)</f>
        <v>0</v>
      </c>
      <c r="O770" s="274">
        <f>ROUND(AM73,0)</f>
        <v>0</v>
      </c>
      <c r="P770" s="274">
        <f>IF(AM76&gt;0,ROUND(AM76,0),0)</f>
        <v>0</v>
      </c>
      <c r="Q770" s="274">
        <f>IF(AM77&gt;0,ROUND(AM77,0),0)</f>
        <v>0</v>
      </c>
      <c r="R770" s="274">
        <f>IF(AM78&gt;0,ROUND(AM78,0),0)</f>
        <v>0</v>
      </c>
      <c r="S770" s="274">
        <f>IF(AM79&gt;0,ROUND(AM79,0),0)</f>
        <v>0</v>
      </c>
      <c r="T770" s="276">
        <f>IF(AM80&gt;0,ROUND(AM80,2),0)</f>
        <v>0</v>
      </c>
      <c r="U770" s="274"/>
      <c r="V770" s="275"/>
      <c r="W770" s="274"/>
      <c r="X770" s="274"/>
      <c r="Y770" s="274">
        <f t="shared" si="21"/>
        <v>0</v>
      </c>
      <c r="Z770" s="275"/>
      <c r="AA770" s="275"/>
      <c r="AB770" s="275"/>
      <c r="AC770" s="275"/>
      <c r="AD770" s="275"/>
      <c r="AE770" s="275"/>
      <c r="AF770" s="275"/>
      <c r="AG770" s="275"/>
      <c r="AH770" s="275"/>
      <c r="AI770" s="275"/>
      <c r="AJ770" s="275"/>
      <c r="AK770" s="275"/>
      <c r="AL770" s="275"/>
      <c r="AM770" s="275"/>
      <c r="AN770" s="275"/>
      <c r="AO770" s="275"/>
      <c r="AP770" s="275"/>
      <c r="AQ770" s="275"/>
      <c r="AR770" s="275"/>
      <c r="AS770" s="275"/>
      <c r="AT770" s="275"/>
      <c r="AU770" s="275"/>
      <c r="AV770" s="275"/>
      <c r="AW770" s="275"/>
      <c r="AX770" s="275"/>
      <c r="AY770" s="275"/>
      <c r="AZ770" s="275"/>
      <c r="BA770" s="275"/>
      <c r="BB770" s="275"/>
      <c r="BC770" s="275"/>
      <c r="BD770" s="275"/>
      <c r="BE770" s="275"/>
      <c r="BF770" s="275"/>
      <c r="BG770" s="275"/>
      <c r="BH770" s="275"/>
      <c r="BI770" s="275"/>
      <c r="BJ770" s="275"/>
      <c r="BK770" s="275"/>
      <c r="BL770" s="275"/>
      <c r="BM770" s="275"/>
      <c r="BN770" s="275"/>
      <c r="BO770" s="275"/>
      <c r="BP770" s="275"/>
      <c r="BQ770" s="275"/>
      <c r="BR770" s="275"/>
      <c r="BS770" s="275"/>
      <c r="BT770" s="275"/>
      <c r="BU770" s="275"/>
      <c r="BV770" s="275"/>
      <c r="BW770" s="275"/>
      <c r="BX770" s="275"/>
      <c r="BY770" s="275"/>
      <c r="BZ770" s="275"/>
      <c r="CA770" s="275"/>
      <c r="CB770" s="275"/>
      <c r="CC770" s="275"/>
      <c r="CD770" s="275"/>
      <c r="CE770" s="275"/>
    </row>
    <row r="771" spans="1:83" ht="12.6" customHeight="1" x14ac:dyDescent="0.25">
      <c r="A771" s="209" t="str">
        <f>RIGHT($C$83,3)&amp;"*"&amp;RIGHT($C$82,4)&amp;"*"&amp;AN$55&amp;"*"&amp;"A"</f>
        <v>032*2017*7340*A</v>
      </c>
      <c r="B771" s="274">
        <f>ROUND(AN59,0)</f>
        <v>0</v>
      </c>
      <c r="C771" s="276">
        <f>ROUND(AN60,2)</f>
        <v>0</v>
      </c>
      <c r="D771" s="274">
        <f>ROUND(AN61,0)</f>
        <v>0</v>
      </c>
      <c r="E771" s="274">
        <f>ROUND(AN62,0)</f>
        <v>0</v>
      </c>
      <c r="F771" s="274">
        <f>ROUND(AN63,0)</f>
        <v>0</v>
      </c>
      <c r="G771" s="274">
        <f>ROUND(AN64,0)</f>
        <v>0</v>
      </c>
      <c r="H771" s="274">
        <f>ROUND(AN65,0)</f>
        <v>0</v>
      </c>
      <c r="I771" s="274">
        <f>ROUND(AN66,0)</f>
        <v>0</v>
      </c>
      <c r="J771" s="274">
        <f>ROUND(AN67,0)</f>
        <v>40270</v>
      </c>
      <c r="K771" s="274">
        <f>ROUND(AN68,0)</f>
        <v>0</v>
      </c>
      <c r="L771" s="274">
        <f>ROUND(AN69,0)</f>
        <v>0</v>
      </c>
      <c r="M771" s="274">
        <f>ROUND(AN70,0)</f>
        <v>0</v>
      </c>
      <c r="N771" s="274">
        <f>ROUND(AN75,0)</f>
        <v>0</v>
      </c>
      <c r="O771" s="274">
        <f>ROUND(AN73,0)</f>
        <v>0</v>
      </c>
      <c r="P771" s="274">
        <f>IF(AN76&gt;0,ROUND(AN76,0),0)</f>
        <v>3310</v>
      </c>
      <c r="Q771" s="274">
        <f>IF(AN77&gt;0,ROUND(AN77,0),0)</f>
        <v>0</v>
      </c>
      <c r="R771" s="274">
        <f>IF(AN78&gt;0,ROUND(AN78,0),0)</f>
        <v>1387</v>
      </c>
      <c r="S771" s="274">
        <f>IF(AN79&gt;0,ROUND(AN79,0),0)</f>
        <v>0</v>
      </c>
      <c r="T771" s="276">
        <f>IF(AN80&gt;0,ROUND(AN80,2),0)</f>
        <v>0</v>
      </c>
      <c r="U771" s="274"/>
      <c r="V771" s="275"/>
      <c r="W771" s="274"/>
      <c r="X771" s="274"/>
      <c r="Y771" s="274">
        <f t="shared" si="21"/>
        <v>430582</v>
      </c>
      <c r="Z771" s="275"/>
      <c r="AA771" s="275"/>
      <c r="AB771" s="275"/>
      <c r="AC771" s="275"/>
      <c r="AD771" s="275"/>
      <c r="AE771" s="275"/>
      <c r="AF771" s="275"/>
      <c r="AG771" s="275"/>
      <c r="AH771" s="275"/>
      <c r="AI771" s="275"/>
      <c r="AJ771" s="275"/>
      <c r="AK771" s="275"/>
      <c r="AL771" s="275"/>
      <c r="AM771" s="275"/>
      <c r="AN771" s="275"/>
      <c r="AO771" s="275"/>
      <c r="AP771" s="275"/>
      <c r="AQ771" s="275"/>
      <c r="AR771" s="275"/>
      <c r="AS771" s="275"/>
      <c r="AT771" s="275"/>
      <c r="AU771" s="275"/>
      <c r="AV771" s="275"/>
      <c r="AW771" s="275"/>
      <c r="AX771" s="275"/>
      <c r="AY771" s="275"/>
      <c r="AZ771" s="275"/>
      <c r="BA771" s="275"/>
      <c r="BB771" s="275"/>
      <c r="BC771" s="275"/>
      <c r="BD771" s="275"/>
      <c r="BE771" s="275"/>
      <c r="BF771" s="275"/>
      <c r="BG771" s="275"/>
      <c r="BH771" s="275"/>
      <c r="BI771" s="275"/>
      <c r="BJ771" s="275"/>
      <c r="BK771" s="275"/>
      <c r="BL771" s="275"/>
      <c r="BM771" s="275"/>
      <c r="BN771" s="275"/>
      <c r="BO771" s="275"/>
      <c r="BP771" s="275"/>
      <c r="BQ771" s="275"/>
      <c r="BR771" s="275"/>
      <c r="BS771" s="275"/>
      <c r="BT771" s="275"/>
      <c r="BU771" s="275"/>
      <c r="BV771" s="275"/>
      <c r="BW771" s="275"/>
      <c r="BX771" s="275"/>
      <c r="BY771" s="275"/>
      <c r="BZ771" s="275"/>
      <c r="CA771" s="275"/>
      <c r="CB771" s="275"/>
      <c r="CC771" s="275"/>
      <c r="CD771" s="275"/>
      <c r="CE771" s="275"/>
    </row>
    <row r="772" spans="1:83" ht="12.6" customHeight="1" x14ac:dyDescent="0.25">
      <c r="A772" s="209" t="str">
        <f>RIGHT($C$83,3)&amp;"*"&amp;RIGHT($C$82,4)&amp;"*"&amp;AO$55&amp;"*"&amp;"A"</f>
        <v>032*2017*7350*A</v>
      </c>
      <c r="B772" s="274">
        <f>ROUND(AO59,0)</f>
        <v>0</v>
      </c>
      <c r="C772" s="276">
        <f>ROUND(AO60,2)</f>
        <v>0</v>
      </c>
      <c r="D772" s="274">
        <f>ROUND(AO61,0)</f>
        <v>0</v>
      </c>
      <c r="E772" s="274">
        <f>ROUND(AO62,0)</f>
        <v>0</v>
      </c>
      <c r="F772" s="274">
        <f>ROUND(AO63,0)</f>
        <v>0</v>
      </c>
      <c r="G772" s="274">
        <f>ROUND(AO64,0)</f>
        <v>0</v>
      </c>
      <c r="H772" s="274">
        <f>ROUND(AO65,0)</f>
        <v>0</v>
      </c>
      <c r="I772" s="274">
        <f>ROUND(AO66,0)</f>
        <v>0</v>
      </c>
      <c r="J772" s="274">
        <f>ROUND(AO67,0)</f>
        <v>0</v>
      </c>
      <c r="K772" s="274">
        <f>ROUND(AO68,0)</f>
        <v>0</v>
      </c>
      <c r="L772" s="274">
        <f>ROUND(AO69,0)</f>
        <v>0</v>
      </c>
      <c r="M772" s="274">
        <f>ROUND(AO70,0)</f>
        <v>0</v>
      </c>
      <c r="N772" s="274">
        <f>ROUND(AO75,0)</f>
        <v>0</v>
      </c>
      <c r="O772" s="274">
        <f>ROUND(AO73,0)</f>
        <v>0</v>
      </c>
      <c r="P772" s="274">
        <f>IF(AO76&gt;0,ROUND(AO76,0),0)</f>
        <v>0</v>
      </c>
      <c r="Q772" s="274">
        <f>IF(AO77&gt;0,ROUND(AO77,0),0)</f>
        <v>0</v>
      </c>
      <c r="R772" s="274">
        <f>IF(AO78&gt;0,ROUND(AO78,0),0)</f>
        <v>0</v>
      </c>
      <c r="S772" s="274">
        <f>IF(AO79&gt;0,ROUND(AO79,0),0)</f>
        <v>0</v>
      </c>
      <c r="T772" s="276">
        <f>IF(AO80&gt;0,ROUND(AO80,2),0)</f>
        <v>0</v>
      </c>
      <c r="U772" s="274"/>
      <c r="V772" s="275"/>
      <c r="W772" s="274"/>
      <c r="X772" s="274"/>
      <c r="Y772" s="274">
        <f t="shared" si="21"/>
        <v>0</v>
      </c>
      <c r="Z772" s="275"/>
      <c r="AA772" s="275"/>
      <c r="AB772" s="275"/>
      <c r="AC772" s="275"/>
      <c r="AD772" s="275"/>
      <c r="AE772" s="275"/>
      <c r="AF772" s="275"/>
      <c r="AG772" s="275"/>
      <c r="AH772" s="275"/>
      <c r="AI772" s="275"/>
      <c r="AJ772" s="275"/>
      <c r="AK772" s="275"/>
      <c r="AL772" s="275"/>
      <c r="AM772" s="275"/>
      <c r="AN772" s="275"/>
      <c r="AO772" s="275"/>
      <c r="AP772" s="275"/>
      <c r="AQ772" s="275"/>
      <c r="AR772" s="275"/>
      <c r="AS772" s="275"/>
      <c r="AT772" s="275"/>
      <c r="AU772" s="275"/>
      <c r="AV772" s="275"/>
      <c r="AW772" s="275"/>
      <c r="AX772" s="275"/>
      <c r="AY772" s="275"/>
      <c r="AZ772" s="275"/>
      <c r="BA772" s="275"/>
      <c r="BB772" s="275"/>
      <c r="BC772" s="275"/>
      <c r="BD772" s="275"/>
      <c r="BE772" s="275"/>
      <c r="BF772" s="275"/>
      <c r="BG772" s="275"/>
      <c r="BH772" s="275"/>
      <c r="BI772" s="275"/>
      <c r="BJ772" s="275"/>
      <c r="BK772" s="275"/>
      <c r="BL772" s="275"/>
      <c r="BM772" s="275"/>
      <c r="BN772" s="275"/>
      <c r="BO772" s="275"/>
      <c r="BP772" s="275"/>
      <c r="BQ772" s="275"/>
      <c r="BR772" s="275"/>
      <c r="BS772" s="275"/>
      <c r="BT772" s="275"/>
      <c r="BU772" s="275"/>
      <c r="BV772" s="275"/>
      <c r="BW772" s="275"/>
      <c r="BX772" s="275"/>
      <c r="BY772" s="275"/>
      <c r="BZ772" s="275"/>
      <c r="CA772" s="275"/>
      <c r="CB772" s="275"/>
      <c r="CC772" s="275"/>
      <c r="CD772" s="275"/>
      <c r="CE772" s="275"/>
    </row>
    <row r="773" spans="1:83" ht="12.6" customHeight="1" x14ac:dyDescent="0.25">
      <c r="A773" s="209" t="str">
        <f>RIGHT($C$83,3)&amp;"*"&amp;RIGHT($C$82,4)&amp;"*"&amp;AP$55&amp;"*"&amp;"A"</f>
        <v>032*2017*7380*A</v>
      </c>
      <c r="B773" s="274">
        <f>ROUND(AP59,0)</f>
        <v>19698</v>
      </c>
      <c r="C773" s="276">
        <f>ROUND(AP60,2)</f>
        <v>52.03</v>
      </c>
      <c r="D773" s="274">
        <f>ROUND(AP61,0)</f>
        <v>3083839</v>
      </c>
      <c r="E773" s="274">
        <f>ROUND(AP62,0)</f>
        <v>913491</v>
      </c>
      <c r="F773" s="274">
        <f>ROUND(AP63,0)</f>
        <v>67830</v>
      </c>
      <c r="G773" s="274">
        <f>ROUND(AP64,0)</f>
        <v>715356</v>
      </c>
      <c r="H773" s="274">
        <f>ROUND(AP65,0)</f>
        <v>93007</v>
      </c>
      <c r="I773" s="274">
        <f>ROUND(AP66,0)</f>
        <v>201114</v>
      </c>
      <c r="J773" s="274">
        <f>ROUND(AP67,0)</f>
        <v>298605</v>
      </c>
      <c r="K773" s="274">
        <f>ROUND(AP68,0)</f>
        <v>456575</v>
      </c>
      <c r="L773" s="274">
        <f>ROUND(AP69,0)</f>
        <v>11444</v>
      </c>
      <c r="M773" s="274">
        <f>ROUND(AP70,0)</f>
        <v>1364389</v>
      </c>
      <c r="N773" s="274">
        <f>ROUND(AP75,0)</f>
        <v>50283359</v>
      </c>
      <c r="O773" s="274">
        <f>ROUND(AP73,0)</f>
        <v>14751</v>
      </c>
      <c r="P773" s="274">
        <f>IF(AP76&gt;0,ROUND(AP76,0),0)</f>
        <v>1709</v>
      </c>
      <c r="Q773" s="274">
        <f>IF(AP77&gt;0,ROUND(AP77,0),0)</f>
        <v>0</v>
      </c>
      <c r="R773" s="274">
        <f>IF(AP78&gt;0,ROUND(AP78,0),0)</f>
        <v>716</v>
      </c>
      <c r="S773" s="274">
        <f>IF(AP79&gt;0,ROUND(AP79,0),0)</f>
        <v>0</v>
      </c>
      <c r="T773" s="276">
        <f>IF(AP80&gt;0,ROUND(AP80,2),0)</f>
        <v>9.8699999999999992</v>
      </c>
      <c r="U773" s="274"/>
      <c r="V773" s="275"/>
      <c r="W773" s="274"/>
      <c r="X773" s="274"/>
      <c r="Y773" s="274">
        <f t="shared" si="21"/>
        <v>2700044</v>
      </c>
      <c r="Z773" s="275"/>
      <c r="AA773" s="275"/>
      <c r="AB773" s="275"/>
      <c r="AC773" s="275"/>
      <c r="AD773" s="275"/>
      <c r="AE773" s="275"/>
      <c r="AF773" s="275"/>
      <c r="AG773" s="275"/>
      <c r="AH773" s="275"/>
      <c r="AI773" s="275"/>
      <c r="AJ773" s="275"/>
      <c r="AK773" s="275"/>
      <c r="AL773" s="275"/>
      <c r="AM773" s="275"/>
      <c r="AN773" s="275"/>
      <c r="AO773" s="275"/>
      <c r="AP773" s="275"/>
      <c r="AQ773" s="275"/>
      <c r="AR773" s="275"/>
      <c r="AS773" s="275"/>
      <c r="AT773" s="275"/>
      <c r="AU773" s="275"/>
      <c r="AV773" s="275"/>
      <c r="AW773" s="275"/>
      <c r="AX773" s="275"/>
      <c r="AY773" s="275"/>
      <c r="AZ773" s="275"/>
      <c r="BA773" s="275"/>
      <c r="BB773" s="275"/>
      <c r="BC773" s="275"/>
      <c r="BD773" s="275"/>
      <c r="BE773" s="275"/>
      <c r="BF773" s="275"/>
      <c r="BG773" s="275"/>
      <c r="BH773" s="275"/>
      <c r="BI773" s="275"/>
      <c r="BJ773" s="275"/>
      <c r="BK773" s="275"/>
      <c r="BL773" s="275"/>
      <c r="BM773" s="275"/>
      <c r="BN773" s="275"/>
      <c r="BO773" s="275"/>
      <c r="BP773" s="275"/>
      <c r="BQ773" s="275"/>
      <c r="BR773" s="275"/>
      <c r="BS773" s="275"/>
      <c r="BT773" s="275"/>
      <c r="BU773" s="275"/>
      <c r="BV773" s="275"/>
      <c r="BW773" s="275"/>
      <c r="BX773" s="275"/>
      <c r="BY773" s="275"/>
      <c r="BZ773" s="275"/>
      <c r="CA773" s="275"/>
      <c r="CB773" s="275"/>
      <c r="CC773" s="275"/>
      <c r="CD773" s="275"/>
      <c r="CE773" s="275"/>
    </row>
    <row r="774" spans="1:83" ht="12.6" customHeight="1" x14ac:dyDescent="0.25">
      <c r="A774" s="209" t="str">
        <f>RIGHT($C$83,3)&amp;"*"&amp;RIGHT($C$82,4)&amp;"*"&amp;AQ$55&amp;"*"&amp;"A"</f>
        <v>032*2017*7390*A</v>
      </c>
      <c r="B774" s="274">
        <f>ROUND(AQ59,0)</f>
        <v>0</v>
      </c>
      <c r="C774" s="276">
        <f>ROUND(AQ60,2)</f>
        <v>0</v>
      </c>
      <c r="D774" s="274">
        <f>ROUND(AQ61,0)</f>
        <v>0</v>
      </c>
      <c r="E774" s="274">
        <f>ROUND(AQ62,0)</f>
        <v>0</v>
      </c>
      <c r="F774" s="274">
        <f>ROUND(AQ63,0)</f>
        <v>0</v>
      </c>
      <c r="G774" s="274">
        <f>ROUND(AQ64,0)</f>
        <v>0</v>
      </c>
      <c r="H774" s="274">
        <f>ROUND(AQ65,0)</f>
        <v>0</v>
      </c>
      <c r="I774" s="274">
        <f>ROUND(AQ66,0)</f>
        <v>0</v>
      </c>
      <c r="J774" s="274">
        <f>ROUND(AQ67,0)</f>
        <v>0</v>
      </c>
      <c r="K774" s="274">
        <f>ROUND(AQ68,0)</f>
        <v>0</v>
      </c>
      <c r="L774" s="274">
        <f>ROUND(AQ69,0)</f>
        <v>0</v>
      </c>
      <c r="M774" s="274">
        <f>ROUND(AQ70,0)</f>
        <v>0</v>
      </c>
      <c r="N774" s="274">
        <f>ROUND(AQ75,0)</f>
        <v>0</v>
      </c>
      <c r="O774" s="274">
        <f>ROUND(AQ73,0)</f>
        <v>0</v>
      </c>
      <c r="P774" s="274">
        <f>IF(AQ76&gt;0,ROUND(AQ76,0),0)</f>
        <v>0</v>
      </c>
      <c r="Q774" s="274">
        <f>IF(AQ77&gt;0,ROUND(AQ77,0),0)</f>
        <v>0</v>
      </c>
      <c r="R774" s="274">
        <f>IF(AQ78&gt;0,ROUND(AQ78,0),0)</f>
        <v>0</v>
      </c>
      <c r="S774" s="274">
        <f>IF(AQ79&gt;0,ROUND(AQ79,0),0)</f>
        <v>0</v>
      </c>
      <c r="T774" s="276">
        <f>IF(AQ80&gt;0,ROUND(AQ80,2),0)</f>
        <v>0</v>
      </c>
      <c r="U774" s="274"/>
      <c r="V774" s="275"/>
      <c r="W774" s="274"/>
      <c r="X774" s="274"/>
      <c r="Y774" s="274">
        <f t="shared" si="21"/>
        <v>0</v>
      </c>
      <c r="Z774" s="275"/>
      <c r="AA774" s="275"/>
      <c r="AB774" s="275"/>
      <c r="AC774" s="275"/>
      <c r="AD774" s="275"/>
      <c r="AE774" s="275"/>
      <c r="AF774" s="275"/>
      <c r="AG774" s="275"/>
      <c r="AH774" s="275"/>
      <c r="AI774" s="275"/>
      <c r="AJ774" s="275"/>
      <c r="AK774" s="275"/>
      <c r="AL774" s="275"/>
      <c r="AM774" s="275"/>
      <c r="AN774" s="275"/>
      <c r="AO774" s="275"/>
      <c r="AP774" s="275"/>
      <c r="AQ774" s="275"/>
      <c r="AR774" s="275"/>
      <c r="AS774" s="275"/>
      <c r="AT774" s="275"/>
      <c r="AU774" s="275"/>
      <c r="AV774" s="275"/>
      <c r="AW774" s="275"/>
      <c r="AX774" s="275"/>
      <c r="AY774" s="275"/>
      <c r="AZ774" s="275"/>
      <c r="BA774" s="275"/>
      <c r="BB774" s="275"/>
      <c r="BC774" s="275"/>
      <c r="BD774" s="275"/>
      <c r="BE774" s="275"/>
      <c r="BF774" s="275"/>
      <c r="BG774" s="275"/>
      <c r="BH774" s="275"/>
      <c r="BI774" s="275"/>
      <c r="BJ774" s="275"/>
      <c r="BK774" s="275"/>
      <c r="BL774" s="275"/>
      <c r="BM774" s="275"/>
      <c r="BN774" s="275"/>
      <c r="BO774" s="275"/>
      <c r="BP774" s="275"/>
      <c r="BQ774" s="275"/>
      <c r="BR774" s="275"/>
      <c r="BS774" s="275"/>
      <c r="BT774" s="275"/>
      <c r="BU774" s="275"/>
      <c r="BV774" s="275"/>
      <c r="BW774" s="275"/>
      <c r="BX774" s="275"/>
      <c r="BY774" s="275"/>
      <c r="BZ774" s="275"/>
      <c r="CA774" s="275"/>
      <c r="CB774" s="275"/>
      <c r="CC774" s="275"/>
      <c r="CD774" s="275"/>
      <c r="CE774" s="275"/>
    </row>
    <row r="775" spans="1:83" ht="12.6" customHeight="1" x14ac:dyDescent="0.25">
      <c r="A775" s="209" t="str">
        <f>RIGHT($C$83,3)&amp;"*"&amp;RIGHT($C$82,4)&amp;"*"&amp;AR$55&amp;"*"&amp;"A"</f>
        <v>032*2017*7400*A</v>
      </c>
      <c r="B775" s="274">
        <f>ROUND(AR59,0)</f>
        <v>345775</v>
      </c>
      <c r="C775" s="276">
        <f>ROUND(AR60,2)</f>
        <v>35.93</v>
      </c>
      <c r="D775" s="274">
        <f>ROUND(AR61,0)</f>
        <v>24545396</v>
      </c>
      <c r="E775" s="274">
        <f>ROUND(AR62,0)</f>
        <v>6902534</v>
      </c>
      <c r="F775" s="274">
        <f>ROUND(AR63,0)</f>
        <v>6732</v>
      </c>
      <c r="G775" s="274">
        <f>ROUND(AR64,0)</f>
        <v>1491792</v>
      </c>
      <c r="H775" s="274">
        <f>ROUND(AR65,0)</f>
        <v>303033</v>
      </c>
      <c r="I775" s="274">
        <f>ROUND(AR66,0)</f>
        <v>9515345</v>
      </c>
      <c r="J775" s="274">
        <f>ROUND(AR67,0)</f>
        <v>106600</v>
      </c>
      <c r="K775" s="274">
        <f>ROUND(AR68,0)</f>
        <v>1240056</v>
      </c>
      <c r="L775" s="274">
        <f>ROUND(AR69,0)</f>
        <v>1138116</v>
      </c>
      <c r="M775" s="274">
        <f>ROUND(AR70,0)</f>
        <v>534419</v>
      </c>
      <c r="N775" s="274">
        <f>ROUND(AR75,0)</f>
        <v>64856833</v>
      </c>
      <c r="O775" s="274">
        <f>ROUND(AR73,0)</f>
        <v>0</v>
      </c>
      <c r="P775" s="274">
        <f>IF(AR76&gt;0,ROUND(AR76,0),0)</f>
        <v>0</v>
      </c>
      <c r="Q775" s="274">
        <f>IF(AR77&gt;0,ROUND(AR77,0),0)</f>
        <v>0</v>
      </c>
      <c r="R775" s="274">
        <f>IF(AR78&gt;0,ROUND(AR78,0),0)</f>
        <v>0</v>
      </c>
      <c r="S775" s="274">
        <f>IF(AR79&gt;0,ROUND(AR79,0),0)</f>
        <v>0</v>
      </c>
      <c r="T775" s="276">
        <f>IF(AR80&gt;0,ROUND(AR80,2),0)</f>
        <v>104.37</v>
      </c>
      <c r="U775" s="274"/>
      <c r="V775" s="275"/>
      <c r="W775" s="274"/>
      <c r="X775" s="274"/>
      <c r="Y775" s="274">
        <f t="shared" si="21"/>
        <v>14423384</v>
      </c>
      <c r="Z775" s="275"/>
      <c r="AA775" s="275"/>
      <c r="AB775" s="275"/>
      <c r="AC775" s="275"/>
      <c r="AD775" s="275"/>
      <c r="AE775" s="275"/>
      <c r="AF775" s="275"/>
      <c r="AG775" s="275"/>
      <c r="AH775" s="275"/>
      <c r="AI775" s="275"/>
      <c r="AJ775" s="275"/>
      <c r="AK775" s="275"/>
      <c r="AL775" s="275"/>
      <c r="AM775" s="275"/>
      <c r="AN775" s="275"/>
      <c r="AO775" s="275"/>
      <c r="AP775" s="275"/>
      <c r="AQ775" s="275"/>
      <c r="AR775" s="275"/>
      <c r="AS775" s="275"/>
      <c r="AT775" s="275"/>
      <c r="AU775" s="275"/>
      <c r="AV775" s="275"/>
      <c r="AW775" s="275"/>
      <c r="AX775" s="275"/>
      <c r="AY775" s="275"/>
      <c r="AZ775" s="275"/>
      <c r="BA775" s="275"/>
      <c r="BB775" s="275"/>
      <c r="BC775" s="275"/>
      <c r="BD775" s="275"/>
      <c r="BE775" s="275"/>
      <c r="BF775" s="275"/>
      <c r="BG775" s="275"/>
      <c r="BH775" s="275"/>
      <c r="BI775" s="275"/>
      <c r="BJ775" s="275"/>
      <c r="BK775" s="275"/>
      <c r="BL775" s="275"/>
      <c r="BM775" s="275"/>
      <c r="BN775" s="275"/>
      <c r="BO775" s="275"/>
      <c r="BP775" s="275"/>
      <c r="BQ775" s="275"/>
      <c r="BR775" s="275"/>
      <c r="BS775" s="275"/>
      <c r="BT775" s="275"/>
      <c r="BU775" s="275"/>
      <c r="BV775" s="275"/>
      <c r="BW775" s="275"/>
      <c r="BX775" s="275"/>
      <c r="BY775" s="275"/>
      <c r="BZ775" s="275"/>
      <c r="CA775" s="275"/>
      <c r="CB775" s="275"/>
      <c r="CC775" s="275"/>
      <c r="CD775" s="275"/>
      <c r="CE775" s="275"/>
    </row>
    <row r="776" spans="1:83" ht="12.6" customHeight="1" x14ac:dyDescent="0.25">
      <c r="A776" s="209" t="str">
        <f>RIGHT($C$83,3)&amp;"*"&amp;RIGHT($C$82,4)&amp;"*"&amp;AS$55&amp;"*"&amp;"A"</f>
        <v>032*2017*7410*A</v>
      </c>
      <c r="B776" s="274">
        <f>ROUND(AS59,0)</f>
        <v>0</v>
      </c>
      <c r="C776" s="276">
        <f>ROUND(AS60,2)</f>
        <v>0</v>
      </c>
      <c r="D776" s="274">
        <f>ROUND(AS61,0)</f>
        <v>0</v>
      </c>
      <c r="E776" s="274">
        <f>ROUND(AS62,0)</f>
        <v>0</v>
      </c>
      <c r="F776" s="274">
        <f>ROUND(AS63,0)</f>
        <v>0</v>
      </c>
      <c r="G776" s="274">
        <f>ROUND(AS64,0)</f>
        <v>0</v>
      </c>
      <c r="H776" s="274">
        <f>ROUND(AS65,0)</f>
        <v>0</v>
      </c>
      <c r="I776" s="274">
        <f>ROUND(AS66,0)</f>
        <v>0</v>
      </c>
      <c r="J776" s="274">
        <f>ROUND(AS67,0)</f>
        <v>0</v>
      </c>
      <c r="K776" s="274">
        <f>ROUND(AS68,0)</f>
        <v>0</v>
      </c>
      <c r="L776" s="274">
        <f>ROUND(AS69,0)</f>
        <v>0</v>
      </c>
      <c r="M776" s="274">
        <f>ROUND(AS70,0)</f>
        <v>0</v>
      </c>
      <c r="N776" s="274">
        <f>ROUND(AS75,0)</f>
        <v>0</v>
      </c>
      <c r="O776" s="274">
        <f>ROUND(AS73,0)</f>
        <v>0</v>
      </c>
      <c r="P776" s="274">
        <f>IF(AS76&gt;0,ROUND(AS76,0),0)</f>
        <v>0</v>
      </c>
      <c r="Q776" s="274">
        <f>IF(AS77&gt;0,ROUND(AS77,0),0)</f>
        <v>0</v>
      </c>
      <c r="R776" s="274">
        <f>IF(AS78&gt;0,ROUND(AS78,0),0)</f>
        <v>0</v>
      </c>
      <c r="S776" s="274">
        <f>IF(AS79&gt;0,ROUND(AS79,0),0)</f>
        <v>0</v>
      </c>
      <c r="T776" s="276">
        <f>IF(AS80&gt;0,ROUND(AS80,2),0)</f>
        <v>0</v>
      </c>
      <c r="U776" s="274"/>
      <c r="V776" s="275"/>
      <c r="W776" s="274"/>
      <c r="X776" s="274"/>
      <c r="Y776" s="274">
        <f t="shared" si="21"/>
        <v>0</v>
      </c>
      <c r="Z776" s="275"/>
      <c r="AA776" s="275"/>
      <c r="AB776" s="275"/>
      <c r="AC776" s="275"/>
      <c r="AD776" s="275"/>
      <c r="AE776" s="275"/>
      <c r="AF776" s="275"/>
      <c r="AG776" s="275"/>
      <c r="AH776" s="275"/>
      <c r="AI776" s="275"/>
      <c r="AJ776" s="275"/>
      <c r="AK776" s="275"/>
      <c r="AL776" s="275"/>
      <c r="AM776" s="275"/>
      <c r="AN776" s="275"/>
      <c r="AO776" s="275"/>
      <c r="AP776" s="275"/>
      <c r="AQ776" s="275"/>
      <c r="AR776" s="275"/>
      <c r="AS776" s="275"/>
      <c r="AT776" s="275"/>
      <c r="AU776" s="275"/>
      <c r="AV776" s="275"/>
      <c r="AW776" s="275"/>
      <c r="AX776" s="275"/>
      <c r="AY776" s="275"/>
      <c r="AZ776" s="275"/>
      <c r="BA776" s="275"/>
      <c r="BB776" s="275"/>
      <c r="BC776" s="275"/>
      <c r="BD776" s="275"/>
      <c r="BE776" s="275"/>
      <c r="BF776" s="275"/>
      <c r="BG776" s="275"/>
      <c r="BH776" s="275"/>
      <c r="BI776" s="275"/>
      <c r="BJ776" s="275"/>
      <c r="BK776" s="275"/>
      <c r="BL776" s="275"/>
      <c r="BM776" s="275"/>
      <c r="BN776" s="275"/>
      <c r="BO776" s="275"/>
      <c r="BP776" s="275"/>
      <c r="BQ776" s="275"/>
      <c r="BR776" s="275"/>
      <c r="BS776" s="275"/>
      <c r="BT776" s="275"/>
      <c r="BU776" s="275"/>
      <c r="BV776" s="275"/>
      <c r="BW776" s="275"/>
      <c r="BX776" s="275"/>
      <c r="BY776" s="275"/>
      <c r="BZ776" s="275"/>
      <c r="CA776" s="275"/>
      <c r="CB776" s="275"/>
      <c r="CC776" s="275"/>
      <c r="CD776" s="275"/>
      <c r="CE776" s="275"/>
    </row>
    <row r="777" spans="1:83" ht="12.6" customHeight="1" x14ac:dyDescent="0.25">
      <c r="A777" s="209" t="str">
        <f>RIGHT($C$83,3)&amp;"*"&amp;RIGHT($C$82,4)&amp;"*"&amp;AT$55&amp;"*"&amp;"A"</f>
        <v>032*2017*7420*A</v>
      </c>
      <c r="B777" s="274">
        <f>ROUND(AT59,0)</f>
        <v>0</v>
      </c>
      <c r="C777" s="276">
        <f>ROUND(AT60,2)</f>
        <v>0</v>
      </c>
      <c r="D777" s="274">
        <f>ROUND(AT61,0)</f>
        <v>0</v>
      </c>
      <c r="E777" s="274">
        <f>ROUND(AT62,0)</f>
        <v>0</v>
      </c>
      <c r="F777" s="274">
        <f>ROUND(AT63,0)</f>
        <v>0</v>
      </c>
      <c r="G777" s="274">
        <f>ROUND(AT64,0)</f>
        <v>0</v>
      </c>
      <c r="H777" s="274">
        <f>ROUND(AT65,0)</f>
        <v>0</v>
      </c>
      <c r="I777" s="274">
        <f>ROUND(AT66,0)</f>
        <v>0</v>
      </c>
      <c r="J777" s="274">
        <f>ROUND(AT67,0)</f>
        <v>0</v>
      </c>
      <c r="K777" s="274">
        <f>ROUND(AT68,0)</f>
        <v>0</v>
      </c>
      <c r="L777" s="274">
        <f>ROUND(AT69,0)</f>
        <v>0</v>
      </c>
      <c r="M777" s="274">
        <f>ROUND(AT70,0)</f>
        <v>0</v>
      </c>
      <c r="N777" s="274">
        <f>ROUND(AT75,0)</f>
        <v>0</v>
      </c>
      <c r="O777" s="274">
        <f>ROUND(AT73,0)</f>
        <v>0</v>
      </c>
      <c r="P777" s="274">
        <f>IF(AT76&gt;0,ROUND(AT76,0),0)</f>
        <v>0</v>
      </c>
      <c r="Q777" s="274">
        <f>IF(AT77&gt;0,ROUND(AT77,0),0)</f>
        <v>0</v>
      </c>
      <c r="R777" s="274">
        <f>IF(AT78&gt;0,ROUND(AT78,0),0)</f>
        <v>0</v>
      </c>
      <c r="S777" s="274">
        <f>IF(AT79&gt;0,ROUND(AT79,0),0)</f>
        <v>0</v>
      </c>
      <c r="T777" s="276">
        <f>IF(AT80&gt;0,ROUND(AT80,2),0)</f>
        <v>0</v>
      </c>
      <c r="U777" s="274"/>
      <c r="V777" s="275"/>
      <c r="W777" s="274"/>
      <c r="X777" s="274"/>
      <c r="Y777" s="274">
        <f t="shared" si="21"/>
        <v>0</v>
      </c>
      <c r="Z777" s="275"/>
      <c r="AA777" s="275"/>
      <c r="AB777" s="275"/>
      <c r="AC777" s="275"/>
      <c r="AD777" s="275"/>
      <c r="AE777" s="275"/>
      <c r="AF777" s="275"/>
      <c r="AG777" s="275"/>
      <c r="AH777" s="275"/>
      <c r="AI777" s="275"/>
      <c r="AJ777" s="275"/>
      <c r="AK777" s="275"/>
      <c r="AL777" s="275"/>
      <c r="AM777" s="275"/>
      <c r="AN777" s="275"/>
      <c r="AO777" s="275"/>
      <c r="AP777" s="275"/>
      <c r="AQ777" s="275"/>
      <c r="AR777" s="275"/>
      <c r="AS777" s="275"/>
      <c r="AT777" s="275"/>
      <c r="AU777" s="275"/>
      <c r="AV777" s="275"/>
      <c r="AW777" s="275"/>
      <c r="AX777" s="275"/>
      <c r="AY777" s="275"/>
      <c r="AZ777" s="275"/>
      <c r="BA777" s="275"/>
      <c r="BB777" s="275"/>
      <c r="BC777" s="275"/>
      <c r="BD777" s="275"/>
      <c r="BE777" s="275"/>
      <c r="BF777" s="275"/>
      <c r="BG777" s="275"/>
      <c r="BH777" s="275"/>
      <c r="BI777" s="275"/>
      <c r="BJ777" s="275"/>
      <c r="BK777" s="275"/>
      <c r="BL777" s="275"/>
      <c r="BM777" s="275"/>
      <c r="BN777" s="275"/>
      <c r="BO777" s="275"/>
      <c r="BP777" s="275"/>
      <c r="BQ777" s="275"/>
      <c r="BR777" s="275"/>
      <c r="BS777" s="275"/>
      <c r="BT777" s="275"/>
      <c r="BU777" s="275"/>
      <c r="BV777" s="275"/>
      <c r="BW777" s="275"/>
      <c r="BX777" s="275"/>
      <c r="BY777" s="275"/>
      <c r="BZ777" s="275"/>
      <c r="CA777" s="275"/>
      <c r="CB777" s="275"/>
      <c r="CC777" s="275"/>
      <c r="CD777" s="275"/>
      <c r="CE777" s="275"/>
    </row>
    <row r="778" spans="1:83" ht="12.6" customHeight="1" x14ac:dyDescent="0.25">
      <c r="A778" s="209" t="str">
        <f>RIGHT($C$83,3)&amp;"*"&amp;RIGHT($C$82,4)&amp;"*"&amp;AU$55&amp;"*"&amp;"A"</f>
        <v>032*2017*7430*A</v>
      </c>
      <c r="B778" s="274">
        <f>ROUND(AU59,0)</f>
        <v>0</v>
      </c>
      <c r="C778" s="276">
        <f>ROUND(AU60,2)</f>
        <v>0</v>
      </c>
      <c r="D778" s="274">
        <f>ROUND(AU61,0)</f>
        <v>0</v>
      </c>
      <c r="E778" s="274">
        <f>ROUND(AU62,0)</f>
        <v>0</v>
      </c>
      <c r="F778" s="274">
        <f>ROUND(AU63,0)</f>
        <v>0</v>
      </c>
      <c r="G778" s="274">
        <f>ROUND(AU64,0)</f>
        <v>0</v>
      </c>
      <c r="H778" s="274">
        <f>ROUND(AU65,0)</f>
        <v>0</v>
      </c>
      <c r="I778" s="274">
        <f>ROUND(AU66,0)</f>
        <v>0</v>
      </c>
      <c r="J778" s="274">
        <f>ROUND(AU67,0)</f>
        <v>0</v>
      </c>
      <c r="K778" s="274">
        <f>ROUND(AU68,0)</f>
        <v>0</v>
      </c>
      <c r="L778" s="274">
        <f>ROUND(AU69,0)</f>
        <v>0</v>
      </c>
      <c r="M778" s="274">
        <f>ROUND(AU70,0)</f>
        <v>0</v>
      </c>
      <c r="N778" s="274">
        <f>ROUND(AU75,0)</f>
        <v>0</v>
      </c>
      <c r="O778" s="274">
        <f>ROUND(AU73,0)</f>
        <v>0</v>
      </c>
      <c r="P778" s="274">
        <f>IF(AU76&gt;0,ROUND(AU76,0),0)</f>
        <v>0</v>
      </c>
      <c r="Q778" s="274">
        <f>IF(AU77&gt;0,ROUND(AU77,0),0)</f>
        <v>0</v>
      </c>
      <c r="R778" s="274">
        <f>IF(AU78&gt;0,ROUND(AU78,0),0)</f>
        <v>0</v>
      </c>
      <c r="S778" s="274">
        <f>IF(AU79&gt;0,ROUND(AU79,0),0)</f>
        <v>0</v>
      </c>
      <c r="T778" s="276">
        <f>IF(AU80&gt;0,ROUND(AU80,2),0)</f>
        <v>0</v>
      </c>
      <c r="U778" s="274"/>
      <c r="V778" s="275"/>
      <c r="W778" s="274"/>
      <c r="X778" s="274"/>
      <c r="Y778" s="274">
        <f t="shared" si="21"/>
        <v>0</v>
      </c>
      <c r="Z778" s="275"/>
      <c r="AA778" s="275"/>
      <c r="AB778" s="275"/>
      <c r="AC778" s="275"/>
      <c r="AD778" s="275"/>
      <c r="AE778" s="275"/>
      <c r="AF778" s="275"/>
      <c r="AG778" s="275"/>
      <c r="AH778" s="275"/>
      <c r="AI778" s="275"/>
      <c r="AJ778" s="275"/>
      <c r="AK778" s="275"/>
      <c r="AL778" s="275"/>
      <c r="AM778" s="275"/>
      <c r="AN778" s="275"/>
      <c r="AO778" s="275"/>
      <c r="AP778" s="275"/>
      <c r="AQ778" s="275"/>
      <c r="AR778" s="275"/>
      <c r="AS778" s="275"/>
      <c r="AT778" s="275"/>
      <c r="AU778" s="275"/>
      <c r="AV778" s="275"/>
      <c r="AW778" s="275"/>
      <c r="AX778" s="275"/>
      <c r="AY778" s="275"/>
      <c r="AZ778" s="275"/>
      <c r="BA778" s="275"/>
      <c r="BB778" s="275"/>
      <c r="BC778" s="275"/>
      <c r="BD778" s="275"/>
      <c r="BE778" s="275"/>
      <c r="BF778" s="275"/>
      <c r="BG778" s="275"/>
      <c r="BH778" s="275"/>
      <c r="BI778" s="275"/>
      <c r="BJ778" s="275"/>
      <c r="BK778" s="275"/>
      <c r="BL778" s="275"/>
      <c r="BM778" s="275"/>
      <c r="BN778" s="275"/>
      <c r="BO778" s="275"/>
      <c r="BP778" s="275"/>
      <c r="BQ778" s="275"/>
      <c r="BR778" s="275"/>
      <c r="BS778" s="275"/>
      <c r="BT778" s="275"/>
      <c r="BU778" s="275"/>
      <c r="BV778" s="275"/>
      <c r="BW778" s="275"/>
      <c r="BX778" s="275"/>
      <c r="BY778" s="275"/>
      <c r="BZ778" s="275"/>
      <c r="CA778" s="275"/>
      <c r="CB778" s="275"/>
      <c r="CC778" s="275"/>
      <c r="CD778" s="275"/>
      <c r="CE778" s="275"/>
    </row>
    <row r="779" spans="1:83" ht="12.6" customHeight="1" x14ac:dyDescent="0.25">
      <c r="A779" s="209" t="str">
        <f>RIGHT($C$83,3)&amp;"*"&amp;RIGHT($C$82,4)&amp;"*"&amp;AV$55&amp;"*"&amp;"A"</f>
        <v>032*2017*7490*A</v>
      </c>
      <c r="B779" s="274"/>
      <c r="C779" s="276">
        <f>ROUND(AV60,2)</f>
        <v>365.14</v>
      </c>
      <c r="D779" s="274">
        <f>ROUND(AV61,0)</f>
        <v>9117492</v>
      </c>
      <c r="E779" s="274">
        <f>ROUND(AV62,0)</f>
        <v>750148</v>
      </c>
      <c r="F779" s="274">
        <f>ROUND(AV63,0)</f>
        <v>10183203</v>
      </c>
      <c r="G779" s="274">
        <f>ROUND(AV64,0)</f>
        <v>-99762</v>
      </c>
      <c r="H779" s="274">
        <f>ROUND(AV65,0)</f>
        <v>6970</v>
      </c>
      <c r="I779" s="274">
        <f>ROUND(AV66,0)</f>
        <v>3045496</v>
      </c>
      <c r="J779" s="274">
        <f>ROUND(AV67,0)</f>
        <v>54862</v>
      </c>
      <c r="K779" s="274">
        <f>ROUND(AV68,0)</f>
        <v>294488</v>
      </c>
      <c r="L779" s="274">
        <f>ROUND(AV69,0)</f>
        <v>1336240</v>
      </c>
      <c r="M779" s="274">
        <f>ROUND(AV70,0)</f>
        <v>120334581</v>
      </c>
      <c r="N779" s="274">
        <f>ROUND(AV75,0)</f>
        <v>1755094</v>
      </c>
      <c r="O779" s="274">
        <f>ROUND(AV73,0)</f>
        <v>-335931</v>
      </c>
      <c r="P779" s="274">
        <f>IF(AV76&gt;0,ROUND(AV76,0),0)</f>
        <v>1394</v>
      </c>
      <c r="Q779" s="274">
        <f>IF(AV77&gt;0,ROUND(AV77,0),0)</f>
        <v>0</v>
      </c>
      <c r="R779" s="274">
        <f>IF(AV78&gt;0,ROUND(AV78,0),0)</f>
        <v>584</v>
      </c>
      <c r="S779" s="274">
        <f>IF(AV79&gt;0,ROUND(AV79,0),0)</f>
        <v>5554</v>
      </c>
      <c r="T779" s="276">
        <f>IF(AV80&gt;0,ROUND(AV80,2),0)</f>
        <v>2.66</v>
      </c>
      <c r="U779" s="274"/>
      <c r="V779" s="275"/>
      <c r="W779" s="274"/>
      <c r="X779" s="274"/>
      <c r="Y779" s="274">
        <f t="shared" si="21"/>
        <v>-23398758</v>
      </c>
      <c r="Z779" s="275"/>
      <c r="AA779" s="275"/>
      <c r="AB779" s="275"/>
      <c r="AC779" s="275"/>
      <c r="AD779" s="275"/>
      <c r="AE779" s="275"/>
      <c r="AF779" s="275"/>
      <c r="AG779" s="275"/>
      <c r="AH779" s="275"/>
      <c r="AI779" s="275"/>
      <c r="AJ779" s="275"/>
      <c r="AK779" s="275"/>
      <c r="AL779" s="275"/>
      <c r="AM779" s="275"/>
      <c r="AN779" s="275"/>
      <c r="AO779" s="275"/>
      <c r="AP779" s="275"/>
      <c r="AQ779" s="275"/>
      <c r="AR779" s="275"/>
      <c r="AS779" s="275"/>
      <c r="AT779" s="275"/>
      <c r="AU779" s="275"/>
      <c r="AV779" s="275"/>
      <c r="AW779" s="275"/>
      <c r="AX779" s="275"/>
      <c r="AY779" s="275"/>
      <c r="AZ779" s="275"/>
      <c r="BA779" s="275"/>
      <c r="BB779" s="275"/>
      <c r="BC779" s="275"/>
      <c r="BD779" s="275"/>
      <c r="BE779" s="275"/>
      <c r="BF779" s="275"/>
      <c r="BG779" s="275"/>
      <c r="BH779" s="275"/>
      <c r="BI779" s="275"/>
      <c r="BJ779" s="275"/>
      <c r="BK779" s="275"/>
      <c r="BL779" s="275"/>
      <c r="BM779" s="275"/>
      <c r="BN779" s="275"/>
      <c r="BO779" s="275"/>
      <c r="BP779" s="275"/>
      <c r="BQ779" s="275"/>
      <c r="BR779" s="275"/>
      <c r="BS779" s="275"/>
      <c r="BT779" s="275"/>
      <c r="BU779" s="275"/>
      <c r="BV779" s="275"/>
      <c r="BW779" s="275"/>
      <c r="BX779" s="275"/>
      <c r="BY779" s="275"/>
      <c r="BZ779" s="275"/>
      <c r="CA779" s="275"/>
      <c r="CB779" s="275"/>
      <c r="CC779" s="275"/>
      <c r="CD779" s="275"/>
      <c r="CE779" s="275"/>
    </row>
    <row r="780" spans="1:83" ht="12.6" customHeight="1" x14ac:dyDescent="0.25">
      <c r="A780" s="209" t="str">
        <f>RIGHT($C$83,3)&amp;"*"&amp;RIGHT($C$82,4)&amp;"*"&amp;AW$55&amp;"*"&amp;"A"</f>
        <v>032*2017*8200*A</v>
      </c>
      <c r="B780" s="274"/>
      <c r="C780" s="276">
        <f>ROUND(AW60,2)</f>
        <v>0</v>
      </c>
      <c r="D780" s="274">
        <f>ROUND(AW61,0)</f>
        <v>0</v>
      </c>
      <c r="E780" s="274">
        <f>ROUND(AW62,0)</f>
        <v>0</v>
      </c>
      <c r="F780" s="274">
        <f>ROUND(AW63,0)</f>
        <v>0</v>
      </c>
      <c r="G780" s="274">
        <f>ROUND(AW64,0)</f>
        <v>0</v>
      </c>
      <c r="H780" s="274">
        <f>ROUND(AW65,0)</f>
        <v>0</v>
      </c>
      <c r="I780" s="274">
        <f>ROUND(AW66,0)</f>
        <v>0</v>
      </c>
      <c r="J780" s="274">
        <f>ROUND(AW67,0)</f>
        <v>0</v>
      </c>
      <c r="K780" s="274">
        <f>ROUND(AW68,0)</f>
        <v>0</v>
      </c>
      <c r="L780" s="274">
        <f>ROUND(AW69,0)</f>
        <v>0</v>
      </c>
      <c r="M780" s="274">
        <f>ROUND(AW70,0)</f>
        <v>0</v>
      </c>
      <c r="N780" s="274"/>
      <c r="O780" s="274"/>
      <c r="P780" s="274">
        <f>IF(AW76&gt;0,ROUND(AW76,0),0)</f>
        <v>0</v>
      </c>
      <c r="Q780" s="274">
        <f>IF(AW77&gt;0,ROUND(AW77,0),0)</f>
        <v>0</v>
      </c>
      <c r="R780" s="274">
        <f>IF(AW78&gt;0,ROUND(AW78,0),0)</f>
        <v>0</v>
      </c>
      <c r="S780" s="274">
        <f>IF(AW79&gt;0,ROUND(AW79,0),0)</f>
        <v>0</v>
      </c>
      <c r="T780" s="276">
        <f>IF(AW80&gt;0,ROUND(AW80,2),0)</f>
        <v>0</v>
      </c>
      <c r="U780" s="274"/>
      <c r="V780" s="275"/>
      <c r="W780" s="274"/>
      <c r="X780" s="274"/>
      <c r="Y780" s="274"/>
      <c r="Z780" s="275"/>
      <c r="AA780" s="275"/>
      <c r="AB780" s="275"/>
      <c r="AC780" s="275"/>
      <c r="AD780" s="275"/>
      <c r="AE780" s="275"/>
      <c r="AF780" s="275"/>
      <c r="AG780" s="275"/>
      <c r="AH780" s="275"/>
      <c r="AI780" s="275"/>
      <c r="AJ780" s="275"/>
      <c r="AK780" s="275"/>
      <c r="AL780" s="275"/>
      <c r="AM780" s="275"/>
      <c r="AN780" s="275"/>
      <c r="AO780" s="275"/>
      <c r="AP780" s="275"/>
      <c r="AQ780" s="275"/>
      <c r="AR780" s="275"/>
      <c r="AS780" s="275"/>
      <c r="AT780" s="275"/>
      <c r="AU780" s="275"/>
      <c r="AV780" s="275"/>
      <c r="AW780" s="275"/>
      <c r="AX780" s="275"/>
      <c r="AY780" s="275"/>
      <c r="AZ780" s="275"/>
      <c r="BA780" s="275"/>
      <c r="BB780" s="275"/>
      <c r="BC780" s="275"/>
      <c r="BD780" s="275"/>
      <c r="BE780" s="275"/>
      <c r="BF780" s="275"/>
      <c r="BG780" s="275"/>
      <c r="BH780" s="275"/>
      <c r="BI780" s="275"/>
      <c r="BJ780" s="275"/>
      <c r="BK780" s="275"/>
      <c r="BL780" s="275"/>
      <c r="BM780" s="275"/>
      <c r="BN780" s="275"/>
      <c r="BO780" s="275"/>
      <c r="BP780" s="275"/>
      <c r="BQ780" s="275"/>
      <c r="BR780" s="275"/>
      <c r="BS780" s="275"/>
      <c r="BT780" s="275"/>
      <c r="BU780" s="275"/>
      <c r="BV780" s="275"/>
      <c r="BW780" s="275"/>
      <c r="BX780" s="275"/>
      <c r="BY780" s="275"/>
      <c r="BZ780" s="275"/>
      <c r="CA780" s="275"/>
      <c r="CB780" s="275"/>
      <c r="CC780" s="275"/>
      <c r="CD780" s="275"/>
      <c r="CE780" s="275"/>
    </row>
    <row r="781" spans="1:83" ht="12.6" customHeight="1" x14ac:dyDescent="0.25">
      <c r="A781" s="209" t="str">
        <f>RIGHT($C$83,3)&amp;"*"&amp;RIGHT($C$82,4)&amp;"*"&amp;AX$55&amp;"*"&amp;"A"</f>
        <v>032*2017*8310*A</v>
      </c>
      <c r="B781" s="274"/>
      <c r="C781" s="276">
        <f>ROUND(AX60,2)</f>
        <v>0</v>
      </c>
      <c r="D781" s="274">
        <f>ROUND(AX61,0)</f>
        <v>0</v>
      </c>
      <c r="E781" s="274">
        <f>ROUND(AX62,0)</f>
        <v>0</v>
      </c>
      <c r="F781" s="274">
        <f>ROUND(AX63,0)</f>
        <v>0</v>
      </c>
      <c r="G781" s="274">
        <f>ROUND(AX64,0)</f>
        <v>0</v>
      </c>
      <c r="H781" s="274">
        <f>ROUND(AX65,0)</f>
        <v>0</v>
      </c>
      <c r="I781" s="274">
        <f>ROUND(AX66,0)</f>
        <v>435101</v>
      </c>
      <c r="J781" s="274">
        <f>ROUND(AX67,0)</f>
        <v>0</v>
      </c>
      <c r="K781" s="274">
        <f>ROUND(AX68,0)</f>
        <v>0</v>
      </c>
      <c r="L781" s="274">
        <f>ROUND(AX69,0)</f>
        <v>0</v>
      </c>
      <c r="M781" s="274">
        <f>ROUND(AX70,0)</f>
        <v>0</v>
      </c>
      <c r="N781" s="274"/>
      <c r="O781" s="274"/>
      <c r="P781" s="274">
        <f>IF(AX76&gt;0,ROUND(AX76,0),0)</f>
        <v>0</v>
      </c>
      <c r="Q781" s="274">
        <f>IF(AX77&gt;0,ROUND(AX77,0),0)</f>
        <v>0</v>
      </c>
      <c r="R781" s="274">
        <f>IF(AX78&gt;0,ROUND(AX78,0),0)</f>
        <v>0</v>
      </c>
      <c r="S781" s="274">
        <f>IF(AX79&gt;0,ROUND(AX79,0),0)</f>
        <v>0</v>
      </c>
      <c r="T781" s="276">
        <f>IF(AX80&gt;0,ROUND(AX80,2),0)</f>
        <v>0</v>
      </c>
      <c r="U781" s="274"/>
      <c r="V781" s="275"/>
      <c r="W781" s="274"/>
      <c r="X781" s="274"/>
      <c r="Y781" s="274"/>
      <c r="Z781" s="275"/>
      <c r="AA781" s="275"/>
      <c r="AB781" s="275"/>
      <c r="AC781" s="275"/>
      <c r="AD781" s="275"/>
      <c r="AE781" s="275"/>
      <c r="AF781" s="275"/>
      <c r="AG781" s="275"/>
      <c r="AH781" s="275"/>
      <c r="AI781" s="275"/>
      <c r="AJ781" s="275"/>
      <c r="AK781" s="275"/>
      <c r="AL781" s="275"/>
      <c r="AM781" s="275"/>
      <c r="AN781" s="275"/>
      <c r="AO781" s="275"/>
      <c r="AP781" s="275"/>
      <c r="AQ781" s="275"/>
      <c r="AR781" s="275"/>
      <c r="AS781" s="275"/>
      <c r="AT781" s="275"/>
      <c r="AU781" s="275"/>
      <c r="AV781" s="275"/>
      <c r="AW781" s="275"/>
      <c r="AX781" s="275"/>
      <c r="AY781" s="275"/>
      <c r="AZ781" s="275"/>
      <c r="BA781" s="275"/>
      <c r="BB781" s="275"/>
      <c r="BC781" s="275"/>
      <c r="BD781" s="275"/>
      <c r="BE781" s="275"/>
      <c r="BF781" s="275"/>
      <c r="BG781" s="275"/>
      <c r="BH781" s="275"/>
      <c r="BI781" s="275"/>
      <c r="BJ781" s="275"/>
      <c r="BK781" s="275"/>
      <c r="BL781" s="275"/>
      <c r="BM781" s="275"/>
      <c r="BN781" s="275"/>
      <c r="BO781" s="275"/>
      <c r="BP781" s="275"/>
      <c r="BQ781" s="275"/>
      <c r="BR781" s="275"/>
      <c r="BS781" s="275"/>
      <c r="BT781" s="275"/>
      <c r="BU781" s="275"/>
      <c r="BV781" s="275"/>
      <c r="BW781" s="275"/>
      <c r="BX781" s="275"/>
      <c r="BY781" s="275"/>
      <c r="BZ781" s="275"/>
      <c r="CA781" s="275"/>
      <c r="CB781" s="275"/>
      <c r="CC781" s="275"/>
      <c r="CD781" s="275"/>
      <c r="CE781" s="275"/>
    </row>
    <row r="782" spans="1:83" ht="12.6" customHeight="1" x14ac:dyDescent="0.25">
      <c r="A782" s="209" t="str">
        <f>RIGHT($C$83,3)&amp;"*"&amp;RIGHT($C$82,4)&amp;"*"&amp;AY$55&amp;"*"&amp;"A"</f>
        <v>032*2017*8320*A</v>
      </c>
      <c r="B782" s="274">
        <f>ROUND(AY59,0)</f>
        <v>611178</v>
      </c>
      <c r="C782" s="276">
        <f>ROUND(AY60,2)</f>
        <v>0</v>
      </c>
      <c r="D782" s="274">
        <f>ROUND(AY61,0)</f>
        <v>0</v>
      </c>
      <c r="E782" s="274">
        <f>ROUND(AY62,0)</f>
        <v>0</v>
      </c>
      <c r="F782" s="274">
        <f>ROUND(AY63,0)</f>
        <v>0</v>
      </c>
      <c r="G782" s="274">
        <f>ROUND(AY64,0)</f>
        <v>0</v>
      </c>
      <c r="H782" s="274">
        <f>ROUND(AY65,0)</f>
        <v>0</v>
      </c>
      <c r="I782" s="274">
        <f>ROUND(AY66,0)</f>
        <v>0</v>
      </c>
      <c r="J782" s="274">
        <f>ROUND(AY67,0)</f>
        <v>0</v>
      </c>
      <c r="K782" s="274">
        <f>ROUND(AY68,0)</f>
        <v>0</v>
      </c>
      <c r="L782" s="274">
        <f>ROUND(AY69,0)</f>
        <v>0</v>
      </c>
      <c r="M782" s="274">
        <f>ROUND(AY70,0)</f>
        <v>0</v>
      </c>
      <c r="N782" s="274"/>
      <c r="O782" s="274"/>
      <c r="P782" s="274">
        <f>IF(AY76&gt;0,ROUND(AY76,0),0)</f>
        <v>0</v>
      </c>
      <c r="Q782" s="274">
        <f>IF(AY77&gt;0,ROUND(AY77,0),0)</f>
        <v>0</v>
      </c>
      <c r="R782" s="274">
        <f>IF(AY78&gt;0,ROUND(AY78,0),0)</f>
        <v>0</v>
      </c>
      <c r="S782" s="274">
        <f>IF(AY79&gt;0,ROUND(AY79,0),0)</f>
        <v>0</v>
      </c>
      <c r="T782" s="276">
        <f>IF(AY80&gt;0,ROUND(AY80,2),0)</f>
        <v>0</v>
      </c>
      <c r="U782" s="274"/>
      <c r="V782" s="275"/>
      <c r="W782" s="274"/>
      <c r="X782" s="274"/>
      <c r="Y782" s="274"/>
      <c r="Z782" s="275"/>
      <c r="AA782" s="275"/>
      <c r="AB782" s="275"/>
      <c r="AC782" s="275"/>
      <c r="AD782" s="275"/>
      <c r="AE782" s="275"/>
      <c r="AF782" s="275"/>
      <c r="AG782" s="275"/>
      <c r="AH782" s="275"/>
      <c r="AI782" s="275"/>
      <c r="AJ782" s="275"/>
      <c r="AK782" s="275"/>
      <c r="AL782" s="275"/>
      <c r="AM782" s="275"/>
      <c r="AN782" s="275"/>
      <c r="AO782" s="275"/>
      <c r="AP782" s="275"/>
      <c r="AQ782" s="275"/>
      <c r="AR782" s="275"/>
      <c r="AS782" s="275"/>
      <c r="AT782" s="275"/>
      <c r="AU782" s="275"/>
      <c r="AV782" s="275"/>
      <c r="AW782" s="275"/>
      <c r="AX782" s="275"/>
      <c r="AY782" s="275"/>
      <c r="AZ782" s="275"/>
      <c r="BA782" s="275"/>
      <c r="BB782" s="275"/>
      <c r="BC782" s="275"/>
      <c r="BD782" s="275"/>
      <c r="BE782" s="275"/>
      <c r="BF782" s="275"/>
      <c r="BG782" s="275"/>
      <c r="BH782" s="275"/>
      <c r="BI782" s="275"/>
      <c r="BJ782" s="275"/>
      <c r="BK782" s="275"/>
      <c r="BL782" s="275"/>
      <c r="BM782" s="275"/>
      <c r="BN782" s="275"/>
      <c r="BO782" s="275"/>
      <c r="BP782" s="275"/>
      <c r="BQ782" s="275"/>
      <c r="BR782" s="275"/>
      <c r="BS782" s="275"/>
      <c r="BT782" s="275"/>
      <c r="BU782" s="275"/>
      <c r="BV782" s="275"/>
      <c r="BW782" s="275"/>
      <c r="BX782" s="275"/>
      <c r="BY782" s="275"/>
      <c r="BZ782" s="275"/>
      <c r="CA782" s="275"/>
      <c r="CB782" s="275"/>
      <c r="CC782" s="275"/>
      <c r="CD782" s="275"/>
      <c r="CE782" s="275"/>
    </row>
    <row r="783" spans="1:83" ht="12.6" customHeight="1" x14ac:dyDescent="0.25">
      <c r="A783" s="209" t="str">
        <f>RIGHT($C$83,3)&amp;"*"&amp;RIGHT($C$82,4)&amp;"*"&amp;AZ$55&amp;"*"&amp;"A"</f>
        <v>032*2017*8330*A</v>
      </c>
      <c r="B783" s="274">
        <f>ROUND(AZ59,0)</f>
        <v>2003232</v>
      </c>
      <c r="C783" s="276">
        <f>ROUND(AZ60,2)</f>
        <v>16.88</v>
      </c>
      <c r="D783" s="274">
        <f>ROUND(AZ61,0)</f>
        <v>4577528</v>
      </c>
      <c r="E783" s="274">
        <f>ROUND(AZ62,0)</f>
        <v>2062963</v>
      </c>
      <c r="F783" s="274">
        <f>ROUND(AZ63,0)</f>
        <v>0</v>
      </c>
      <c r="G783" s="274">
        <f>ROUND(AZ64,0)</f>
        <v>3424026</v>
      </c>
      <c r="H783" s="274">
        <f>ROUND(AZ65,0)</f>
        <v>2616</v>
      </c>
      <c r="I783" s="274">
        <f>ROUND(AZ66,0)</f>
        <v>1947921</v>
      </c>
      <c r="J783" s="274">
        <f>ROUND(AZ67,0)</f>
        <v>459891</v>
      </c>
      <c r="K783" s="274">
        <f>ROUND(AZ68,0)</f>
        <v>94447</v>
      </c>
      <c r="L783" s="274">
        <f>ROUND(AZ69,0)</f>
        <v>95841</v>
      </c>
      <c r="M783" s="274">
        <f>ROUND(AZ70,0)</f>
        <v>4253146</v>
      </c>
      <c r="N783" s="274"/>
      <c r="O783" s="274"/>
      <c r="P783" s="274">
        <f>IF(AZ76&gt;0,ROUND(AZ76,0),0)</f>
        <v>19038</v>
      </c>
      <c r="Q783" s="274">
        <f>IF(AZ77&gt;0,ROUND(AZ77,0),0)</f>
        <v>0</v>
      </c>
      <c r="R783" s="274">
        <f>IF(AZ78&gt;0,ROUND(AZ78,0),0)</f>
        <v>0</v>
      </c>
      <c r="S783" s="274">
        <f>IF(AZ79&gt;0,ROUND(AZ79,0),0)</f>
        <v>0</v>
      </c>
      <c r="T783" s="276">
        <f>IF(AZ80&gt;0,ROUND(AZ80,2),0)</f>
        <v>0</v>
      </c>
      <c r="U783" s="274"/>
      <c r="V783" s="275"/>
      <c r="W783" s="274"/>
      <c r="X783" s="274"/>
      <c r="Y783" s="274"/>
      <c r="Z783" s="275"/>
      <c r="AA783" s="275"/>
      <c r="AB783" s="275"/>
      <c r="AC783" s="275"/>
      <c r="AD783" s="275"/>
      <c r="AE783" s="275"/>
      <c r="AF783" s="275"/>
      <c r="AG783" s="275"/>
      <c r="AH783" s="275"/>
      <c r="AI783" s="275"/>
      <c r="AJ783" s="275"/>
      <c r="AK783" s="275"/>
      <c r="AL783" s="275"/>
      <c r="AM783" s="275"/>
      <c r="AN783" s="275"/>
      <c r="AO783" s="275"/>
      <c r="AP783" s="275"/>
      <c r="AQ783" s="275"/>
      <c r="AR783" s="275"/>
      <c r="AS783" s="275"/>
      <c r="AT783" s="275"/>
      <c r="AU783" s="275"/>
      <c r="AV783" s="275"/>
      <c r="AW783" s="275"/>
      <c r="AX783" s="275"/>
      <c r="AY783" s="275"/>
      <c r="AZ783" s="275"/>
      <c r="BA783" s="275"/>
      <c r="BB783" s="275"/>
      <c r="BC783" s="275"/>
      <c r="BD783" s="275"/>
      <c r="BE783" s="275"/>
      <c r="BF783" s="275"/>
      <c r="BG783" s="275"/>
      <c r="BH783" s="275"/>
      <c r="BI783" s="275"/>
      <c r="BJ783" s="275"/>
      <c r="BK783" s="275"/>
      <c r="BL783" s="275"/>
      <c r="BM783" s="275"/>
      <c r="BN783" s="275"/>
      <c r="BO783" s="275"/>
      <c r="BP783" s="275"/>
      <c r="BQ783" s="275"/>
      <c r="BR783" s="275"/>
      <c r="BS783" s="275"/>
      <c r="BT783" s="275"/>
      <c r="BU783" s="275"/>
      <c r="BV783" s="275"/>
      <c r="BW783" s="275"/>
      <c r="BX783" s="275"/>
      <c r="BY783" s="275"/>
      <c r="BZ783" s="275"/>
      <c r="CA783" s="275"/>
      <c r="CB783" s="275"/>
      <c r="CC783" s="275"/>
      <c r="CD783" s="275"/>
      <c r="CE783" s="275"/>
    </row>
    <row r="784" spans="1:83" ht="12.6" customHeight="1" x14ac:dyDescent="0.25">
      <c r="A784" s="209" t="str">
        <f>RIGHT($C$83,3)&amp;"*"&amp;RIGHT($C$82,4)&amp;"*"&amp;BA$55&amp;"*"&amp;"A"</f>
        <v>032*2017*8350*A</v>
      </c>
      <c r="B784" s="274">
        <f>ROUND(BA59,0)</f>
        <v>0</v>
      </c>
      <c r="C784" s="276">
        <f>ROUND(BA60,2)</f>
        <v>3.01</v>
      </c>
      <c r="D784" s="274">
        <f>ROUND(BA61,0)</f>
        <v>0</v>
      </c>
      <c r="E784" s="274">
        <f>ROUND(BA62,0)</f>
        <v>0</v>
      </c>
      <c r="F784" s="274">
        <f>ROUND(BA63,0)</f>
        <v>0</v>
      </c>
      <c r="G784" s="274">
        <f>ROUND(BA64,0)</f>
        <v>1934</v>
      </c>
      <c r="H784" s="274">
        <f>ROUND(BA65,0)</f>
        <v>0</v>
      </c>
      <c r="I784" s="274">
        <f>ROUND(BA66,0)</f>
        <v>13657</v>
      </c>
      <c r="J784" s="274">
        <f>ROUND(BA67,0)</f>
        <v>63066</v>
      </c>
      <c r="K784" s="274">
        <f>ROUND(BA68,0)</f>
        <v>85</v>
      </c>
      <c r="L784" s="274">
        <f>ROUND(BA69,0)</f>
        <v>0</v>
      </c>
      <c r="M784" s="274">
        <f>ROUND(BA70,0)</f>
        <v>0</v>
      </c>
      <c r="N784" s="274"/>
      <c r="O784" s="274"/>
      <c r="P784" s="274">
        <f>IF(BA76&gt;0,ROUND(BA76,0),0)</f>
        <v>4244</v>
      </c>
      <c r="Q784" s="274">
        <f>IF(BA77&gt;0,ROUND(BA77,0),0)</f>
        <v>0</v>
      </c>
      <c r="R784" s="274">
        <f>IF(BA78&gt;0,ROUND(BA78,0),0)</f>
        <v>1779</v>
      </c>
      <c r="S784" s="274">
        <f>IF(BA79&gt;0,ROUND(BA79,0),0)</f>
        <v>0</v>
      </c>
      <c r="T784" s="276">
        <f>IF(BA80&gt;0,ROUND(BA80,2),0)</f>
        <v>0</v>
      </c>
      <c r="U784" s="274"/>
      <c r="V784" s="275"/>
      <c r="W784" s="274"/>
      <c r="X784" s="274"/>
      <c r="Y784" s="274"/>
      <c r="Z784" s="275"/>
      <c r="AA784" s="275"/>
      <c r="AB784" s="275"/>
      <c r="AC784" s="275"/>
      <c r="AD784" s="275"/>
      <c r="AE784" s="275"/>
      <c r="AF784" s="275"/>
      <c r="AG784" s="275"/>
      <c r="AH784" s="275"/>
      <c r="AI784" s="275"/>
      <c r="AJ784" s="275"/>
      <c r="AK784" s="275"/>
      <c r="AL784" s="275"/>
      <c r="AM784" s="275"/>
      <c r="AN784" s="275"/>
      <c r="AO784" s="275"/>
      <c r="AP784" s="275"/>
      <c r="AQ784" s="275"/>
      <c r="AR784" s="275"/>
      <c r="AS784" s="275"/>
      <c r="AT784" s="275"/>
      <c r="AU784" s="275"/>
      <c r="AV784" s="275"/>
      <c r="AW784" s="275"/>
      <c r="AX784" s="275"/>
      <c r="AY784" s="275"/>
      <c r="AZ784" s="275"/>
      <c r="BA784" s="275"/>
      <c r="BB784" s="275"/>
      <c r="BC784" s="275"/>
      <c r="BD784" s="275"/>
      <c r="BE784" s="275"/>
      <c r="BF784" s="275"/>
      <c r="BG784" s="275"/>
      <c r="BH784" s="275"/>
      <c r="BI784" s="275"/>
      <c r="BJ784" s="275"/>
      <c r="BK784" s="275"/>
      <c r="BL784" s="275"/>
      <c r="BM784" s="275"/>
      <c r="BN784" s="275"/>
      <c r="BO784" s="275"/>
      <c r="BP784" s="275"/>
      <c r="BQ784" s="275"/>
      <c r="BR784" s="275"/>
      <c r="BS784" s="275"/>
      <c r="BT784" s="275"/>
      <c r="BU784" s="275"/>
      <c r="BV784" s="275"/>
      <c r="BW784" s="275"/>
      <c r="BX784" s="275"/>
      <c r="BY784" s="275"/>
      <c r="BZ784" s="275"/>
      <c r="CA784" s="275"/>
      <c r="CB784" s="275"/>
      <c r="CC784" s="275"/>
      <c r="CD784" s="275"/>
      <c r="CE784" s="275"/>
    </row>
    <row r="785" spans="1:83" ht="12.6" customHeight="1" x14ac:dyDescent="0.25">
      <c r="A785" s="209" t="str">
        <f>RIGHT($C$83,3)&amp;"*"&amp;RIGHT($C$82,4)&amp;"*"&amp;BB$55&amp;"*"&amp;"A"</f>
        <v>032*2017*8360*A</v>
      </c>
      <c r="B785" s="274"/>
      <c r="C785" s="276">
        <f>ROUND(BB60,2)</f>
        <v>0</v>
      </c>
      <c r="D785" s="274">
        <f>ROUND(BB61,0)</f>
        <v>0</v>
      </c>
      <c r="E785" s="274">
        <f>ROUND(BB62,0)</f>
        <v>0</v>
      </c>
      <c r="F785" s="274">
        <f>ROUND(BB63,0)</f>
        <v>0</v>
      </c>
      <c r="G785" s="274">
        <f>ROUND(BB64,0)</f>
        <v>0</v>
      </c>
      <c r="H785" s="274">
        <f>ROUND(BB65,0)</f>
        <v>0</v>
      </c>
      <c r="I785" s="274">
        <f>ROUND(BB66,0)</f>
        <v>0</v>
      </c>
      <c r="J785" s="274">
        <f>ROUND(BB67,0)</f>
        <v>0</v>
      </c>
      <c r="K785" s="274">
        <f>ROUND(BB68,0)</f>
        <v>0</v>
      </c>
      <c r="L785" s="274">
        <f>ROUND(BB69,0)</f>
        <v>0</v>
      </c>
      <c r="M785" s="274">
        <f>ROUND(BB70,0)</f>
        <v>0</v>
      </c>
      <c r="N785" s="274"/>
      <c r="O785" s="274"/>
      <c r="P785" s="274">
        <f>IF(BB76&gt;0,ROUND(BB76,0),0)</f>
        <v>0</v>
      </c>
      <c r="Q785" s="274">
        <f>IF(BB77&gt;0,ROUND(BB77,0),0)</f>
        <v>0</v>
      </c>
      <c r="R785" s="274">
        <f>IF(BB78&gt;0,ROUND(BB78,0),0)</f>
        <v>0</v>
      </c>
      <c r="S785" s="274">
        <f>IF(BB79&gt;0,ROUND(BB79,0),0)</f>
        <v>0</v>
      </c>
      <c r="T785" s="276">
        <f>IF(BB80&gt;0,ROUND(BB80,2),0)</f>
        <v>0</v>
      </c>
      <c r="U785" s="274"/>
      <c r="V785" s="275"/>
      <c r="W785" s="274"/>
      <c r="X785" s="274"/>
      <c r="Y785" s="274"/>
      <c r="Z785" s="275"/>
      <c r="AA785" s="275"/>
      <c r="AB785" s="275"/>
      <c r="AC785" s="275"/>
      <c r="AD785" s="275"/>
      <c r="AE785" s="275"/>
      <c r="AF785" s="275"/>
      <c r="AG785" s="275"/>
      <c r="AH785" s="275"/>
      <c r="AI785" s="275"/>
      <c r="AJ785" s="275"/>
      <c r="AK785" s="275"/>
      <c r="AL785" s="275"/>
      <c r="AM785" s="275"/>
      <c r="AN785" s="275"/>
      <c r="AO785" s="275"/>
      <c r="AP785" s="275"/>
      <c r="AQ785" s="275"/>
      <c r="AR785" s="275"/>
      <c r="AS785" s="275"/>
      <c r="AT785" s="275"/>
      <c r="AU785" s="275"/>
      <c r="AV785" s="275"/>
      <c r="AW785" s="275"/>
      <c r="AX785" s="275"/>
      <c r="AY785" s="275"/>
      <c r="AZ785" s="275"/>
      <c r="BA785" s="275"/>
      <c r="BB785" s="275"/>
      <c r="BC785" s="275"/>
      <c r="BD785" s="275"/>
      <c r="BE785" s="275"/>
      <c r="BF785" s="275"/>
      <c r="BG785" s="275"/>
      <c r="BH785" s="275"/>
      <c r="BI785" s="275"/>
      <c r="BJ785" s="275"/>
      <c r="BK785" s="275"/>
      <c r="BL785" s="275"/>
      <c r="BM785" s="275"/>
      <c r="BN785" s="275"/>
      <c r="BO785" s="275"/>
      <c r="BP785" s="275"/>
      <c r="BQ785" s="275"/>
      <c r="BR785" s="275"/>
      <c r="BS785" s="275"/>
      <c r="BT785" s="275"/>
      <c r="BU785" s="275"/>
      <c r="BV785" s="275"/>
      <c r="BW785" s="275"/>
      <c r="BX785" s="275"/>
      <c r="BY785" s="275"/>
      <c r="BZ785" s="275"/>
      <c r="CA785" s="275"/>
      <c r="CB785" s="275"/>
      <c r="CC785" s="275"/>
      <c r="CD785" s="275"/>
      <c r="CE785" s="275"/>
    </row>
    <row r="786" spans="1:83" ht="12.6" customHeight="1" x14ac:dyDescent="0.25">
      <c r="A786" s="209" t="str">
        <f>RIGHT($C$83,3)&amp;"*"&amp;RIGHT($C$82,4)&amp;"*"&amp;BC$55&amp;"*"&amp;"A"</f>
        <v>032*2017*8370*A</v>
      </c>
      <c r="B786" s="274"/>
      <c r="C786" s="276">
        <f>ROUND(BC60,2)</f>
        <v>10.11</v>
      </c>
      <c r="D786" s="274">
        <f>ROUND(BC61,0)</f>
        <v>1010591</v>
      </c>
      <c r="E786" s="274">
        <f>ROUND(BC62,0)</f>
        <v>466019</v>
      </c>
      <c r="F786" s="274">
        <f>ROUND(BC63,0)</f>
        <v>0</v>
      </c>
      <c r="G786" s="274">
        <f>ROUND(BC64,0)</f>
        <v>21014</v>
      </c>
      <c r="H786" s="274">
        <f>ROUND(BC65,0)</f>
        <v>0</v>
      </c>
      <c r="I786" s="274">
        <f>ROUND(BC66,0)</f>
        <v>141</v>
      </c>
      <c r="J786" s="274">
        <f>ROUND(BC67,0)</f>
        <v>0</v>
      </c>
      <c r="K786" s="274">
        <f>ROUND(BC68,0)</f>
        <v>2080</v>
      </c>
      <c r="L786" s="274">
        <f>ROUND(BC69,0)</f>
        <v>159</v>
      </c>
      <c r="M786" s="274">
        <f>ROUND(BC70,0)</f>
        <v>0</v>
      </c>
      <c r="N786" s="274"/>
      <c r="O786" s="274"/>
      <c r="P786" s="274">
        <f>IF(BC76&gt;0,ROUND(BC76,0),0)</f>
        <v>0</v>
      </c>
      <c r="Q786" s="274">
        <f>IF(BC77&gt;0,ROUND(BC77,0),0)</f>
        <v>0</v>
      </c>
      <c r="R786" s="274">
        <f>IF(BC78&gt;0,ROUND(BC78,0),0)</f>
        <v>0</v>
      </c>
      <c r="S786" s="274">
        <f>IF(BC79&gt;0,ROUND(BC79,0),0)</f>
        <v>0</v>
      </c>
      <c r="T786" s="276">
        <f>IF(BC80&gt;0,ROUND(BC80,2),0)</f>
        <v>0</v>
      </c>
      <c r="U786" s="274"/>
      <c r="V786" s="275"/>
      <c r="W786" s="274"/>
      <c r="X786" s="274"/>
      <c r="Y786" s="274"/>
      <c r="Z786" s="275"/>
      <c r="AA786" s="275"/>
      <c r="AB786" s="275"/>
      <c r="AC786" s="275"/>
      <c r="AD786" s="275"/>
      <c r="AE786" s="275"/>
      <c r="AF786" s="275"/>
      <c r="AG786" s="275"/>
      <c r="AH786" s="275"/>
      <c r="AI786" s="275"/>
      <c r="AJ786" s="275"/>
      <c r="AK786" s="275"/>
      <c r="AL786" s="275"/>
      <c r="AM786" s="275"/>
      <c r="AN786" s="275"/>
      <c r="AO786" s="275"/>
      <c r="AP786" s="275"/>
      <c r="AQ786" s="275"/>
      <c r="AR786" s="275"/>
      <c r="AS786" s="275"/>
      <c r="AT786" s="275"/>
      <c r="AU786" s="275"/>
      <c r="AV786" s="275"/>
      <c r="AW786" s="275"/>
      <c r="AX786" s="275"/>
      <c r="AY786" s="275"/>
      <c r="AZ786" s="275"/>
      <c r="BA786" s="275"/>
      <c r="BB786" s="275"/>
      <c r="BC786" s="275"/>
      <c r="BD786" s="275"/>
      <c r="BE786" s="275"/>
      <c r="BF786" s="275"/>
      <c r="BG786" s="275"/>
      <c r="BH786" s="275"/>
      <c r="BI786" s="275"/>
      <c r="BJ786" s="275"/>
      <c r="BK786" s="275"/>
      <c r="BL786" s="275"/>
      <c r="BM786" s="275"/>
      <c r="BN786" s="275"/>
      <c r="BO786" s="275"/>
      <c r="BP786" s="275"/>
      <c r="BQ786" s="275"/>
      <c r="BR786" s="275"/>
      <c r="BS786" s="275"/>
      <c r="BT786" s="275"/>
      <c r="BU786" s="275"/>
      <c r="BV786" s="275"/>
      <c r="BW786" s="275"/>
      <c r="BX786" s="275"/>
      <c r="BY786" s="275"/>
      <c r="BZ786" s="275"/>
      <c r="CA786" s="275"/>
      <c r="CB786" s="275"/>
      <c r="CC786" s="275"/>
      <c r="CD786" s="275"/>
      <c r="CE786" s="275"/>
    </row>
    <row r="787" spans="1:83" ht="12.6" customHeight="1" x14ac:dyDescent="0.25">
      <c r="A787" s="209" t="str">
        <f>RIGHT($C$83,3)&amp;"*"&amp;RIGHT($C$82,4)&amp;"*"&amp;BD$55&amp;"*"&amp;"A"</f>
        <v>032*2017*8420*A</v>
      </c>
      <c r="B787" s="274"/>
      <c r="C787" s="276">
        <f>ROUND(BD60,2)</f>
        <v>0</v>
      </c>
      <c r="D787" s="274">
        <f>ROUND(BD61,0)</f>
        <v>0</v>
      </c>
      <c r="E787" s="274">
        <f>ROUND(BD62,0)</f>
        <v>0</v>
      </c>
      <c r="F787" s="274">
        <f>ROUND(BD63,0)</f>
        <v>0</v>
      </c>
      <c r="G787" s="274">
        <f>ROUND(BD64,0)</f>
        <v>0</v>
      </c>
      <c r="H787" s="274">
        <f>ROUND(BD65,0)</f>
        <v>0</v>
      </c>
      <c r="I787" s="274">
        <f>ROUND(BD66,0)</f>
        <v>0</v>
      </c>
      <c r="J787" s="274">
        <f>ROUND(BD67,0)</f>
        <v>0</v>
      </c>
      <c r="K787" s="274">
        <f>ROUND(BD68,0)</f>
        <v>0</v>
      </c>
      <c r="L787" s="274">
        <f>ROUND(BD69,0)</f>
        <v>0</v>
      </c>
      <c r="M787" s="274">
        <f>ROUND(BD70,0)</f>
        <v>0</v>
      </c>
      <c r="N787" s="274"/>
      <c r="O787" s="274"/>
      <c r="P787" s="274">
        <f>IF(BD76&gt;0,ROUND(BD76,0),0)</f>
        <v>0</v>
      </c>
      <c r="Q787" s="274">
        <f>IF(BD77&gt;0,ROUND(BD77,0),0)</f>
        <v>0</v>
      </c>
      <c r="R787" s="274">
        <f>IF(BD78&gt;0,ROUND(BD78,0),0)</f>
        <v>0</v>
      </c>
      <c r="S787" s="274">
        <f>IF(BD79&gt;0,ROUND(BD79,0),0)</f>
        <v>0</v>
      </c>
      <c r="T787" s="276">
        <f>IF(BD80&gt;0,ROUND(BD80,2),0)</f>
        <v>0</v>
      </c>
      <c r="U787" s="274"/>
      <c r="V787" s="275"/>
      <c r="W787" s="274"/>
      <c r="X787" s="274"/>
      <c r="Y787" s="274"/>
      <c r="Z787" s="275"/>
      <c r="AA787" s="275"/>
      <c r="AB787" s="275"/>
      <c r="AC787" s="275"/>
      <c r="AD787" s="275"/>
      <c r="AE787" s="275"/>
      <c r="AF787" s="275"/>
      <c r="AG787" s="275"/>
      <c r="AH787" s="275"/>
      <c r="AI787" s="275"/>
      <c r="AJ787" s="275"/>
      <c r="AK787" s="275"/>
      <c r="AL787" s="275"/>
      <c r="AM787" s="275"/>
      <c r="AN787" s="275"/>
      <c r="AO787" s="275"/>
      <c r="AP787" s="275"/>
      <c r="AQ787" s="275"/>
      <c r="AR787" s="275"/>
      <c r="AS787" s="275"/>
      <c r="AT787" s="275"/>
      <c r="AU787" s="275"/>
      <c r="AV787" s="275"/>
      <c r="AW787" s="275"/>
      <c r="AX787" s="275"/>
      <c r="AY787" s="275"/>
      <c r="AZ787" s="275"/>
      <c r="BA787" s="275"/>
      <c r="BB787" s="275"/>
      <c r="BC787" s="275"/>
      <c r="BD787" s="275"/>
      <c r="BE787" s="275"/>
      <c r="BF787" s="275"/>
      <c r="BG787" s="275"/>
      <c r="BH787" s="275"/>
      <c r="BI787" s="275"/>
      <c r="BJ787" s="275"/>
      <c r="BK787" s="275"/>
      <c r="BL787" s="275"/>
      <c r="BM787" s="275"/>
      <c r="BN787" s="275"/>
      <c r="BO787" s="275"/>
      <c r="BP787" s="275"/>
      <c r="BQ787" s="275"/>
      <c r="BR787" s="275"/>
      <c r="BS787" s="275"/>
      <c r="BT787" s="275"/>
      <c r="BU787" s="275"/>
      <c r="BV787" s="275"/>
      <c r="BW787" s="275"/>
      <c r="BX787" s="275"/>
      <c r="BY787" s="275"/>
      <c r="BZ787" s="275"/>
      <c r="CA787" s="275"/>
      <c r="CB787" s="275"/>
      <c r="CC787" s="275"/>
      <c r="CD787" s="275"/>
      <c r="CE787" s="275"/>
    </row>
    <row r="788" spans="1:83" ht="12.6" customHeight="1" x14ac:dyDescent="0.25">
      <c r="A788" s="209" t="str">
        <f>RIGHT($C$83,3)&amp;"*"&amp;RIGHT($C$82,4)&amp;"*"&amp;BE$55&amp;"*"&amp;"A"</f>
        <v>032*2017*8430*A</v>
      </c>
      <c r="B788" s="274">
        <f>ROUND(BE59,0)</f>
        <v>888995</v>
      </c>
      <c r="C788" s="276">
        <f>ROUND(BE60,2)</f>
        <v>44.27</v>
      </c>
      <c r="D788" s="274">
        <f>ROUND(BE61,0)</f>
        <v>1225851</v>
      </c>
      <c r="E788" s="274">
        <f>ROUND(BE62,0)</f>
        <v>405066</v>
      </c>
      <c r="F788" s="274">
        <f>ROUND(BE63,0)</f>
        <v>0</v>
      </c>
      <c r="G788" s="274">
        <f>ROUND(BE64,0)</f>
        <v>166855</v>
      </c>
      <c r="H788" s="274">
        <f>ROUND(BE65,0)</f>
        <v>4036289</v>
      </c>
      <c r="I788" s="274">
        <f>ROUND(BE66,0)</f>
        <v>16199016</v>
      </c>
      <c r="J788" s="274">
        <f>ROUND(BE67,0)</f>
        <v>3027773</v>
      </c>
      <c r="K788" s="274">
        <f>ROUND(BE68,0)</f>
        <v>2450706</v>
      </c>
      <c r="L788" s="274">
        <f>ROUND(BE69,0)</f>
        <v>256955</v>
      </c>
      <c r="M788" s="274">
        <f>ROUND(BE70,0)</f>
        <v>-672</v>
      </c>
      <c r="N788" s="274"/>
      <c r="O788" s="274"/>
      <c r="P788" s="274">
        <f>IF(BE76&gt;0,ROUND(BE76,0),0)</f>
        <v>174493</v>
      </c>
      <c r="Q788" s="274">
        <f>IF(BE77&gt;0,ROUND(BE77,0),0)</f>
        <v>0</v>
      </c>
      <c r="R788" s="274">
        <f>IF(BE78&gt;0,ROUND(BE78,0),0)</f>
        <v>0</v>
      </c>
      <c r="S788" s="274">
        <f>IF(BE79&gt;0,ROUND(BE79,0),0)</f>
        <v>0</v>
      </c>
      <c r="T788" s="276">
        <f>IF(BE80&gt;0,ROUND(BE80,2),0)</f>
        <v>0</v>
      </c>
      <c r="U788" s="274"/>
      <c r="V788" s="275"/>
      <c r="W788" s="274"/>
      <c r="X788" s="274"/>
      <c r="Y788" s="274"/>
      <c r="Z788" s="275"/>
      <c r="AA788" s="275"/>
      <c r="AB788" s="275"/>
      <c r="AC788" s="275"/>
      <c r="AD788" s="275"/>
      <c r="AE788" s="275"/>
      <c r="AF788" s="275"/>
      <c r="AG788" s="275"/>
      <c r="AH788" s="275"/>
      <c r="AI788" s="275"/>
      <c r="AJ788" s="275"/>
      <c r="AK788" s="275"/>
      <c r="AL788" s="275"/>
      <c r="AM788" s="275"/>
      <c r="AN788" s="275"/>
      <c r="AO788" s="275"/>
      <c r="AP788" s="275"/>
      <c r="AQ788" s="275"/>
      <c r="AR788" s="275"/>
      <c r="AS788" s="275"/>
      <c r="AT788" s="275"/>
      <c r="AU788" s="275"/>
      <c r="AV788" s="275"/>
      <c r="AW788" s="275"/>
      <c r="AX788" s="275"/>
      <c r="AY788" s="275"/>
      <c r="AZ788" s="275"/>
      <c r="BA788" s="275"/>
      <c r="BB788" s="275"/>
      <c r="BC788" s="275"/>
      <c r="BD788" s="275"/>
      <c r="BE788" s="275"/>
      <c r="BF788" s="275"/>
      <c r="BG788" s="275"/>
      <c r="BH788" s="275"/>
      <c r="BI788" s="275"/>
      <c r="BJ788" s="275"/>
      <c r="BK788" s="275"/>
      <c r="BL788" s="275"/>
      <c r="BM788" s="275"/>
      <c r="BN788" s="275"/>
      <c r="BO788" s="275"/>
      <c r="BP788" s="275"/>
      <c r="BQ788" s="275"/>
      <c r="BR788" s="275"/>
      <c r="BS788" s="275"/>
      <c r="BT788" s="275"/>
      <c r="BU788" s="275"/>
      <c r="BV788" s="275"/>
      <c r="BW788" s="275"/>
      <c r="BX788" s="275"/>
      <c r="BY788" s="275"/>
      <c r="BZ788" s="275"/>
      <c r="CA788" s="275"/>
      <c r="CB788" s="275"/>
      <c r="CC788" s="275"/>
      <c r="CD788" s="275"/>
      <c r="CE788" s="275"/>
    </row>
    <row r="789" spans="1:83" ht="12.6" customHeight="1" x14ac:dyDescent="0.25">
      <c r="A789" s="209" t="str">
        <f>RIGHT($C$83,3)&amp;"*"&amp;RIGHT($C$82,4)&amp;"*"&amp;BF$55&amp;"*"&amp;"A"</f>
        <v>032*2017*8460*A</v>
      </c>
      <c r="B789" s="274"/>
      <c r="C789" s="276">
        <f>ROUND(BF60,2)</f>
        <v>116.59</v>
      </c>
      <c r="D789" s="274">
        <f>ROUND(BF61,0)</f>
        <v>3764620</v>
      </c>
      <c r="E789" s="274">
        <f>ROUND(BF62,0)</f>
        <v>1695555</v>
      </c>
      <c r="F789" s="274">
        <f>ROUND(BF63,0)</f>
        <v>0</v>
      </c>
      <c r="G789" s="274">
        <f>ROUND(BF64,0)</f>
        <v>496965</v>
      </c>
      <c r="H789" s="274">
        <f>ROUND(BF65,0)</f>
        <v>9168</v>
      </c>
      <c r="I789" s="274">
        <f>ROUND(BF66,0)</f>
        <v>376591</v>
      </c>
      <c r="J789" s="274">
        <f>ROUND(BF67,0)</f>
        <v>67743</v>
      </c>
      <c r="K789" s="274">
        <f>ROUND(BF68,0)</f>
        <v>2068</v>
      </c>
      <c r="L789" s="274">
        <f>ROUND(BF69,0)</f>
        <v>11251</v>
      </c>
      <c r="M789" s="274">
        <f>ROUND(BF70,0)</f>
        <v>0</v>
      </c>
      <c r="N789" s="274"/>
      <c r="O789" s="274"/>
      <c r="P789" s="274">
        <f>IF(BF76&gt;0,ROUND(BF76,0),0)</f>
        <v>2066</v>
      </c>
      <c r="Q789" s="274">
        <f>IF(BF77&gt;0,ROUND(BF77,0),0)</f>
        <v>0</v>
      </c>
      <c r="R789" s="274">
        <f>IF(BF78&gt;0,ROUND(BF78,0),0)</f>
        <v>0</v>
      </c>
      <c r="S789" s="274">
        <f>IF(BF79&gt;0,ROUND(BF79,0),0)</f>
        <v>0</v>
      </c>
      <c r="T789" s="276">
        <f>IF(BF80&gt;0,ROUND(BF80,2),0)</f>
        <v>0</v>
      </c>
      <c r="U789" s="274"/>
      <c r="V789" s="275"/>
      <c r="W789" s="274"/>
      <c r="X789" s="274"/>
      <c r="Y789" s="274"/>
      <c r="Z789" s="275"/>
      <c r="AA789" s="275"/>
      <c r="AB789" s="275"/>
      <c r="AC789" s="275"/>
      <c r="AD789" s="275"/>
      <c r="AE789" s="275"/>
      <c r="AF789" s="275"/>
      <c r="AG789" s="275"/>
      <c r="AH789" s="275"/>
      <c r="AI789" s="275"/>
      <c r="AJ789" s="275"/>
      <c r="AK789" s="275"/>
      <c r="AL789" s="275"/>
      <c r="AM789" s="275"/>
      <c r="AN789" s="275"/>
      <c r="AO789" s="275"/>
      <c r="AP789" s="275"/>
      <c r="AQ789" s="275"/>
      <c r="AR789" s="275"/>
      <c r="AS789" s="275"/>
      <c r="AT789" s="275"/>
      <c r="AU789" s="275"/>
      <c r="AV789" s="275"/>
      <c r="AW789" s="275"/>
      <c r="AX789" s="275"/>
      <c r="AY789" s="275"/>
      <c r="AZ789" s="275"/>
      <c r="BA789" s="275"/>
      <c r="BB789" s="275"/>
      <c r="BC789" s="275"/>
      <c r="BD789" s="275"/>
      <c r="BE789" s="275"/>
      <c r="BF789" s="275"/>
      <c r="BG789" s="275"/>
      <c r="BH789" s="275"/>
      <c r="BI789" s="275"/>
      <c r="BJ789" s="275"/>
      <c r="BK789" s="275"/>
      <c r="BL789" s="275"/>
      <c r="BM789" s="275"/>
      <c r="BN789" s="275"/>
      <c r="BO789" s="275"/>
      <c r="BP789" s="275"/>
      <c r="BQ789" s="275"/>
      <c r="BR789" s="275"/>
      <c r="BS789" s="275"/>
      <c r="BT789" s="275"/>
      <c r="BU789" s="275"/>
      <c r="BV789" s="275"/>
      <c r="BW789" s="275"/>
      <c r="BX789" s="275"/>
      <c r="BY789" s="275"/>
      <c r="BZ789" s="275"/>
      <c r="CA789" s="275"/>
      <c r="CB789" s="275"/>
      <c r="CC789" s="275"/>
      <c r="CD789" s="275"/>
      <c r="CE789" s="275"/>
    </row>
    <row r="790" spans="1:83" ht="12.6" customHeight="1" x14ac:dyDescent="0.25">
      <c r="A790" s="209" t="str">
        <f>RIGHT($C$83,3)&amp;"*"&amp;RIGHT($C$82,4)&amp;"*"&amp;BG$55&amp;"*"&amp;"A"</f>
        <v>032*2017*8470*A</v>
      </c>
      <c r="B790" s="274"/>
      <c r="C790" s="276">
        <f>ROUND(BG60,2)</f>
        <v>0</v>
      </c>
      <c r="D790" s="274">
        <f>ROUND(BG61,0)</f>
        <v>0</v>
      </c>
      <c r="E790" s="274">
        <f>ROUND(BG62,0)</f>
        <v>0</v>
      </c>
      <c r="F790" s="274">
        <f>ROUND(BG63,0)</f>
        <v>0</v>
      </c>
      <c r="G790" s="274">
        <f>ROUND(BG64,0)</f>
        <v>0</v>
      </c>
      <c r="H790" s="274">
        <f>ROUND(BG65,0)</f>
        <v>0</v>
      </c>
      <c r="I790" s="274">
        <f>ROUND(BG66,0)</f>
        <v>1059847</v>
      </c>
      <c r="J790" s="274">
        <f>ROUND(BG67,0)</f>
        <v>0</v>
      </c>
      <c r="K790" s="274">
        <f>ROUND(BG68,0)</f>
        <v>0</v>
      </c>
      <c r="L790" s="274">
        <f>ROUND(BG69,0)</f>
        <v>0</v>
      </c>
      <c r="M790" s="274">
        <f>ROUND(BG70,0)</f>
        <v>0</v>
      </c>
      <c r="N790" s="274"/>
      <c r="O790" s="274"/>
      <c r="P790" s="274">
        <f>IF(BG76&gt;0,ROUND(BG76,0),0)</f>
        <v>0</v>
      </c>
      <c r="Q790" s="274">
        <f>IF(BG77&gt;0,ROUND(BG77,0),0)</f>
        <v>0</v>
      </c>
      <c r="R790" s="274">
        <f>IF(BG78&gt;0,ROUND(BG78,0),0)</f>
        <v>0</v>
      </c>
      <c r="S790" s="274">
        <f>IF(BG79&gt;0,ROUND(BG79,0),0)</f>
        <v>0</v>
      </c>
      <c r="T790" s="276">
        <f>IF(BG80&gt;0,ROUND(BG80,2),0)</f>
        <v>0</v>
      </c>
      <c r="U790" s="274"/>
      <c r="V790" s="275"/>
      <c r="W790" s="274"/>
      <c r="X790" s="274"/>
      <c r="Y790" s="274"/>
      <c r="Z790" s="275"/>
      <c r="AA790" s="275"/>
      <c r="AB790" s="275"/>
      <c r="AC790" s="275"/>
      <c r="AD790" s="275"/>
      <c r="AE790" s="275"/>
      <c r="AF790" s="275"/>
      <c r="AG790" s="275"/>
      <c r="AH790" s="275"/>
      <c r="AI790" s="275"/>
      <c r="AJ790" s="275"/>
      <c r="AK790" s="275"/>
      <c r="AL790" s="275"/>
      <c r="AM790" s="275"/>
      <c r="AN790" s="275"/>
      <c r="AO790" s="275"/>
      <c r="AP790" s="275"/>
      <c r="AQ790" s="275"/>
      <c r="AR790" s="275"/>
      <c r="AS790" s="275"/>
      <c r="AT790" s="275"/>
      <c r="AU790" s="275"/>
      <c r="AV790" s="275"/>
      <c r="AW790" s="275"/>
      <c r="AX790" s="275"/>
      <c r="AY790" s="275"/>
      <c r="AZ790" s="275"/>
      <c r="BA790" s="275"/>
      <c r="BB790" s="275"/>
      <c r="BC790" s="275"/>
      <c r="BD790" s="275"/>
      <c r="BE790" s="275"/>
      <c r="BF790" s="275"/>
      <c r="BG790" s="275"/>
      <c r="BH790" s="275"/>
      <c r="BI790" s="275"/>
      <c r="BJ790" s="275"/>
      <c r="BK790" s="275"/>
      <c r="BL790" s="275"/>
      <c r="BM790" s="275"/>
      <c r="BN790" s="275"/>
      <c r="BO790" s="275"/>
      <c r="BP790" s="275"/>
      <c r="BQ790" s="275"/>
      <c r="BR790" s="275"/>
      <c r="BS790" s="275"/>
      <c r="BT790" s="275"/>
      <c r="BU790" s="275"/>
      <c r="BV790" s="275"/>
      <c r="BW790" s="275"/>
      <c r="BX790" s="275"/>
      <c r="BY790" s="275"/>
      <c r="BZ790" s="275"/>
      <c r="CA790" s="275"/>
      <c r="CB790" s="275"/>
      <c r="CC790" s="275"/>
      <c r="CD790" s="275"/>
      <c r="CE790" s="275"/>
    </row>
    <row r="791" spans="1:83" ht="12.6" customHeight="1" x14ac:dyDescent="0.25">
      <c r="A791" s="209" t="str">
        <f>RIGHT($C$83,3)&amp;"*"&amp;RIGHT($C$82,4)&amp;"*"&amp;BH$55&amp;"*"&amp;"A"</f>
        <v>032*2017*8480*A</v>
      </c>
      <c r="B791" s="274"/>
      <c r="C791" s="276">
        <f>ROUND(BH60,2)</f>
        <v>0</v>
      </c>
      <c r="D791" s="274">
        <f>ROUND(BH61,0)</f>
        <v>0</v>
      </c>
      <c r="E791" s="274">
        <f>ROUND(BH62,0)</f>
        <v>0</v>
      </c>
      <c r="F791" s="274">
        <f>ROUND(BH63,0)</f>
        <v>0</v>
      </c>
      <c r="G791" s="274">
        <f>ROUND(BH64,0)</f>
        <v>0</v>
      </c>
      <c r="H791" s="274">
        <f>ROUND(BH65,0)</f>
        <v>0</v>
      </c>
      <c r="I791" s="274">
        <f>ROUND(BH66,0)</f>
        <v>1850726</v>
      </c>
      <c r="J791" s="274">
        <f>ROUND(BH67,0)</f>
        <v>0</v>
      </c>
      <c r="K791" s="274">
        <f>ROUND(BH68,0)</f>
        <v>0</v>
      </c>
      <c r="L791" s="274">
        <f>ROUND(BH69,0)</f>
        <v>0</v>
      </c>
      <c r="M791" s="274">
        <f>ROUND(BH70,0)</f>
        <v>0</v>
      </c>
      <c r="N791" s="274"/>
      <c r="O791" s="274"/>
      <c r="P791" s="274">
        <f>IF(BH76&gt;0,ROUND(BH76,0),0)</f>
        <v>0</v>
      </c>
      <c r="Q791" s="274">
        <f>IF(BH77&gt;0,ROUND(BH77,0),0)</f>
        <v>0</v>
      </c>
      <c r="R791" s="274">
        <f>IF(BH78&gt;0,ROUND(BH78,0),0)</f>
        <v>0</v>
      </c>
      <c r="S791" s="274">
        <f>IF(BH79&gt;0,ROUND(BH79,0),0)</f>
        <v>0</v>
      </c>
      <c r="T791" s="276">
        <f>IF(BH80&gt;0,ROUND(BH80,2),0)</f>
        <v>0</v>
      </c>
      <c r="U791" s="274"/>
      <c r="V791" s="275"/>
      <c r="W791" s="274"/>
      <c r="X791" s="274"/>
      <c r="Y791" s="274"/>
      <c r="Z791" s="275"/>
      <c r="AA791" s="275"/>
      <c r="AB791" s="275"/>
      <c r="AC791" s="275"/>
      <c r="AD791" s="275"/>
      <c r="AE791" s="275"/>
      <c r="AF791" s="275"/>
      <c r="AG791" s="275"/>
      <c r="AH791" s="275"/>
      <c r="AI791" s="275"/>
      <c r="AJ791" s="275"/>
      <c r="AK791" s="275"/>
      <c r="AL791" s="275"/>
      <c r="AM791" s="275"/>
      <c r="AN791" s="275"/>
      <c r="AO791" s="275"/>
      <c r="AP791" s="275"/>
      <c r="AQ791" s="275"/>
      <c r="AR791" s="275"/>
      <c r="AS791" s="275"/>
      <c r="AT791" s="275"/>
      <c r="AU791" s="275"/>
      <c r="AV791" s="275"/>
      <c r="AW791" s="275"/>
      <c r="AX791" s="275"/>
      <c r="AY791" s="275"/>
      <c r="AZ791" s="275"/>
      <c r="BA791" s="275"/>
      <c r="BB791" s="275"/>
      <c r="BC791" s="275"/>
      <c r="BD791" s="275"/>
      <c r="BE791" s="275"/>
      <c r="BF791" s="275"/>
      <c r="BG791" s="275"/>
      <c r="BH791" s="275"/>
      <c r="BI791" s="275"/>
      <c r="BJ791" s="275"/>
      <c r="BK791" s="275"/>
      <c r="BL791" s="275"/>
      <c r="BM791" s="275"/>
      <c r="BN791" s="275"/>
      <c r="BO791" s="275"/>
      <c r="BP791" s="275"/>
      <c r="BQ791" s="275"/>
      <c r="BR791" s="275"/>
      <c r="BS791" s="275"/>
      <c r="BT791" s="275"/>
      <c r="BU791" s="275"/>
      <c r="BV791" s="275"/>
      <c r="BW791" s="275"/>
      <c r="BX791" s="275"/>
      <c r="BY791" s="275"/>
      <c r="BZ791" s="275"/>
      <c r="CA791" s="275"/>
      <c r="CB791" s="275"/>
      <c r="CC791" s="275"/>
      <c r="CD791" s="275"/>
      <c r="CE791" s="275"/>
    </row>
    <row r="792" spans="1:83" ht="12.6" customHeight="1" x14ac:dyDescent="0.25">
      <c r="A792" s="209" t="str">
        <f>RIGHT($C$83,3)&amp;"*"&amp;RIGHT($C$82,4)&amp;"*"&amp;BI$55&amp;"*"&amp;"A"</f>
        <v>032*2017*8490*A</v>
      </c>
      <c r="B792" s="274"/>
      <c r="C792" s="276">
        <f>ROUND(BI60,2)</f>
        <v>3.83</v>
      </c>
      <c r="D792" s="274">
        <f>ROUND(BI61,0)</f>
        <v>95830</v>
      </c>
      <c r="E792" s="274">
        <f>ROUND(BI62,0)</f>
        <v>46831</v>
      </c>
      <c r="F792" s="274">
        <f>ROUND(BI63,0)</f>
        <v>0</v>
      </c>
      <c r="G792" s="274">
        <f>ROUND(BI64,0)</f>
        <v>253004</v>
      </c>
      <c r="H792" s="274">
        <f>ROUND(BI65,0)</f>
        <v>0</v>
      </c>
      <c r="I792" s="274">
        <f>ROUND(BI66,0)</f>
        <v>0</v>
      </c>
      <c r="J792" s="274">
        <f>ROUND(BI67,0)</f>
        <v>16289</v>
      </c>
      <c r="K792" s="274">
        <f>ROUND(BI68,0)</f>
        <v>1863</v>
      </c>
      <c r="L792" s="274">
        <f>ROUND(BI69,0)</f>
        <v>626</v>
      </c>
      <c r="M792" s="274">
        <f>ROUND(BI70,0)</f>
        <v>537097</v>
      </c>
      <c r="N792" s="274"/>
      <c r="O792" s="274"/>
      <c r="P792" s="274">
        <f>IF(BI76&gt;0,ROUND(BI76,0),0)</f>
        <v>1333</v>
      </c>
      <c r="Q792" s="274">
        <f>IF(BI77&gt;0,ROUND(BI77,0),0)</f>
        <v>39650</v>
      </c>
      <c r="R792" s="274">
        <f>IF(BI78&gt;0,ROUND(BI78,0),0)</f>
        <v>559</v>
      </c>
      <c r="S792" s="274">
        <f>IF(BI79&gt;0,ROUND(BI79,0),0)</f>
        <v>0</v>
      </c>
      <c r="T792" s="276">
        <f>IF(BI80&gt;0,ROUND(BI80,2),0)</f>
        <v>0</v>
      </c>
      <c r="U792" s="274"/>
      <c r="V792" s="275"/>
      <c r="W792" s="274"/>
      <c r="X792" s="274"/>
      <c r="Y792" s="274"/>
      <c r="Z792" s="275"/>
      <c r="AA792" s="275"/>
      <c r="AB792" s="275"/>
      <c r="AC792" s="275"/>
      <c r="AD792" s="275"/>
      <c r="AE792" s="275"/>
      <c r="AF792" s="275"/>
      <c r="AG792" s="275"/>
      <c r="AH792" s="275"/>
      <c r="AI792" s="275"/>
      <c r="AJ792" s="275"/>
      <c r="AK792" s="275"/>
      <c r="AL792" s="275"/>
      <c r="AM792" s="275"/>
      <c r="AN792" s="275"/>
      <c r="AO792" s="275"/>
      <c r="AP792" s="275"/>
      <c r="AQ792" s="275"/>
      <c r="AR792" s="275"/>
      <c r="AS792" s="275"/>
      <c r="AT792" s="275"/>
      <c r="AU792" s="275"/>
      <c r="AV792" s="275"/>
      <c r="AW792" s="275"/>
      <c r="AX792" s="275"/>
      <c r="AY792" s="275"/>
      <c r="AZ792" s="275"/>
      <c r="BA792" s="275"/>
      <c r="BB792" s="275"/>
      <c r="BC792" s="275"/>
      <c r="BD792" s="275"/>
      <c r="BE792" s="275"/>
      <c r="BF792" s="275"/>
      <c r="BG792" s="275"/>
      <c r="BH792" s="275"/>
      <c r="BI792" s="275"/>
      <c r="BJ792" s="275"/>
      <c r="BK792" s="275"/>
      <c r="BL792" s="275"/>
      <c r="BM792" s="275"/>
      <c r="BN792" s="275"/>
      <c r="BO792" s="275"/>
      <c r="BP792" s="275"/>
      <c r="BQ792" s="275"/>
      <c r="BR792" s="275"/>
      <c r="BS792" s="275"/>
      <c r="BT792" s="275"/>
      <c r="BU792" s="275"/>
      <c r="BV792" s="275"/>
      <c r="BW792" s="275"/>
      <c r="BX792" s="275"/>
      <c r="BY792" s="275"/>
      <c r="BZ792" s="275"/>
      <c r="CA792" s="275"/>
      <c r="CB792" s="275"/>
      <c r="CC792" s="275"/>
      <c r="CD792" s="275"/>
      <c r="CE792" s="275"/>
    </row>
    <row r="793" spans="1:83" ht="12.6" customHeight="1" x14ac:dyDescent="0.25">
      <c r="A793" s="209" t="str">
        <f>RIGHT($C$83,3)&amp;"*"&amp;RIGHT($C$82,4)&amp;"*"&amp;BJ$55&amp;"*"&amp;"A"</f>
        <v>032*2017*8510*A</v>
      </c>
      <c r="B793" s="274"/>
      <c r="C793" s="276">
        <f>ROUND(BJ60,2)</f>
        <v>0</v>
      </c>
      <c r="D793" s="274">
        <f>ROUND(BJ61,0)</f>
        <v>0</v>
      </c>
      <c r="E793" s="274">
        <f>ROUND(BJ62,0)</f>
        <v>0</v>
      </c>
      <c r="F793" s="274">
        <f>ROUND(BJ63,0)</f>
        <v>0</v>
      </c>
      <c r="G793" s="274">
        <f>ROUND(BJ64,0)</f>
        <v>0</v>
      </c>
      <c r="H793" s="274">
        <f>ROUND(BJ65,0)</f>
        <v>0</v>
      </c>
      <c r="I793" s="274">
        <f>ROUND(BJ66,0)</f>
        <v>1555428</v>
      </c>
      <c r="J793" s="274">
        <f>ROUND(BJ67,0)</f>
        <v>0</v>
      </c>
      <c r="K793" s="274">
        <f>ROUND(BJ68,0)</f>
        <v>0</v>
      </c>
      <c r="L793" s="274">
        <f>ROUND(BJ69,0)</f>
        <v>0</v>
      </c>
      <c r="M793" s="274">
        <f>ROUND(BJ70,0)</f>
        <v>0</v>
      </c>
      <c r="N793" s="274"/>
      <c r="O793" s="274"/>
      <c r="P793" s="274">
        <f>IF(BJ76&gt;0,ROUND(BJ76,0),0)</f>
        <v>0</v>
      </c>
      <c r="Q793" s="274">
        <f>IF(BJ77&gt;0,ROUND(BJ77,0),0)</f>
        <v>0</v>
      </c>
      <c r="R793" s="274">
        <f>IF(BJ78&gt;0,ROUND(BJ78,0),0)</f>
        <v>0</v>
      </c>
      <c r="S793" s="274">
        <f>IF(BJ79&gt;0,ROUND(BJ79,0),0)</f>
        <v>0</v>
      </c>
      <c r="T793" s="276">
        <f>IF(BJ80&gt;0,ROUND(BJ80,2),0)</f>
        <v>0</v>
      </c>
      <c r="U793" s="274"/>
      <c r="V793" s="275"/>
      <c r="W793" s="274"/>
      <c r="X793" s="274"/>
      <c r="Y793" s="274"/>
      <c r="Z793" s="275"/>
      <c r="AA793" s="275"/>
      <c r="AB793" s="275"/>
      <c r="AC793" s="275"/>
      <c r="AD793" s="275"/>
      <c r="AE793" s="275"/>
      <c r="AF793" s="275"/>
      <c r="AG793" s="275"/>
      <c r="AH793" s="275"/>
      <c r="AI793" s="275"/>
      <c r="AJ793" s="275"/>
      <c r="AK793" s="275"/>
      <c r="AL793" s="275"/>
      <c r="AM793" s="275"/>
      <c r="AN793" s="275"/>
      <c r="AO793" s="275"/>
      <c r="AP793" s="275"/>
      <c r="AQ793" s="275"/>
      <c r="AR793" s="275"/>
      <c r="AS793" s="275"/>
      <c r="AT793" s="275"/>
      <c r="AU793" s="275"/>
      <c r="AV793" s="275"/>
      <c r="AW793" s="275"/>
      <c r="AX793" s="275"/>
      <c r="AY793" s="275"/>
      <c r="AZ793" s="275"/>
      <c r="BA793" s="275"/>
      <c r="BB793" s="275"/>
      <c r="BC793" s="275"/>
      <c r="BD793" s="275"/>
      <c r="BE793" s="275"/>
      <c r="BF793" s="275"/>
      <c r="BG793" s="275"/>
      <c r="BH793" s="275"/>
      <c r="BI793" s="275"/>
      <c r="BJ793" s="275"/>
      <c r="BK793" s="275"/>
      <c r="BL793" s="275"/>
      <c r="BM793" s="275"/>
      <c r="BN793" s="275"/>
      <c r="BO793" s="275"/>
      <c r="BP793" s="275"/>
      <c r="BQ793" s="275"/>
      <c r="BR793" s="275"/>
      <c r="BS793" s="275"/>
      <c r="BT793" s="275"/>
      <c r="BU793" s="275"/>
      <c r="BV793" s="275"/>
      <c r="BW793" s="275"/>
      <c r="BX793" s="275"/>
      <c r="BY793" s="275"/>
      <c r="BZ793" s="275"/>
      <c r="CA793" s="275"/>
      <c r="CB793" s="275"/>
      <c r="CC793" s="275"/>
      <c r="CD793" s="275"/>
      <c r="CE793" s="275"/>
    </row>
    <row r="794" spans="1:83" ht="12.6" customHeight="1" x14ac:dyDescent="0.25">
      <c r="A794" s="209" t="str">
        <f>RIGHT($C$83,3)&amp;"*"&amp;RIGHT($C$82,4)&amp;"*"&amp;BK$55&amp;"*"&amp;"A"</f>
        <v>032*2017*8530*A</v>
      </c>
      <c r="B794" s="274"/>
      <c r="C794" s="276">
        <f>ROUND(BK60,2)</f>
        <v>0</v>
      </c>
      <c r="D794" s="274">
        <f>ROUND(BK61,0)</f>
        <v>0</v>
      </c>
      <c r="E794" s="274">
        <f>ROUND(BK62,0)</f>
        <v>0</v>
      </c>
      <c r="F794" s="274">
        <f>ROUND(BK63,0)</f>
        <v>0</v>
      </c>
      <c r="G794" s="274">
        <f>ROUND(BK64,0)</f>
        <v>0</v>
      </c>
      <c r="H794" s="274">
        <f>ROUND(BK65,0)</f>
        <v>0</v>
      </c>
      <c r="I794" s="274">
        <f>ROUND(BK66,0)</f>
        <v>6786585</v>
      </c>
      <c r="J794" s="274">
        <f>ROUND(BK67,0)</f>
        <v>0</v>
      </c>
      <c r="K794" s="274">
        <f>ROUND(BK68,0)</f>
        <v>0</v>
      </c>
      <c r="L794" s="274">
        <f>ROUND(BK69,0)</f>
        <v>0</v>
      </c>
      <c r="M794" s="274">
        <f>ROUND(BK70,0)</f>
        <v>0</v>
      </c>
      <c r="N794" s="274"/>
      <c r="O794" s="274"/>
      <c r="P794" s="274">
        <f>IF(BK76&gt;0,ROUND(BK76,0),0)</f>
        <v>0</v>
      </c>
      <c r="Q794" s="274">
        <f>IF(BK77&gt;0,ROUND(BK77,0),0)</f>
        <v>0</v>
      </c>
      <c r="R794" s="274">
        <f>IF(BK78&gt;0,ROUND(BK78,0),0)</f>
        <v>0</v>
      </c>
      <c r="S794" s="274">
        <f>IF(BK79&gt;0,ROUND(BK79,0),0)</f>
        <v>0</v>
      </c>
      <c r="T794" s="276">
        <f>IF(BK80&gt;0,ROUND(BK80,2),0)</f>
        <v>0</v>
      </c>
      <c r="U794" s="274"/>
      <c r="V794" s="275"/>
      <c r="W794" s="274"/>
      <c r="X794" s="274"/>
      <c r="Y794" s="274"/>
      <c r="Z794" s="275"/>
      <c r="AA794" s="275"/>
      <c r="AB794" s="275"/>
      <c r="AC794" s="275"/>
      <c r="AD794" s="275"/>
      <c r="AE794" s="275"/>
      <c r="AF794" s="275"/>
      <c r="AG794" s="275"/>
      <c r="AH794" s="275"/>
      <c r="AI794" s="275"/>
      <c r="AJ794" s="275"/>
      <c r="AK794" s="275"/>
      <c r="AL794" s="275"/>
      <c r="AM794" s="275"/>
      <c r="AN794" s="275"/>
      <c r="AO794" s="275"/>
      <c r="AP794" s="275"/>
      <c r="AQ794" s="275"/>
      <c r="AR794" s="275"/>
      <c r="AS794" s="275"/>
      <c r="AT794" s="275"/>
      <c r="AU794" s="275"/>
      <c r="AV794" s="275"/>
      <c r="AW794" s="275"/>
      <c r="AX794" s="275"/>
      <c r="AY794" s="275"/>
      <c r="AZ794" s="275"/>
      <c r="BA794" s="275"/>
      <c r="BB794" s="275"/>
      <c r="BC794" s="275"/>
      <c r="BD794" s="275"/>
      <c r="BE794" s="275"/>
      <c r="BF794" s="275"/>
      <c r="BG794" s="275"/>
      <c r="BH794" s="275"/>
      <c r="BI794" s="275"/>
      <c r="BJ794" s="275"/>
      <c r="BK794" s="275"/>
      <c r="BL794" s="275"/>
      <c r="BM794" s="275"/>
      <c r="BN794" s="275"/>
      <c r="BO794" s="275"/>
      <c r="BP794" s="275"/>
      <c r="BQ794" s="275"/>
      <c r="BR794" s="275"/>
      <c r="BS794" s="275"/>
      <c r="BT794" s="275"/>
      <c r="BU794" s="275"/>
      <c r="BV794" s="275"/>
      <c r="BW794" s="275"/>
      <c r="BX794" s="275"/>
      <c r="BY794" s="275"/>
      <c r="BZ794" s="275"/>
      <c r="CA794" s="275"/>
      <c r="CB794" s="275"/>
      <c r="CC794" s="275"/>
      <c r="CD794" s="275"/>
      <c r="CE794" s="275"/>
    </row>
    <row r="795" spans="1:83" ht="12.6" customHeight="1" x14ac:dyDescent="0.25">
      <c r="A795" s="209" t="str">
        <f>RIGHT($C$83,3)&amp;"*"&amp;RIGHT($C$82,4)&amp;"*"&amp;BL$55&amp;"*"&amp;"A"</f>
        <v>032*2017*8560*A</v>
      </c>
      <c r="B795" s="274"/>
      <c r="C795" s="276">
        <f>ROUND(BL60,2)</f>
        <v>0</v>
      </c>
      <c r="D795" s="274">
        <f>ROUND(BL61,0)</f>
        <v>0</v>
      </c>
      <c r="E795" s="274">
        <f>ROUND(BL62,0)</f>
        <v>0</v>
      </c>
      <c r="F795" s="274">
        <f>ROUND(BL63,0)</f>
        <v>0</v>
      </c>
      <c r="G795" s="274">
        <f>ROUND(BL64,0)</f>
        <v>28252</v>
      </c>
      <c r="H795" s="274">
        <f>ROUND(BL65,0)</f>
        <v>293</v>
      </c>
      <c r="I795" s="274">
        <f>ROUND(BL66,0)</f>
        <v>7251835</v>
      </c>
      <c r="J795" s="274">
        <f>ROUND(BL67,0)</f>
        <v>241</v>
      </c>
      <c r="K795" s="274">
        <f>ROUND(BL68,0)</f>
        <v>9022</v>
      </c>
      <c r="L795" s="274">
        <f>ROUND(BL69,0)</f>
        <v>6897</v>
      </c>
      <c r="M795" s="274">
        <f>ROUND(BL70,0)</f>
        <v>0</v>
      </c>
      <c r="N795" s="274"/>
      <c r="O795" s="274"/>
      <c r="P795" s="274">
        <f>IF(BL76&gt;0,ROUND(BL76,0),0)</f>
        <v>0</v>
      </c>
      <c r="Q795" s="274">
        <f>IF(BL77&gt;0,ROUND(BL77,0),0)</f>
        <v>0</v>
      </c>
      <c r="R795" s="274">
        <f>IF(BL78&gt;0,ROUND(BL78,0),0)</f>
        <v>0</v>
      </c>
      <c r="S795" s="274">
        <f>IF(BL79&gt;0,ROUND(BL79,0),0)</f>
        <v>0</v>
      </c>
      <c r="T795" s="276">
        <f>IF(BL80&gt;0,ROUND(BL80,2),0)</f>
        <v>0</v>
      </c>
      <c r="U795" s="274"/>
      <c r="V795" s="275"/>
      <c r="W795" s="274"/>
      <c r="X795" s="274"/>
      <c r="Y795" s="274"/>
      <c r="Z795" s="275"/>
      <c r="AA795" s="275"/>
      <c r="AB795" s="275"/>
      <c r="AC795" s="275"/>
      <c r="AD795" s="275"/>
      <c r="AE795" s="275"/>
      <c r="AF795" s="275"/>
      <c r="AG795" s="275"/>
      <c r="AH795" s="275"/>
      <c r="AI795" s="275"/>
      <c r="AJ795" s="275"/>
      <c r="AK795" s="275"/>
      <c r="AL795" s="275"/>
      <c r="AM795" s="275"/>
      <c r="AN795" s="275"/>
      <c r="AO795" s="275"/>
      <c r="AP795" s="275"/>
      <c r="AQ795" s="275"/>
      <c r="AR795" s="275"/>
      <c r="AS795" s="275"/>
      <c r="AT795" s="275"/>
      <c r="AU795" s="275"/>
      <c r="AV795" s="275"/>
      <c r="AW795" s="275"/>
      <c r="AX795" s="275"/>
      <c r="AY795" s="275"/>
      <c r="AZ795" s="275"/>
      <c r="BA795" s="275"/>
      <c r="BB795" s="275"/>
      <c r="BC795" s="275"/>
      <c r="BD795" s="275"/>
      <c r="BE795" s="275"/>
      <c r="BF795" s="275"/>
      <c r="BG795" s="275"/>
      <c r="BH795" s="275"/>
      <c r="BI795" s="275"/>
      <c r="BJ795" s="275"/>
      <c r="BK795" s="275"/>
      <c r="BL795" s="275"/>
      <c r="BM795" s="275"/>
      <c r="BN795" s="275"/>
      <c r="BO795" s="275"/>
      <c r="BP795" s="275"/>
      <c r="BQ795" s="275"/>
      <c r="BR795" s="275"/>
      <c r="BS795" s="275"/>
      <c r="BT795" s="275"/>
      <c r="BU795" s="275"/>
      <c r="BV795" s="275"/>
      <c r="BW795" s="275"/>
      <c r="BX795" s="275"/>
      <c r="BY795" s="275"/>
      <c r="BZ795" s="275"/>
      <c r="CA795" s="275"/>
      <c r="CB795" s="275"/>
      <c r="CC795" s="275"/>
      <c r="CD795" s="275"/>
      <c r="CE795" s="275"/>
    </row>
    <row r="796" spans="1:83" ht="12.6" customHeight="1" x14ac:dyDescent="0.25">
      <c r="A796" s="209" t="str">
        <f>RIGHT($C$83,3)&amp;"*"&amp;RIGHT($C$82,4)&amp;"*"&amp;BM$55&amp;"*"&amp;"A"</f>
        <v>032*2017*8590*A</v>
      </c>
      <c r="B796" s="274"/>
      <c r="C796" s="276">
        <f>ROUND(BM60,2)</f>
        <v>0</v>
      </c>
      <c r="D796" s="274">
        <f>ROUND(BM61,0)</f>
        <v>0</v>
      </c>
      <c r="E796" s="274">
        <f>ROUND(BM62,0)</f>
        <v>0</v>
      </c>
      <c r="F796" s="274">
        <f>ROUND(BM63,0)</f>
        <v>0</v>
      </c>
      <c r="G796" s="274">
        <f>ROUND(BM64,0)</f>
        <v>0</v>
      </c>
      <c r="H796" s="274">
        <f>ROUND(BM65,0)</f>
        <v>0</v>
      </c>
      <c r="I796" s="274">
        <f>ROUND(BM66,0)</f>
        <v>0</v>
      </c>
      <c r="J796" s="274">
        <f>ROUND(BM67,0)</f>
        <v>0</v>
      </c>
      <c r="K796" s="274">
        <f>ROUND(BM68,0)</f>
        <v>0</v>
      </c>
      <c r="L796" s="274">
        <f>ROUND(BM69,0)</f>
        <v>0</v>
      </c>
      <c r="M796" s="274">
        <f>ROUND(BM70,0)</f>
        <v>0</v>
      </c>
      <c r="N796" s="274"/>
      <c r="O796" s="274"/>
      <c r="P796" s="274">
        <f>IF(BM76&gt;0,ROUND(BM76,0),0)</f>
        <v>0</v>
      </c>
      <c r="Q796" s="274">
        <f>IF(BM77&gt;0,ROUND(BM77,0),0)</f>
        <v>0</v>
      </c>
      <c r="R796" s="274">
        <f>IF(BM78&gt;0,ROUND(BM78,0),0)</f>
        <v>0</v>
      </c>
      <c r="S796" s="274">
        <f>IF(BM79&gt;0,ROUND(BM79,0),0)</f>
        <v>0</v>
      </c>
      <c r="T796" s="276">
        <f>IF(BM80&gt;0,ROUND(BM80,2),0)</f>
        <v>0</v>
      </c>
      <c r="U796" s="274"/>
      <c r="V796" s="275"/>
      <c r="W796" s="274"/>
      <c r="X796" s="274"/>
      <c r="Y796" s="274"/>
      <c r="Z796" s="275"/>
      <c r="AA796" s="275"/>
      <c r="AB796" s="275"/>
      <c r="AC796" s="275"/>
      <c r="AD796" s="275"/>
      <c r="AE796" s="275"/>
      <c r="AF796" s="275"/>
      <c r="AG796" s="275"/>
      <c r="AH796" s="275"/>
      <c r="AI796" s="275"/>
      <c r="AJ796" s="275"/>
      <c r="AK796" s="275"/>
      <c r="AL796" s="275"/>
      <c r="AM796" s="275"/>
      <c r="AN796" s="275"/>
      <c r="AO796" s="275"/>
      <c r="AP796" s="275"/>
      <c r="AQ796" s="275"/>
      <c r="AR796" s="275"/>
      <c r="AS796" s="275"/>
      <c r="AT796" s="275"/>
      <c r="AU796" s="275"/>
      <c r="AV796" s="275"/>
      <c r="AW796" s="275"/>
      <c r="AX796" s="275"/>
      <c r="AY796" s="275"/>
      <c r="AZ796" s="275"/>
      <c r="BA796" s="275"/>
      <c r="BB796" s="275"/>
      <c r="BC796" s="275"/>
      <c r="BD796" s="275"/>
      <c r="BE796" s="275"/>
      <c r="BF796" s="275"/>
      <c r="BG796" s="275"/>
      <c r="BH796" s="275"/>
      <c r="BI796" s="275"/>
      <c r="BJ796" s="275"/>
      <c r="BK796" s="275"/>
      <c r="BL796" s="275"/>
      <c r="BM796" s="275"/>
      <c r="BN796" s="275"/>
      <c r="BO796" s="275"/>
      <c r="BP796" s="275"/>
      <c r="BQ796" s="275"/>
      <c r="BR796" s="275"/>
      <c r="BS796" s="275"/>
      <c r="BT796" s="275"/>
      <c r="BU796" s="275"/>
      <c r="BV796" s="275"/>
      <c r="BW796" s="275"/>
      <c r="BX796" s="275"/>
      <c r="BY796" s="275"/>
      <c r="BZ796" s="275"/>
      <c r="CA796" s="275"/>
      <c r="CB796" s="275"/>
      <c r="CC796" s="275"/>
      <c r="CD796" s="275"/>
      <c r="CE796" s="275"/>
    </row>
    <row r="797" spans="1:83" ht="12.6" customHeight="1" x14ac:dyDescent="0.25">
      <c r="A797" s="209" t="str">
        <f>RIGHT($C$83,3)&amp;"*"&amp;RIGHT($C$82,4)&amp;"*"&amp;BN$55&amp;"*"&amp;"A"</f>
        <v>032*2017*8610*A</v>
      </c>
      <c r="B797" s="274"/>
      <c r="C797" s="276">
        <f>ROUND(BN60,2)</f>
        <v>222.97</v>
      </c>
      <c r="D797" s="274">
        <f>ROUND(BN61,0)</f>
        <v>3487049</v>
      </c>
      <c r="E797" s="274">
        <f>ROUND(BN62,0)</f>
        <v>888180</v>
      </c>
      <c r="F797" s="274">
        <f>ROUND(BN63,0)</f>
        <v>252172</v>
      </c>
      <c r="G797" s="274">
        <f>ROUND(BN64,0)</f>
        <v>168191</v>
      </c>
      <c r="H797" s="274">
        <f>ROUND(BN65,0)</f>
        <v>695</v>
      </c>
      <c r="I797" s="274">
        <f>ROUND(BN66,0)</f>
        <v>8249441</v>
      </c>
      <c r="J797" s="274">
        <f>ROUND(BN67,0)</f>
        <v>2452331</v>
      </c>
      <c r="K797" s="274">
        <f>ROUND(BN68,0)</f>
        <v>74693</v>
      </c>
      <c r="L797" s="274">
        <f>ROUND(BN69,0)</f>
        <v>623351</v>
      </c>
      <c r="M797" s="274">
        <f>ROUND(BN70,0)</f>
        <v>-2741800</v>
      </c>
      <c r="N797" s="274"/>
      <c r="O797" s="274"/>
      <c r="P797" s="274">
        <f>IF(BN76&gt;0,ROUND(BN76,0),0)</f>
        <v>201284</v>
      </c>
      <c r="Q797" s="274">
        <f>IF(BN77&gt;0,ROUND(BN77,0),0)</f>
        <v>0</v>
      </c>
      <c r="R797" s="274">
        <f>IF(BN78&gt;0,ROUND(BN78,0),0)</f>
        <v>0</v>
      </c>
      <c r="S797" s="274">
        <f>IF(BN79&gt;0,ROUND(BN79,0),0)</f>
        <v>0</v>
      </c>
      <c r="T797" s="276">
        <f>IF(BN80&gt;0,ROUND(BN80,2),0)</f>
        <v>0</v>
      </c>
      <c r="U797" s="274"/>
      <c r="V797" s="275"/>
      <c r="W797" s="274"/>
      <c r="X797" s="274"/>
      <c r="Y797" s="274"/>
      <c r="Z797" s="275"/>
      <c r="AA797" s="275"/>
      <c r="AB797" s="275"/>
      <c r="AC797" s="275"/>
      <c r="AD797" s="275"/>
      <c r="AE797" s="275"/>
      <c r="AF797" s="275"/>
      <c r="AG797" s="275"/>
      <c r="AH797" s="275"/>
      <c r="AI797" s="275"/>
      <c r="AJ797" s="275"/>
      <c r="AK797" s="275"/>
      <c r="AL797" s="275"/>
      <c r="AM797" s="275"/>
      <c r="AN797" s="275"/>
      <c r="AO797" s="275"/>
      <c r="AP797" s="275"/>
      <c r="AQ797" s="275"/>
      <c r="AR797" s="275"/>
      <c r="AS797" s="275"/>
      <c r="AT797" s="275"/>
      <c r="AU797" s="275"/>
      <c r="AV797" s="275"/>
      <c r="AW797" s="275"/>
      <c r="AX797" s="275"/>
      <c r="AY797" s="275"/>
      <c r="AZ797" s="275"/>
      <c r="BA797" s="275"/>
      <c r="BB797" s="275"/>
      <c r="BC797" s="275"/>
      <c r="BD797" s="275"/>
      <c r="BE797" s="275"/>
      <c r="BF797" s="275"/>
      <c r="BG797" s="275"/>
      <c r="BH797" s="275"/>
      <c r="BI797" s="275"/>
      <c r="BJ797" s="275"/>
      <c r="BK797" s="275"/>
      <c r="BL797" s="275"/>
      <c r="BM797" s="275"/>
      <c r="BN797" s="275"/>
      <c r="BO797" s="275"/>
      <c r="BP797" s="275"/>
      <c r="BQ797" s="275"/>
      <c r="BR797" s="275"/>
      <c r="BS797" s="275"/>
      <c r="BT797" s="275"/>
      <c r="BU797" s="275"/>
      <c r="BV797" s="275"/>
      <c r="BW797" s="275"/>
      <c r="BX797" s="275"/>
      <c r="BY797" s="275"/>
      <c r="BZ797" s="275"/>
      <c r="CA797" s="275"/>
      <c r="CB797" s="275"/>
      <c r="CC797" s="275"/>
      <c r="CD797" s="275"/>
      <c r="CE797" s="275"/>
    </row>
    <row r="798" spans="1:83" ht="12.6" customHeight="1" x14ac:dyDescent="0.25">
      <c r="A798" s="209" t="str">
        <f>RIGHT($C$83,3)&amp;"*"&amp;RIGHT($C$82,4)&amp;"*"&amp;BO$55&amp;"*"&amp;"A"</f>
        <v>032*2017*8620*A</v>
      </c>
      <c r="B798" s="274"/>
      <c r="C798" s="276">
        <f>ROUND(BO60,2)</f>
        <v>0.56999999999999995</v>
      </c>
      <c r="D798" s="274">
        <f>ROUND(BO61,0)</f>
        <v>35397</v>
      </c>
      <c r="E798" s="274">
        <f>ROUND(BO62,0)</f>
        <v>9742</v>
      </c>
      <c r="F798" s="274">
        <f>ROUND(BO63,0)</f>
        <v>0</v>
      </c>
      <c r="G798" s="274">
        <f>ROUND(BO64,0)</f>
        <v>652</v>
      </c>
      <c r="H798" s="274">
        <f>ROUND(BO65,0)</f>
        <v>0</v>
      </c>
      <c r="I798" s="274">
        <f>ROUND(BO66,0)</f>
        <v>878627</v>
      </c>
      <c r="J798" s="274">
        <f>ROUND(BO67,0)</f>
        <v>747</v>
      </c>
      <c r="K798" s="274">
        <f>ROUND(BO68,0)</f>
        <v>240</v>
      </c>
      <c r="L798" s="274">
        <f>ROUND(BO69,0)</f>
        <v>514</v>
      </c>
      <c r="M798" s="274">
        <f>ROUND(BO70,0)</f>
        <v>53216</v>
      </c>
      <c r="N798" s="274"/>
      <c r="O798" s="274"/>
      <c r="P798" s="274">
        <f>IF(BO76&gt;0,ROUND(BO76,0),0)</f>
        <v>0</v>
      </c>
      <c r="Q798" s="274">
        <f>IF(BO77&gt;0,ROUND(BO77,0),0)</f>
        <v>0</v>
      </c>
      <c r="R798" s="274">
        <f>IF(BO78&gt;0,ROUND(BO78,0),0)</f>
        <v>0</v>
      </c>
      <c r="S798" s="274">
        <f>IF(BO79&gt;0,ROUND(BO79,0),0)</f>
        <v>0</v>
      </c>
      <c r="T798" s="276">
        <f>IF(BO80&gt;0,ROUND(BO80,2),0)</f>
        <v>0</v>
      </c>
      <c r="U798" s="274"/>
      <c r="V798" s="275"/>
      <c r="W798" s="274"/>
      <c r="X798" s="274"/>
      <c r="Y798" s="274"/>
      <c r="Z798" s="275"/>
      <c r="AA798" s="275"/>
      <c r="AB798" s="275"/>
      <c r="AC798" s="275"/>
      <c r="AD798" s="275"/>
      <c r="AE798" s="275"/>
      <c r="AF798" s="275"/>
      <c r="AG798" s="275"/>
      <c r="AH798" s="275"/>
      <c r="AI798" s="275"/>
      <c r="AJ798" s="275"/>
      <c r="AK798" s="275"/>
      <c r="AL798" s="275"/>
      <c r="AM798" s="275"/>
      <c r="AN798" s="275"/>
      <c r="AO798" s="275"/>
      <c r="AP798" s="275"/>
      <c r="AQ798" s="275"/>
      <c r="AR798" s="275"/>
      <c r="AS798" s="275"/>
      <c r="AT798" s="275"/>
      <c r="AU798" s="275"/>
      <c r="AV798" s="275"/>
      <c r="AW798" s="275"/>
      <c r="AX798" s="275"/>
      <c r="AY798" s="275"/>
      <c r="AZ798" s="275"/>
      <c r="BA798" s="275"/>
      <c r="BB798" s="275"/>
      <c r="BC798" s="275"/>
      <c r="BD798" s="275"/>
      <c r="BE798" s="275"/>
      <c r="BF798" s="275"/>
      <c r="BG798" s="275"/>
      <c r="BH798" s="275"/>
      <c r="BI798" s="275"/>
      <c r="BJ798" s="275"/>
      <c r="BK798" s="275"/>
      <c r="BL798" s="275"/>
      <c r="BM798" s="275"/>
      <c r="BN798" s="275"/>
      <c r="BO798" s="275"/>
      <c r="BP798" s="275"/>
      <c r="BQ798" s="275"/>
      <c r="BR798" s="275"/>
      <c r="BS798" s="275"/>
      <c r="BT798" s="275"/>
      <c r="BU798" s="275"/>
      <c r="BV798" s="275"/>
      <c r="BW798" s="275"/>
      <c r="BX798" s="275"/>
      <c r="BY798" s="275"/>
      <c r="BZ798" s="275"/>
      <c r="CA798" s="275"/>
      <c r="CB798" s="275"/>
      <c r="CC798" s="275"/>
      <c r="CD798" s="275"/>
      <c r="CE798" s="275"/>
    </row>
    <row r="799" spans="1:83" ht="12.6" customHeight="1" x14ac:dyDescent="0.25">
      <c r="A799" s="209" t="str">
        <f>RIGHT($C$83,3)&amp;"*"&amp;RIGHT($C$82,4)&amp;"*"&amp;BP$55&amp;"*"&amp;"A"</f>
        <v>032*2017*8630*A</v>
      </c>
      <c r="B799" s="274"/>
      <c r="C799" s="276">
        <f>ROUND(BP60,2)</f>
        <v>0</v>
      </c>
      <c r="D799" s="274">
        <f>ROUND(BP61,0)</f>
        <v>0</v>
      </c>
      <c r="E799" s="274">
        <f>ROUND(BP62,0)</f>
        <v>0</v>
      </c>
      <c r="F799" s="274">
        <f>ROUND(BP63,0)</f>
        <v>0</v>
      </c>
      <c r="G799" s="274">
        <f>ROUND(BP64,0)</f>
        <v>0</v>
      </c>
      <c r="H799" s="274">
        <f>ROUND(BP65,0)</f>
        <v>0</v>
      </c>
      <c r="I799" s="274">
        <f>ROUND(BP66,0)</f>
        <v>5647924</v>
      </c>
      <c r="J799" s="274">
        <f>ROUND(BP67,0)</f>
        <v>0</v>
      </c>
      <c r="K799" s="274">
        <f>ROUND(BP68,0)</f>
        <v>0</v>
      </c>
      <c r="L799" s="274">
        <f>ROUND(BP69,0)</f>
        <v>0</v>
      </c>
      <c r="M799" s="274">
        <f>ROUND(BP70,0)</f>
        <v>0</v>
      </c>
      <c r="N799" s="274"/>
      <c r="O799" s="274"/>
      <c r="P799" s="274">
        <f>IF(BP76&gt;0,ROUND(BP76,0),0)</f>
        <v>0</v>
      </c>
      <c r="Q799" s="274">
        <f>IF(BP77&gt;0,ROUND(BP77,0),0)</f>
        <v>0</v>
      </c>
      <c r="R799" s="274">
        <f>IF(BP78&gt;0,ROUND(BP78,0),0)</f>
        <v>0</v>
      </c>
      <c r="S799" s="274">
        <f>IF(BP79&gt;0,ROUND(BP79,0),0)</f>
        <v>0</v>
      </c>
      <c r="T799" s="276">
        <f>IF(BP80&gt;0,ROUND(BP80,2),0)</f>
        <v>0</v>
      </c>
      <c r="U799" s="274"/>
      <c r="V799" s="275"/>
      <c r="W799" s="274"/>
      <c r="X799" s="274"/>
      <c r="Y799" s="274"/>
      <c r="Z799" s="275"/>
      <c r="AA799" s="275"/>
      <c r="AB799" s="275"/>
      <c r="AC799" s="275"/>
      <c r="AD799" s="275"/>
      <c r="AE799" s="275"/>
      <c r="AF799" s="275"/>
      <c r="AG799" s="275"/>
      <c r="AH799" s="275"/>
      <c r="AI799" s="275"/>
      <c r="AJ799" s="275"/>
      <c r="AK799" s="275"/>
      <c r="AL799" s="275"/>
      <c r="AM799" s="275"/>
      <c r="AN799" s="275"/>
      <c r="AO799" s="275"/>
      <c r="AP799" s="275"/>
      <c r="AQ799" s="275"/>
      <c r="AR799" s="275"/>
      <c r="AS799" s="275"/>
      <c r="AT799" s="275"/>
      <c r="AU799" s="275"/>
      <c r="AV799" s="275"/>
      <c r="AW799" s="275"/>
      <c r="AX799" s="275"/>
      <c r="AY799" s="275"/>
      <c r="AZ799" s="275"/>
      <c r="BA799" s="275"/>
      <c r="BB799" s="275"/>
      <c r="BC799" s="275"/>
      <c r="BD799" s="275"/>
      <c r="BE799" s="275"/>
      <c r="BF799" s="275"/>
      <c r="BG799" s="275"/>
      <c r="BH799" s="275"/>
      <c r="BI799" s="275"/>
      <c r="BJ799" s="275"/>
      <c r="BK799" s="275"/>
      <c r="BL799" s="275"/>
      <c r="BM799" s="275"/>
      <c r="BN799" s="275"/>
      <c r="BO799" s="275"/>
      <c r="BP799" s="275"/>
      <c r="BQ799" s="275"/>
      <c r="BR799" s="275"/>
      <c r="BS799" s="275"/>
      <c r="BT799" s="275"/>
      <c r="BU799" s="275"/>
      <c r="BV799" s="275"/>
      <c r="BW799" s="275"/>
      <c r="BX799" s="275"/>
      <c r="BY799" s="275"/>
      <c r="BZ799" s="275"/>
      <c r="CA799" s="275"/>
      <c r="CB799" s="275"/>
      <c r="CC799" s="275"/>
      <c r="CD799" s="275"/>
      <c r="CE799" s="275"/>
    </row>
    <row r="800" spans="1:83" ht="12.6" customHeight="1" x14ac:dyDescent="0.25">
      <c r="A800" s="209" t="str">
        <f>RIGHT($C$83,3)&amp;"*"&amp;RIGHT($C$82,4)&amp;"*"&amp;BQ$55&amp;"*"&amp;"A"</f>
        <v>032*2017*8640*A</v>
      </c>
      <c r="B800" s="274"/>
      <c r="C800" s="276">
        <f>ROUND(BQ60,2)</f>
        <v>0</v>
      </c>
      <c r="D800" s="274">
        <f>ROUND(BQ61,0)</f>
        <v>0</v>
      </c>
      <c r="E800" s="274">
        <f>ROUND(BQ62,0)</f>
        <v>0</v>
      </c>
      <c r="F800" s="274">
        <f>ROUND(BQ63,0)</f>
        <v>0</v>
      </c>
      <c r="G800" s="274">
        <f>ROUND(BQ64,0)</f>
        <v>0</v>
      </c>
      <c r="H800" s="274">
        <f>ROUND(BQ65,0)</f>
        <v>0</v>
      </c>
      <c r="I800" s="274">
        <f>ROUND(BQ66,0)</f>
        <v>0</v>
      </c>
      <c r="J800" s="274">
        <f>ROUND(BQ67,0)</f>
        <v>0</v>
      </c>
      <c r="K800" s="274">
        <f>ROUND(BQ68,0)</f>
        <v>0</v>
      </c>
      <c r="L800" s="274">
        <f>ROUND(BQ69,0)</f>
        <v>0</v>
      </c>
      <c r="M800" s="274">
        <f>ROUND(BQ70,0)</f>
        <v>0</v>
      </c>
      <c r="N800" s="274"/>
      <c r="O800" s="274"/>
      <c r="P800" s="274">
        <f>IF(BQ76&gt;0,ROUND(BQ76,0),0)</f>
        <v>0</v>
      </c>
      <c r="Q800" s="274">
        <f>IF(BQ77&gt;0,ROUND(BQ77,0),0)</f>
        <v>0</v>
      </c>
      <c r="R800" s="274">
        <f>IF(BQ78&gt;0,ROUND(BQ78,0),0)</f>
        <v>0</v>
      </c>
      <c r="S800" s="274">
        <f>IF(BQ79&gt;0,ROUND(BQ79,0),0)</f>
        <v>0</v>
      </c>
      <c r="T800" s="276">
        <f>IF(BQ80&gt;0,ROUND(BQ80,2),0)</f>
        <v>0</v>
      </c>
      <c r="U800" s="274"/>
      <c r="V800" s="275"/>
      <c r="W800" s="274"/>
      <c r="X800" s="274"/>
      <c r="Y800" s="274"/>
      <c r="Z800" s="275"/>
      <c r="AA800" s="275"/>
      <c r="AB800" s="275"/>
      <c r="AC800" s="275"/>
      <c r="AD800" s="275"/>
      <c r="AE800" s="275"/>
      <c r="AF800" s="275"/>
      <c r="AG800" s="275"/>
      <c r="AH800" s="275"/>
      <c r="AI800" s="275"/>
      <c r="AJ800" s="275"/>
      <c r="AK800" s="275"/>
      <c r="AL800" s="275"/>
      <c r="AM800" s="275"/>
      <c r="AN800" s="275"/>
      <c r="AO800" s="275"/>
      <c r="AP800" s="275"/>
      <c r="AQ800" s="275"/>
      <c r="AR800" s="275"/>
      <c r="AS800" s="275"/>
      <c r="AT800" s="275"/>
      <c r="AU800" s="275"/>
      <c r="AV800" s="275"/>
      <c r="AW800" s="275"/>
      <c r="AX800" s="275"/>
      <c r="AY800" s="275"/>
      <c r="AZ800" s="275"/>
      <c r="BA800" s="275"/>
      <c r="BB800" s="275"/>
      <c r="BC800" s="275"/>
      <c r="BD800" s="275"/>
      <c r="BE800" s="275"/>
      <c r="BF800" s="275"/>
      <c r="BG800" s="275"/>
      <c r="BH800" s="275"/>
      <c r="BI800" s="275"/>
      <c r="BJ800" s="275"/>
      <c r="BK800" s="275"/>
      <c r="BL800" s="275"/>
      <c r="BM800" s="275"/>
      <c r="BN800" s="275"/>
      <c r="BO800" s="275"/>
      <c r="BP800" s="275"/>
      <c r="BQ800" s="275"/>
      <c r="BR800" s="275"/>
      <c r="BS800" s="275"/>
      <c r="BT800" s="275"/>
      <c r="BU800" s="275"/>
      <c r="BV800" s="275"/>
      <c r="BW800" s="275"/>
      <c r="BX800" s="275"/>
      <c r="BY800" s="275"/>
      <c r="BZ800" s="275"/>
      <c r="CA800" s="275"/>
      <c r="CB800" s="275"/>
      <c r="CC800" s="275"/>
      <c r="CD800" s="275"/>
      <c r="CE800" s="275"/>
    </row>
    <row r="801" spans="1:83" ht="12.6" customHeight="1" x14ac:dyDescent="0.25">
      <c r="A801" s="209" t="str">
        <f>RIGHT($C$83,3)&amp;"*"&amp;RIGHT($C$82,4)&amp;"*"&amp;BR$55&amp;"*"&amp;"A"</f>
        <v>032*2017*8650*A</v>
      </c>
      <c r="B801" s="274"/>
      <c r="C801" s="276">
        <f>ROUND(BR60,2)</f>
        <v>0</v>
      </c>
      <c r="D801" s="274">
        <f>ROUND(BR61,0)</f>
        <v>0</v>
      </c>
      <c r="E801" s="274">
        <f>ROUND(BR62,0)</f>
        <v>813</v>
      </c>
      <c r="F801" s="274">
        <f>ROUND(BR63,0)</f>
        <v>0</v>
      </c>
      <c r="G801" s="274">
        <f>ROUND(BR64,0)</f>
        <v>0</v>
      </c>
      <c r="H801" s="274">
        <f>ROUND(BR65,0)</f>
        <v>0</v>
      </c>
      <c r="I801" s="274">
        <f>ROUND(BR66,0)</f>
        <v>1879985</v>
      </c>
      <c r="J801" s="274">
        <f>ROUND(BR67,0)</f>
        <v>203198</v>
      </c>
      <c r="K801" s="274">
        <f>ROUND(BR68,0)</f>
        <v>0</v>
      </c>
      <c r="L801" s="274">
        <f>ROUND(BR69,0)</f>
        <v>0</v>
      </c>
      <c r="M801" s="274">
        <f>ROUND(BR70,0)</f>
        <v>0</v>
      </c>
      <c r="N801" s="274"/>
      <c r="O801" s="274"/>
      <c r="P801" s="274">
        <f>IF(BR76&gt;0,ROUND(BR76,0),0)</f>
        <v>16702</v>
      </c>
      <c r="Q801" s="274">
        <f>IF(BR77&gt;0,ROUND(BR77,0),0)</f>
        <v>0</v>
      </c>
      <c r="R801" s="274">
        <f>IF(BR78&gt;0,ROUND(BR78,0),0)</f>
        <v>0</v>
      </c>
      <c r="S801" s="274">
        <f>IF(BR79&gt;0,ROUND(BR79,0),0)</f>
        <v>0</v>
      </c>
      <c r="T801" s="276">
        <f>IF(BR80&gt;0,ROUND(BR80,2),0)</f>
        <v>0</v>
      </c>
      <c r="U801" s="274"/>
      <c r="V801" s="275"/>
      <c r="W801" s="274"/>
      <c r="X801" s="274"/>
      <c r="Y801" s="274"/>
      <c r="Z801" s="275"/>
      <c r="AA801" s="275"/>
      <c r="AB801" s="275"/>
      <c r="AC801" s="275"/>
      <c r="AD801" s="275"/>
      <c r="AE801" s="275"/>
      <c r="AF801" s="275"/>
      <c r="AG801" s="275"/>
      <c r="AH801" s="275"/>
      <c r="AI801" s="275"/>
      <c r="AJ801" s="275"/>
      <c r="AK801" s="275"/>
      <c r="AL801" s="275"/>
      <c r="AM801" s="275"/>
      <c r="AN801" s="275"/>
      <c r="AO801" s="275"/>
      <c r="AP801" s="275"/>
      <c r="AQ801" s="275"/>
      <c r="AR801" s="275"/>
      <c r="AS801" s="275"/>
      <c r="AT801" s="275"/>
      <c r="AU801" s="275"/>
      <c r="AV801" s="275"/>
      <c r="AW801" s="275"/>
      <c r="AX801" s="275"/>
      <c r="AY801" s="275"/>
      <c r="AZ801" s="275"/>
      <c r="BA801" s="275"/>
      <c r="BB801" s="275"/>
      <c r="BC801" s="275"/>
      <c r="BD801" s="275"/>
      <c r="BE801" s="275"/>
      <c r="BF801" s="275"/>
      <c r="BG801" s="275"/>
      <c r="BH801" s="275"/>
      <c r="BI801" s="275"/>
      <c r="BJ801" s="275"/>
      <c r="BK801" s="275"/>
      <c r="BL801" s="275"/>
      <c r="BM801" s="275"/>
      <c r="BN801" s="275"/>
      <c r="BO801" s="275"/>
      <c r="BP801" s="275"/>
      <c r="BQ801" s="275"/>
      <c r="BR801" s="275"/>
      <c r="BS801" s="275"/>
      <c r="BT801" s="275"/>
      <c r="BU801" s="275"/>
      <c r="BV801" s="275"/>
      <c r="BW801" s="275"/>
      <c r="BX801" s="275"/>
      <c r="BY801" s="275"/>
      <c r="BZ801" s="275"/>
      <c r="CA801" s="275"/>
      <c r="CB801" s="275"/>
      <c r="CC801" s="275"/>
      <c r="CD801" s="275"/>
      <c r="CE801" s="275"/>
    </row>
    <row r="802" spans="1:83" ht="12.6" customHeight="1" x14ac:dyDescent="0.25">
      <c r="A802" s="209" t="str">
        <f>RIGHT($C$83,3)&amp;"*"&amp;RIGHT($C$82,4)&amp;"*"&amp;BS$55&amp;"*"&amp;"A"</f>
        <v>032*2017*8660*A</v>
      </c>
      <c r="B802" s="274"/>
      <c r="C802" s="276">
        <f>ROUND(BS60,2)</f>
        <v>0</v>
      </c>
      <c r="D802" s="274">
        <f>ROUND(BS61,0)</f>
        <v>0</v>
      </c>
      <c r="E802" s="274">
        <f>ROUND(BS62,0)</f>
        <v>0</v>
      </c>
      <c r="F802" s="274">
        <f>ROUND(BS63,0)</f>
        <v>0</v>
      </c>
      <c r="G802" s="274">
        <f>ROUND(BS64,0)</f>
        <v>0</v>
      </c>
      <c r="H802" s="274">
        <f>ROUND(BS65,0)</f>
        <v>0</v>
      </c>
      <c r="I802" s="274">
        <f>ROUND(BS66,0)</f>
        <v>283268</v>
      </c>
      <c r="J802" s="274">
        <f>ROUND(BS67,0)</f>
        <v>0</v>
      </c>
      <c r="K802" s="274">
        <f>ROUND(BS68,0)</f>
        <v>0</v>
      </c>
      <c r="L802" s="274">
        <f>ROUND(BS69,0)</f>
        <v>0</v>
      </c>
      <c r="M802" s="274">
        <f>ROUND(BS70,0)</f>
        <v>0</v>
      </c>
      <c r="N802" s="274"/>
      <c r="O802" s="274"/>
      <c r="P802" s="274">
        <f>IF(BS76&gt;0,ROUND(BS76,0),0)</f>
        <v>0</v>
      </c>
      <c r="Q802" s="274">
        <f>IF(BS77&gt;0,ROUND(BS77,0),0)</f>
        <v>0</v>
      </c>
      <c r="R802" s="274">
        <f>IF(BS78&gt;0,ROUND(BS78,0),0)</f>
        <v>0</v>
      </c>
      <c r="S802" s="274">
        <f>IF(BS79&gt;0,ROUND(BS79,0),0)</f>
        <v>0</v>
      </c>
      <c r="T802" s="276">
        <f>IF(BS80&gt;0,ROUND(BS80,2),0)</f>
        <v>0</v>
      </c>
      <c r="U802" s="274"/>
      <c r="V802" s="275"/>
      <c r="W802" s="274"/>
      <c r="X802" s="274"/>
      <c r="Y802" s="274"/>
      <c r="Z802" s="275"/>
      <c r="AA802" s="275"/>
      <c r="AB802" s="275"/>
      <c r="AC802" s="275"/>
      <c r="AD802" s="275"/>
      <c r="AE802" s="275"/>
      <c r="AF802" s="275"/>
      <c r="AG802" s="275"/>
      <c r="AH802" s="275"/>
      <c r="AI802" s="275"/>
      <c r="AJ802" s="275"/>
      <c r="AK802" s="275"/>
      <c r="AL802" s="275"/>
      <c r="AM802" s="275"/>
      <c r="AN802" s="275"/>
      <c r="AO802" s="275"/>
      <c r="AP802" s="275"/>
      <c r="AQ802" s="275"/>
      <c r="AR802" s="275"/>
      <c r="AS802" s="275"/>
      <c r="AT802" s="275"/>
      <c r="AU802" s="275"/>
      <c r="AV802" s="275"/>
      <c r="AW802" s="275"/>
      <c r="AX802" s="275"/>
      <c r="AY802" s="275"/>
      <c r="AZ802" s="275"/>
      <c r="BA802" s="275"/>
      <c r="BB802" s="275"/>
      <c r="BC802" s="275"/>
      <c r="BD802" s="275"/>
      <c r="BE802" s="275"/>
      <c r="BF802" s="275"/>
      <c r="BG802" s="275"/>
      <c r="BH802" s="275"/>
      <c r="BI802" s="275"/>
      <c r="BJ802" s="275"/>
      <c r="BK802" s="275"/>
      <c r="BL802" s="275"/>
      <c r="BM802" s="275"/>
      <c r="BN802" s="275"/>
      <c r="BO802" s="275"/>
      <c r="BP802" s="275"/>
      <c r="BQ802" s="275"/>
      <c r="BR802" s="275"/>
      <c r="BS802" s="275"/>
      <c r="BT802" s="275"/>
      <c r="BU802" s="275"/>
      <c r="BV802" s="275"/>
      <c r="BW802" s="275"/>
      <c r="BX802" s="275"/>
      <c r="BY802" s="275"/>
      <c r="BZ802" s="275"/>
      <c r="CA802" s="275"/>
      <c r="CB802" s="275"/>
      <c r="CC802" s="275"/>
      <c r="CD802" s="275"/>
      <c r="CE802" s="275"/>
    </row>
    <row r="803" spans="1:83" ht="12.6" customHeight="1" x14ac:dyDescent="0.25">
      <c r="A803" s="209" t="str">
        <f>RIGHT($C$83,3)&amp;"*"&amp;RIGHT($C$82,4)&amp;"*"&amp;BT$55&amp;"*"&amp;"A"</f>
        <v>032*2017*8670*A</v>
      </c>
      <c r="B803" s="274"/>
      <c r="C803" s="276">
        <f>ROUND(BT60,2)</f>
        <v>0</v>
      </c>
      <c r="D803" s="274">
        <f>ROUND(BT61,0)</f>
        <v>233832</v>
      </c>
      <c r="E803" s="274">
        <f>ROUND(BT62,0)</f>
        <v>79808</v>
      </c>
      <c r="F803" s="274">
        <f>ROUND(BT63,0)</f>
        <v>0</v>
      </c>
      <c r="G803" s="274">
        <f>ROUND(BT64,0)</f>
        <v>743</v>
      </c>
      <c r="H803" s="274">
        <f>ROUND(BT65,0)</f>
        <v>0</v>
      </c>
      <c r="I803" s="274">
        <f>ROUND(BT66,0)</f>
        <v>445273</v>
      </c>
      <c r="J803" s="274">
        <f>ROUND(BT67,0)</f>
        <v>0</v>
      </c>
      <c r="K803" s="274">
        <f>ROUND(BT68,0)</f>
        <v>5</v>
      </c>
      <c r="L803" s="274">
        <f>ROUND(BT69,0)</f>
        <v>14793</v>
      </c>
      <c r="M803" s="274">
        <f>ROUND(BT70,0)</f>
        <v>19400</v>
      </c>
      <c r="N803" s="274"/>
      <c r="O803" s="274"/>
      <c r="P803" s="274">
        <f>IF(BT76&gt;0,ROUND(BT76,0),0)</f>
        <v>0</v>
      </c>
      <c r="Q803" s="274">
        <f>IF(BT77&gt;0,ROUND(BT77,0),0)</f>
        <v>0</v>
      </c>
      <c r="R803" s="274">
        <f>IF(BT78&gt;0,ROUND(BT78,0),0)</f>
        <v>0</v>
      </c>
      <c r="S803" s="274">
        <f>IF(BT79&gt;0,ROUND(BT79,0),0)</f>
        <v>0</v>
      </c>
      <c r="T803" s="276">
        <f>IF(BT80&gt;0,ROUND(BT80,2),0)</f>
        <v>0</v>
      </c>
      <c r="U803" s="274"/>
      <c r="V803" s="275"/>
      <c r="W803" s="274"/>
      <c r="X803" s="274"/>
      <c r="Y803" s="274"/>
      <c r="Z803" s="275"/>
      <c r="AA803" s="275"/>
      <c r="AB803" s="275"/>
      <c r="AC803" s="275"/>
      <c r="AD803" s="275"/>
      <c r="AE803" s="275"/>
      <c r="AF803" s="275"/>
      <c r="AG803" s="275"/>
      <c r="AH803" s="275"/>
      <c r="AI803" s="275"/>
      <c r="AJ803" s="275"/>
      <c r="AK803" s="275"/>
      <c r="AL803" s="275"/>
      <c r="AM803" s="275"/>
      <c r="AN803" s="275"/>
      <c r="AO803" s="275"/>
      <c r="AP803" s="275"/>
      <c r="AQ803" s="275"/>
      <c r="AR803" s="275"/>
      <c r="AS803" s="275"/>
      <c r="AT803" s="275"/>
      <c r="AU803" s="275"/>
      <c r="AV803" s="275"/>
      <c r="AW803" s="275"/>
      <c r="AX803" s="275"/>
      <c r="AY803" s="275"/>
      <c r="AZ803" s="275"/>
      <c r="BA803" s="275"/>
      <c r="BB803" s="275"/>
      <c r="BC803" s="275"/>
      <c r="BD803" s="275"/>
      <c r="BE803" s="275"/>
      <c r="BF803" s="275"/>
      <c r="BG803" s="275"/>
      <c r="BH803" s="275"/>
      <c r="BI803" s="275"/>
      <c r="BJ803" s="275"/>
      <c r="BK803" s="275"/>
      <c r="BL803" s="275"/>
      <c r="BM803" s="275"/>
      <c r="BN803" s="275"/>
      <c r="BO803" s="275"/>
      <c r="BP803" s="275"/>
      <c r="BQ803" s="275"/>
      <c r="BR803" s="275"/>
      <c r="BS803" s="275"/>
      <c r="BT803" s="275"/>
      <c r="BU803" s="275"/>
      <c r="BV803" s="275"/>
      <c r="BW803" s="275"/>
      <c r="BX803" s="275"/>
      <c r="BY803" s="275"/>
      <c r="BZ803" s="275"/>
      <c r="CA803" s="275"/>
      <c r="CB803" s="275"/>
      <c r="CC803" s="275"/>
      <c r="CD803" s="275"/>
      <c r="CE803" s="275"/>
    </row>
    <row r="804" spans="1:83" ht="12.6" customHeight="1" x14ac:dyDescent="0.25">
      <c r="A804" s="209" t="str">
        <f>RIGHT($C$83,3)&amp;"*"&amp;RIGHT($C$82,4)&amp;"*"&amp;BU$55&amp;"*"&amp;"A"</f>
        <v>032*2017*8680*A</v>
      </c>
      <c r="B804" s="274"/>
      <c r="C804" s="276">
        <f>ROUND(BU60,2)</f>
        <v>0</v>
      </c>
      <c r="D804" s="274">
        <f>ROUND(BU61,0)</f>
        <v>0</v>
      </c>
      <c r="E804" s="274">
        <f>ROUND(BU62,0)</f>
        <v>0</v>
      </c>
      <c r="F804" s="274">
        <f>ROUND(BU63,0)</f>
        <v>0</v>
      </c>
      <c r="G804" s="274">
        <f>ROUND(BU64,0)</f>
        <v>0</v>
      </c>
      <c r="H804" s="274">
        <f>ROUND(BU65,0)</f>
        <v>0</v>
      </c>
      <c r="I804" s="274">
        <f>ROUND(BU66,0)</f>
        <v>105990</v>
      </c>
      <c r="J804" s="274">
        <f>ROUND(BU67,0)</f>
        <v>0</v>
      </c>
      <c r="K804" s="274">
        <f>ROUND(BU68,0)</f>
        <v>0</v>
      </c>
      <c r="L804" s="274">
        <f>ROUND(BU69,0)</f>
        <v>0</v>
      </c>
      <c r="M804" s="274">
        <f>ROUND(BU70,0)</f>
        <v>0</v>
      </c>
      <c r="N804" s="274"/>
      <c r="O804" s="274"/>
      <c r="P804" s="274">
        <f>IF(BU76&gt;0,ROUND(BU76,0),0)</f>
        <v>0</v>
      </c>
      <c r="Q804" s="274">
        <f>IF(BU77&gt;0,ROUND(BU77,0),0)</f>
        <v>0</v>
      </c>
      <c r="R804" s="274">
        <f>IF(BU78&gt;0,ROUND(BU78,0),0)</f>
        <v>0</v>
      </c>
      <c r="S804" s="274">
        <f>IF(BU79&gt;0,ROUND(BU79,0),0)</f>
        <v>0</v>
      </c>
      <c r="T804" s="276">
        <f>IF(BU80&gt;0,ROUND(BU80,2),0)</f>
        <v>0</v>
      </c>
      <c r="U804" s="274"/>
      <c r="V804" s="275"/>
      <c r="W804" s="274"/>
      <c r="X804" s="274"/>
      <c r="Y804" s="274"/>
      <c r="Z804" s="275"/>
      <c r="AA804" s="275"/>
      <c r="AB804" s="275"/>
      <c r="AC804" s="275"/>
      <c r="AD804" s="275"/>
      <c r="AE804" s="275"/>
      <c r="AF804" s="275"/>
      <c r="AG804" s="275"/>
      <c r="AH804" s="275"/>
      <c r="AI804" s="275"/>
      <c r="AJ804" s="275"/>
      <c r="AK804" s="275"/>
      <c r="AL804" s="275"/>
      <c r="AM804" s="275"/>
      <c r="AN804" s="275"/>
      <c r="AO804" s="275"/>
      <c r="AP804" s="275"/>
      <c r="AQ804" s="275"/>
      <c r="AR804" s="275"/>
      <c r="AS804" s="275"/>
      <c r="AT804" s="275"/>
      <c r="AU804" s="275"/>
      <c r="AV804" s="275"/>
      <c r="AW804" s="275"/>
      <c r="AX804" s="275"/>
      <c r="AY804" s="275"/>
      <c r="AZ804" s="275"/>
      <c r="BA804" s="275"/>
      <c r="BB804" s="275"/>
      <c r="BC804" s="275"/>
      <c r="BD804" s="275"/>
      <c r="BE804" s="275"/>
      <c r="BF804" s="275"/>
      <c r="BG804" s="275"/>
      <c r="BH804" s="275"/>
      <c r="BI804" s="275"/>
      <c r="BJ804" s="275"/>
      <c r="BK804" s="275"/>
      <c r="BL804" s="275"/>
      <c r="BM804" s="275"/>
      <c r="BN804" s="275"/>
      <c r="BO804" s="275"/>
      <c r="BP804" s="275"/>
      <c r="BQ804" s="275"/>
      <c r="BR804" s="275"/>
      <c r="BS804" s="275"/>
      <c r="BT804" s="275"/>
      <c r="BU804" s="275"/>
      <c r="BV804" s="275"/>
      <c r="BW804" s="275"/>
      <c r="BX804" s="275"/>
      <c r="BY804" s="275"/>
      <c r="BZ804" s="275"/>
      <c r="CA804" s="275"/>
      <c r="CB804" s="275"/>
      <c r="CC804" s="275"/>
      <c r="CD804" s="275"/>
      <c r="CE804" s="275"/>
    </row>
    <row r="805" spans="1:83" ht="12.6" customHeight="1" x14ac:dyDescent="0.25">
      <c r="A805" s="209" t="str">
        <f>RIGHT($C$83,3)&amp;"*"&amp;RIGHT($C$82,4)&amp;"*"&amp;BV$55&amp;"*"&amp;"A"</f>
        <v>032*2017*8690*A</v>
      </c>
      <c r="B805" s="274"/>
      <c r="C805" s="276">
        <f>ROUND(BV60,2)</f>
        <v>0</v>
      </c>
      <c r="D805" s="274">
        <f>ROUND(BV61,0)</f>
        <v>0</v>
      </c>
      <c r="E805" s="274">
        <f>ROUND(BV62,0)</f>
        <v>0</v>
      </c>
      <c r="F805" s="274">
        <f>ROUND(BV63,0)</f>
        <v>0</v>
      </c>
      <c r="G805" s="274">
        <f>ROUND(BV64,0)</f>
        <v>0</v>
      </c>
      <c r="H805" s="274">
        <f>ROUND(BV65,0)</f>
        <v>0</v>
      </c>
      <c r="I805" s="274">
        <f>ROUND(BV66,0)</f>
        <v>9604831</v>
      </c>
      <c r="J805" s="274">
        <f>ROUND(BV67,0)</f>
        <v>115030</v>
      </c>
      <c r="K805" s="274">
        <f>ROUND(BV68,0)</f>
        <v>0</v>
      </c>
      <c r="L805" s="274">
        <f>ROUND(BV69,0)</f>
        <v>0</v>
      </c>
      <c r="M805" s="274">
        <f>ROUND(BV70,0)</f>
        <v>0</v>
      </c>
      <c r="N805" s="274"/>
      <c r="O805" s="274"/>
      <c r="P805" s="274">
        <f>IF(BV76&gt;0,ROUND(BV76,0),0)</f>
        <v>9455</v>
      </c>
      <c r="Q805" s="274">
        <f>IF(BV77&gt;0,ROUND(BV77,0),0)</f>
        <v>0</v>
      </c>
      <c r="R805" s="274">
        <f>IF(BV78&gt;0,ROUND(BV78,0),0)</f>
        <v>3963</v>
      </c>
      <c r="S805" s="274">
        <f>IF(BV79&gt;0,ROUND(BV79,0),0)</f>
        <v>0</v>
      </c>
      <c r="T805" s="276">
        <f>IF(BV80&gt;0,ROUND(BV80,2),0)</f>
        <v>0</v>
      </c>
      <c r="U805" s="274"/>
      <c r="V805" s="275"/>
      <c r="W805" s="274"/>
      <c r="X805" s="274"/>
      <c r="Y805" s="274"/>
      <c r="Z805" s="275"/>
      <c r="AA805" s="275"/>
      <c r="AB805" s="275"/>
      <c r="AC805" s="275"/>
      <c r="AD805" s="275"/>
      <c r="AE805" s="275"/>
      <c r="AF805" s="275"/>
      <c r="AG805" s="275"/>
      <c r="AH805" s="275"/>
      <c r="AI805" s="275"/>
      <c r="AJ805" s="275"/>
      <c r="AK805" s="275"/>
      <c r="AL805" s="275"/>
      <c r="AM805" s="275"/>
      <c r="AN805" s="275"/>
      <c r="AO805" s="275"/>
      <c r="AP805" s="275"/>
      <c r="AQ805" s="275"/>
      <c r="AR805" s="275"/>
      <c r="AS805" s="275"/>
      <c r="AT805" s="275"/>
      <c r="AU805" s="275"/>
      <c r="AV805" s="275"/>
      <c r="AW805" s="275"/>
      <c r="AX805" s="275"/>
      <c r="AY805" s="275"/>
      <c r="AZ805" s="275"/>
      <c r="BA805" s="275"/>
      <c r="BB805" s="275"/>
      <c r="BC805" s="275"/>
      <c r="BD805" s="275"/>
      <c r="BE805" s="275"/>
      <c r="BF805" s="275"/>
      <c r="BG805" s="275"/>
      <c r="BH805" s="275"/>
      <c r="BI805" s="275"/>
      <c r="BJ805" s="275"/>
      <c r="BK805" s="275"/>
      <c r="BL805" s="275"/>
      <c r="BM805" s="275"/>
      <c r="BN805" s="275"/>
      <c r="BO805" s="275"/>
      <c r="BP805" s="275"/>
      <c r="BQ805" s="275"/>
      <c r="BR805" s="275"/>
      <c r="BS805" s="275"/>
      <c r="BT805" s="275"/>
      <c r="BU805" s="275"/>
      <c r="BV805" s="275"/>
      <c r="BW805" s="275"/>
      <c r="BX805" s="275"/>
      <c r="BY805" s="275"/>
      <c r="BZ805" s="275"/>
      <c r="CA805" s="275"/>
      <c r="CB805" s="275"/>
      <c r="CC805" s="275"/>
      <c r="CD805" s="275"/>
      <c r="CE805" s="275"/>
    </row>
    <row r="806" spans="1:83" ht="12.6" customHeight="1" x14ac:dyDescent="0.25">
      <c r="A806" s="209" t="str">
        <f>RIGHT($C$83,3)&amp;"*"&amp;RIGHT($C$82,4)&amp;"*"&amp;BW$55&amp;"*"&amp;"A"</f>
        <v>032*2017*8700*A</v>
      </c>
      <c r="B806" s="274"/>
      <c r="C806" s="276">
        <f>ROUND(BW60,2)</f>
        <v>0</v>
      </c>
      <c r="D806" s="274">
        <f>ROUND(BW61,0)</f>
        <v>0</v>
      </c>
      <c r="E806" s="274">
        <f>ROUND(BW62,0)</f>
        <v>0</v>
      </c>
      <c r="F806" s="274">
        <f>ROUND(BW63,0)</f>
        <v>0</v>
      </c>
      <c r="G806" s="274">
        <f>ROUND(BW64,0)</f>
        <v>0</v>
      </c>
      <c r="H806" s="274">
        <f>ROUND(BW65,0)</f>
        <v>0</v>
      </c>
      <c r="I806" s="274">
        <f>ROUND(BW66,0)</f>
        <v>1430824</v>
      </c>
      <c r="J806" s="274">
        <f>ROUND(BW67,0)</f>
        <v>0</v>
      </c>
      <c r="K806" s="274">
        <f>ROUND(BW68,0)</f>
        <v>0</v>
      </c>
      <c r="L806" s="274">
        <f>ROUND(BW69,0)</f>
        <v>0</v>
      </c>
      <c r="M806" s="274">
        <f>ROUND(BW70,0)</f>
        <v>0</v>
      </c>
      <c r="N806" s="274"/>
      <c r="O806" s="274"/>
      <c r="P806" s="274">
        <f>IF(BW76&gt;0,ROUND(BW76,0),0)</f>
        <v>0</v>
      </c>
      <c r="Q806" s="274">
        <f>IF(BW77&gt;0,ROUND(BW77,0),0)</f>
        <v>0</v>
      </c>
      <c r="R806" s="274">
        <f>IF(BW78&gt;0,ROUND(BW78,0),0)</f>
        <v>0</v>
      </c>
      <c r="S806" s="274">
        <f>IF(BW79&gt;0,ROUND(BW79,0),0)</f>
        <v>0</v>
      </c>
      <c r="T806" s="276">
        <f>IF(BW80&gt;0,ROUND(BW80,2),0)</f>
        <v>0</v>
      </c>
      <c r="U806" s="274"/>
      <c r="V806" s="275"/>
      <c r="W806" s="274"/>
      <c r="X806" s="274"/>
      <c r="Y806" s="274"/>
      <c r="Z806" s="275"/>
      <c r="AA806" s="275"/>
      <c r="AB806" s="275"/>
      <c r="AC806" s="275"/>
      <c r="AD806" s="275"/>
      <c r="AE806" s="275"/>
      <c r="AF806" s="275"/>
      <c r="AG806" s="275"/>
      <c r="AH806" s="275"/>
      <c r="AI806" s="275"/>
      <c r="AJ806" s="275"/>
      <c r="AK806" s="275"/>
      <c r="AL806" s="275"/>
      <c r="AM806" s="275"/>
      <c r="AN806" s="275"/>
      <c r="AO806" s="275"/>
      <c r="AP806" s="275"/>
      <c r="AQ806" s="275"/>
      <c r="AR806" s="275"/>
      <c r="AS806" s="275"/>
      <c r="AT806" s="275"/>
      <c r="AU806" s="275"/>
      <c r="AV806" s="275"/>
      <c r="AW806" s="275"/>
      <c r="AX806" s="275"/>
      <c r="AY806" s="275"/>
      <c r="AZ806" s="275"/>
      <c r="BA806" s="275"/>
      <c r="BB806" s="275"/>
      <c r="BC806" s="275"/>
      <c r="BD806" s="275"/>
      <c r="BE806" s="275"/>
      <c r="BF806" s="275"/>
      <c r="BG806" s="275"/>
      <c r="BH806" s="275"/>
      <c r="BI806" s="275"/>
      <c r="BJ806" s="275"/>
      <c r="BK806" s="275"/>
      <c r="BL806" s="275"/>
      <c r="BM806" s="275"/>
      <c r="BN806" s="275"/>
      <c r="BO806" s="275"/>
      <c r="BP806" s="275"/>
      <c r="BQ806" s="275"/>
      <c r="BR806" s="275"/>
      <c r="BS806" s="275"/>
      <c r="BT806" s="275"/>
      <c r="BU806" s="275"/>
      <c r="BV806" s="275"/>
      <c r="BW806" s="275"/>
      <c r="BX806" s="275"/>
      <c r="BY806" s="275"/>
      <c r="BZ806" s="275"/>
      <c r="CA806" s="275"/>
      <c r="CB806" s="275"/>
      <c r="CC806" s="275"/>
      <c r="CD806" s="275"/>
      <c r="CE806" s="275"/>
    </row>
    <row r="807" spans="1:83" ht="12.6" customHeight="1" x14ac:dyDescent="0.25">
      <c r="A807" s="209" t="str">
        <f>RIGHT($C$83,3)&amp;"*"&amp;RIGHT($C$82,4)&amp;"*"&amp;BX$55&amp;"*"&amp;"A"</f>
        <v>032*2017*8710*A</v>
      </c>
      <c r="B807" s="274"/>
      <c r="C807" s="276">
        <f>ROUND(BX60,2)</f>
        <v>0</v>
      </c>
      <c r="D807" s="274">
        <f>ROUND(BX61,0)</f>
        <v>0</v>
      </c>
      <c r="E807" s="274">
        <f>ROUND(BX62,0)</f>
        <v>0</v>
      </c>
      <c r="F807" s="274">
        <f>ROUND(BX63,0)</f>
        <v>0</v>
      </c>
      <c r="G807" s="274">
        <f>ROUND(BX64,0)</f>
        <v>0</v>
      </c>
      <c r="H807" s="274">
        <f>ROUND(BX65,0)</f>
        <v>0</v>
      </c>
      <c r="I807" s="274">
        <f>ROUND(BX66,0)</f>
        <v>3415146</v>
      </c>
      <c r="J807" s="274">
        <f>ROUND(BX67,0)</f>
        <v>0</v>
      </c>
      <c r="K807" s="274">
        <f>ROUND(BX68,0)</f>
        <v>0</v>
      </c>
      <c r="L807" s="274">
        <f>ROUND(BX69,0)</f>
        <v>0</v>
      </c>
      <c r="M807" s="274">
        <f>ROUND(BX70,0)</f>
        <v>0</v>
      </c>
      <c r="N807" s="274"/>
      <c r="O807" s="274"/>
      <c r="P807" s="274">
        <f>IF(BX76&gt;0,ROUND(BX76,0),0)</f>
        <v>0</v>
      </c>
      <c r="Q807" s="274">
        <f>IF(BX77&gt;0,ROUND(BX77,0),0)</f>
        <v>0</v>
      </c>
      <c r="R807" s="274">
        <f>IF(BX78&gt;0,ROUND(BX78,0),0)</f>
        <v>0</v>
      </c>
      <c r="S807" s="274">
        <f>IF(BX79&gt;0,ROUND(BX79,0),0)</f>
        <v>0</v>
      </c>
      <c r="T807" s="276">
        <f>IF(BX80&gt;0,ROUND(BX80,2),0)</f>
        <v>0</v>
      </c>
      <c r="U807" s="274"/>
      <c r="V807" s="275"/>
      <c r="W807" s="274"/>
      <c r="X807" s="274"/>
      <c r="Y807" s="274"/>
      <c r="Z807" s="275"/>
      <c r="AA807" s="275"/>
      <c r="AB807" s="275"/>
      <c r="AC807" s="275"/>
      <c r="AD807" s="275"/>
      <c r="AE807" s="275"/>
      <c r="AF807" s="275"/>
      <c r="AG807" s="275"/>
      <c r="AH807" s="275"/>
      <c r="AI807" s="275"/>
      <c r="AJ807" s="275"/>
      <c r="AK807" s="275"/>
      <c r="AL807" s="275"/>
      <c r="AM807" s="275"/>
      <c r="AN807" s="275"/>
      <c r="AO807" s="275"/>
      <c r="AP807" s="275"/>
      <c r="AQ807" s="275"/>
      <c r="AR807" s="275"/>
      <c r="AS807" s="275"/>
      <c r="AT807" s="275"/>
      <c r="AU807" s="275"/>
      <c r="AV807" s="275"/>
      <c r="AW807" s="275"/>
      <c r="AX807" s="275"/>
      <c r="AY807" s="275"/>
      <c r="AZ807" s="275"/>
      <c r="BA807" s="275"/>
      <c r="BB807" s="275"/>
      <c r="BC807" s="275"/>
      <c r="BD807" s="275"/>
      <c r="BE807" s="275"/>
      <c r="BF807" s="275"/>
      <c r="BG807" s="275"/>
      <c r="BH807" s="275"/>
      <c r="BI807" s="275"/>
      <c r="BJ807" s="275"/>
      <c r="BK807" s="275"/>
      <c r="BL807" s="275"/>
      <c r="BM807" s="275"/>
      <c r="BN807" s="275"/>
      <c r="BO807" s="275"/>
      <c r="BP807" s="275"/>
      <c r="BQ807" s="275"/>
      <c r="BR807" s="275"/>
      <c r="BS807" s="275"/>
      <c r="BT807" s="275"/>
      <c r="BU807" s="275"/>
      <c r="BV807" s="275"/>
      <c r="BW807" s="275"/>
      <c r="BX807" s="275"/>
      <c r="BY807" s="275"/>
      <c r="BZ807" s="275"/>
      <c r="CA807" s="275"/>
      <c r="CB807" s="275"/>
      <c r="CC807" s="275"/>
      <c r="CD807" s="275"/>
      <c r="CE807" s="275"/>
    </row>
    <row r="808" spans="1:83" ht="12.6" customHeight="1" x14ac:dyDescent="0.25">
      <c r="A808" s="209" t="str">
        <f>RIGHT($C$83,3)&amp;"*"&amp;RIGHT($C$82,4)&amp;"*"&amp;BY$55&amp;"*"&amp;"A"</f>
        <v>032*2017*8720*A</v>
      </c>
      <c r="B808" s="274"/>
      <c r="C808" s="276">
        <f>ROUND(BY60,2)</f>
        <v>24.75</v>
      </c>
      <c r="D808" s="274">
        <f>ROUND(BY61,0)</f>
        <v>1971048</v>
      </c>
      <c r="E808" s="274">
        <f>ROUND(BY62,0)</f>
        <v>567634</v>
      </c>
      <c r="F808" s="274">
        <f>ROUND(BY63,0)</f>
        <v>0</v>
      </c>
      <c r="G808" s="274">
        <f>ROUND(BY64,0)</f>
        <v>4412</v>
      </c>
      <c r="H808" s="274">
        <f>ROUND(BY65,0)</f>
        <v>3422</v>
      </c>
      <c r="I808" s="274">
        <f>ROUND(BY66,0)</f>
        <v>568134</v>
      </c>
      <c r="J808" s="274">
        <f>ROUND(BY67,0)</f>
        <v>133583</v>
      </c>
      <c r="K808" s="274">
        <f>ROUND(BY68,0)</f>
        <v>4832</v>
      </c>
      <c r="L808" s="274">
        <f>ROUND(BY69,0)</f>
        <v>2674</v>
      </c>
      <c r="M808" s="274">
        <f>ROUND(BY70,0)</f>
        <v>5913</v>
      </c>
      <c r="N808" s="274"/>
      <c r="O808" s="274"/>
      <c r="P808" s="274">
        <f>IF(BY76&gt;0,ROUND(BY76,0),0)</f>
        <v>978</v>
      </c>
      <c r="Q808" s="274">
        <f>IF(BY77&gt;0,ROUND(BY77,0),0)</f>
        <v>0</v>
      </c>
      <c r="R808" s="274">
        <f>IF(BY78&gt;0,ROUND(BY78,0),0)</f>
        <v>410</v>
      </c>
      <c r="S808" s="274">
        <f>IF(BY79&gt;0,ROUND(BY79,0),0)</f>
        <v>0</v>
      </c>
      <c r="T808" s="276">
        <f>IF(BY80&gt;0,ROUND(BY80,2),0)</f>
        <v>0</v>
      </c>
      <c r="U808" s="274"/>
      <c r="V808" s="275"/>
      <c r="W808" s="274"/>
      <c r="X808" s="274"/>
      <c r="Y808" s="274"/>
      <c r="Z808" s="275"/>
      <c r="AA808" s="275"/>
      <c r="AB808" s="275"/>
      <c r="AC808" s="275"/>
      <c r="AD808" s="275"/>
      <c r="AE808" s="275"/>
      <c r="AF808" s="275"/>
      <c r="AG808" s="275"/>
      <c r="AH808" s="275"/>
      <c r="AI808" s="275"/>
      <c r="AJ808" s="275"/>
      <c r="AK808" s="275"/>
      <c r="AL808" s="275"/>
      <c r="AM808" s="275"/>
      <c r="AN808" s="275"/>
      <c r="AO808" s="275"/>
      <c r="AP808" s="275"/>
      <c r="AQ808" s="275"/>
      <c r="AR808" s="275"/>
      <c r="AS808" s="275"/>
      <c r="AT808" s="275"/>
      <c r="AU808" s="275"/>
      <c r="AV808" s="275"/>
      <c r="AW808" s="275"/>
      <c r="AX808" s="275"/>
      <c r="AY808" s="275"/>
      <c r="AZ808" s="275"/>
      <c r="BA808" s="275"/>
      <c r="BB808" s="275"/>
      <c r="BC808" s="275"/>
      <c r="BD808" s="275"/>
      <c r="BE808" s="275"/>
      <c r="BF808" s="275"/>
      <c r="BG808" s="275"/>
      <c r="BH808" s="275"/>
      <c r="BI808" s="275"/>
      <c r="BJ808" s="275"/>
      <c r="BK808" s="275"/>
      <c r="BL808" s="275"/>
      <c r="BM808" s="275"/>
      <c r="BN808" s="275"/>
      <c r="BO808" s="275"/>
      <c r="BP808" s="275"/>
      <c r="BQ808" s="275"/>
      <c r="BR808" s="275"/>
      <c r="BS808" s="275"/>
      <c r="BT808" s="275"/>
      <c r="BU808" s="275"/>
      <c r="BV808" s="275"/>
      <c r="BW808" s="275"/>
      <c r="BX808" s="275"/>
      <c r="BY808" s="275"/>
      <c r="BZ808" s="275"/>
      <c r="CA808" s="275"/>
      <c r="CB808" s="275"/>
      <c r="CC808" s="275"/>
      <c r="CD808" s="275"/>
      <c r="CE808" s="275"/>
    </row>
    <row r="809" spans="1:83" ht="12.6" customHeight="1" x14ac:dyDescent="0.25">
      <c r="A809" s="209" t="str">
        <f>RIGHT($C$83,3)&amp;"*"&amp;RIGHT($C$82,4)&amp;"*"&amp;BZ$55&amp;"*"&amp;"A"</f>
        <v>032*2017*8730*A</v>
      </c>
      <c r="B809" s="274"/>
      <c r="C809" s="276">
        <f>ROUND(BZ60,2)</f>
        <v>0</v>
      </c>
      <c r="D809" s="274">
        <f>ROUND(BZ61,0)</f>
        <v>0</v>
      </c>
      <c r="E809" s="274">
        <f>ROUND(BZ62,0)</f>
        <v>0</v>
      </c>
      <c r="F809" s="274">
        <f>ROUND(BZ63,0)</f>
        <v>0</v>
      </c>
      <c r="G809" s="274">
        <f>ROUND(BZ64,0)</f>
        <v>0</v>
      </c>
      <c r="H809" s="274">
        <f>ROUND(BZ65,0)</f>
        <v>0</v>
      </c>
      <c r="I809" s="274">
        <f>ROUND(BZ66,0)</f>
        <v>0</v>
      </c>
      <c r="J809" s="274">
        <f>ROUND(BZ67,0)</f>
        <v>0</v>
      </c>
      <c r="K809" s="274">
        <f>ROUND(BZ68,0)</f>
        <v>0</v>
      </c>
      <c r="L809" s="274">
        <f>ROUND(BZ69,0)</f>
        <v>0</v>
      </c>
      <c r="M809" s="274">
        <f>ROUND(BZ70,0)</f>
        <v>0</v>
      </c>
      <c r="N809" s="274"/>
      <c r="O809" s="274"/>
      <c r="P809" s="274">
        <f>IF(BZ76&gt;0,ROUND(BZ76,0),0)</f>
        <v>0</v>
      </c>
      <c r="Q809" s="274">
        <f>IF(BZ77&gt;0,ROUND(BZ77,0),0)</f>
        <v>0</v>
      </c>
      <c r="R809" s="274">
        <f>IF(BZ78&gt;0,ROUND(BZ78,0),0)</f>
        <v>0</v>
      </c>
      <c r="S809" s="274">
        <f>IF(BZ79&gt;0,ROUND(BZ79,0),0)</f>
        <v>0</v>
      </c>
      <c r="T809" s="276">
        <f>IF(BZ80&gt;0,ROUND(BZ80,2),0)</f>
        <v>0</v>
      </c>
      <c r="U809" s="274"/>
      <c r="V809" s="275"/>
      <c r="W809" s="274"/>
      <c r="X809" s="274"/>
      <c r="Y809" s="274"/>
      <c r="Z809" s="275"/>
      <c r="AA809" s="275"/>
      <c r="AB809" s="275"/>
      <c r="AC809" s="275"/>
      <c r="AD809" s="275"/>
      <c r="AE809" s="275"/>
      <c r="AF809" s="275"/>
      <c r="AG809" s="275"/>
      <c r="AH809" s="275"/>
      <c r="AI809" s="275"/>
      <c r="AJ809" s="275"/>
      <c r="AK809" s="275"/>
      <c r="AL809" s="275"/>
      <c r="AM809" s="275"/>
      <c r="AN809" s="275"/>
      <c r="AO809" s="275"/>
      <c r="AP809" s="275"/>
      <c r="AQ809" s="275"/>
      <c r="AR809" s="275"/>
      <c r="AS809" s="275"/>
      <c r="AT809" s="275"/>
      <c r="AU809" s="275"/>
      <c r="AV809" s="275"/>
      <c r="AW809" s="275"/>
      <c r="AX809" s="275"/>
      <c r="AY809" s="275"/>
      <c r="AZ809" s="275"/>
      <c r="BA809" s="275"/>
      <c r="BB809" s="275"/>
      <c r="BC809" s="275"/>
      <c r="BD809" s="275"/>
      <c r="BE809" s="275"/>
      <c r="BF809" s="275"/>
      <c r="BG809" s="275"/>
      <c r="BH809" s="275"/>
      <c r="BI809" s="275"/>
      <c r="BJ809" s="275"/>
      <c r="BK809" s="275"/>
      <c r="BL809" s="275"/>
      <c r="BM809" s="275"/>
      <c r="BN809" s="275"/>
      <c r="BO809" s="275"/>
      <c r="BP809" s="275"/>
      <c r="BQ809" s="275"/>
      <c r="BR809" s="275"/>
      <c r="BS809" s="275"/>
      <c r="BT809" s="275"/>
      <c r="BU809" s="275"/>
      <c r="BV809" s="275"/>
      <c r="BW809" s="275"/>
      <c r="BX809" s="275"/>
      <c r="BY809" s="275"/>
      <c r="BZ809" s="275"/>
      <c r="CA809" s="275"/>
      <c r="CB809" s="275"/>
      <c r="CC809" s="275"/>
      <c r="CD809" s="275"/>
      <c r="CE809" s="275"/>
    </row>
    <row r="810" spans="1:83" ht="12.6" customHeight="1" x14ac:dyDescent="0.25">
      <c r="A810" s="209" t="str">
        <f>RIGHT($C$83,3)&amp;"*"&amp;RIGHT($C$82,4)&amp;"*"&amp;CA$55&amp;"*"&amp;"A"</f>
        <v>032*2017*8740*A</v>
      </c>
      <c r="B810" s="274"/>
      <c r="C810" s="276">
        <f>ROUND(CA60,2)</f>
        <v>7.15</v>
      </c>
      <c r="D810" s="274">
        <f>ROUND(CA61,0)</f>
        <v>679971</v>
      </c>
      <c r="E810" s="274">
        <f>ROUND(CA62,0)</f>
        <v>178697</v>
      </c>
      <c r="F810" s="274">
        <f>ROUND(CA63,0)</f>
        <v>0</v>
      </c>
      <c r="G810" s="274">
        <f>ROUND(CA64,0)</f>
        <v>0</v>
      </c>
      <c r="H810" s="274">
        <f>ROUND(CA65,0)</f>
        <v>0</v>
      </c>
      <c r="I810" s="274">
        <f>ROUND(CA66,0)</f>
        <v>1232157</v>
      </c>
      <c r="J810" s="274">
        <f>ROUND(CA67,0)</f>
        <v>0</v>
      </c>
      <c r="K810" s="274">
        <f>ROUND(CA68,0)</f>
        <v>0</v>
      </c>
      <c r="L810" s="274">
        <f>ROUND(CA69,0)</f>
        <v>0</v>
      </c>
      <c r="M810" s="274">
        <f>ROUND(CA70,0)</f>
        <v>0</v>
      </c>
      <c r="N810" s="274"/>
      <c r="O810" s="274"/>
      <c r="P810" s="274">
        <f>IF(CA76&gt;0,ROUND(CA76,0),0)</f>
        <v>0</v>
      </c>
      <c r="Q810" s="274">
        <f>IF(CA77&gt;0,ROUND(CA77,0),0)</f>
        <v>0</v>
      </c>
      <c r="R810" s="274">
        <f>IF(CA78&gt;0,ROUND(CA78,0),0)</f>
        <v>0</v>
      </c>
      <c r="S810" s="274">
        <f>IF(CA79&gt;0,ROUND(CA79,0),0)</f>
        <v>0</v>
      </c>
      <c r="T810" s="276">
        <f>IF(CA80&gt;0,ROUND(CA80,2),0)</f>
        <v>0</v>
      </c>
      <c r="U810" s="274"/>
      <c r="V810" s="275"/>
      <c r="W810" s="274"/>
      <c r="X810" s="274"/>
      <c r="Y810" s="274"/>
      <c r="Z810" s="275"/>
      <c r="AA810" s="275"/>
      <c r="AB810" s="275"/>
      <c r="AC810" s="275"/>
      <c r="AD810" s="275"/>
      <c r="AE810" s="275"/>
      <c r="AF810" s="275"/>
      <c r="AG810" s="275"/>
      <c r="AH810" s="275"/>
      <c r="AI810" s="275"/>
      <c r="AJ810" s="275"/>
      <c r="AK810" s="275"/>
      <c r="AL810" s="275"/>
      <c r="AM810" s="275"/>
      <c r="AN810" s="275"/>
      <c r="AO810" s="275"/>
      <c r="AP810" s="275"/>
      <c r="AQ810" s="275"/>
      <c r="AR810" s="275"/>
      <c r="AS810" s="275"/>
      <c r="AT810" s="275"/>
      <c r="AU810" s="275"/>
      <c r="AV810" s="275"/>
      <c r="AW810" s="275"/>
      <c r="AX810" s="275"/>
      <c r="AY810" s="275"/>
      <c r="AZ810" s="275"/>
      <c r="BA810" s="275"/>
      <c r="BB810" s="275"/>
      <c r="BC810" s="275"/>
      <c r="BD810" s="275"/>
      <c r="BE810" s="275"/>
      <c r="BF810" s="275"/>
      <c r="BG810" s="275"/>
      <c r="BH810" s="275"/>
      <c r="BI810" s="275"/>
      <c r="BJ810" s="275"/>
      <c r="BK810" s="275"/>
      <c r="BL810" s="275"/>
      <c r="BM810" s="275"/>
      <c r="BN810" s="275"/>
      <c r="BO810" s="275"/>
      <c r="BP810" s="275"/>
      <c r="BQ810" s="275"/>
      <c r="BR810" s="275"/>
      <c r="BS810" s="275"/>
      <c r="BT810" s="275"/>
      <c r="BU810" s="275"/>
      <c r="BV810" s="275"/>
      <c r="BW810" s="275"/>
      <c r="BX810" s="275"/>
      <c r="BY810" s="275"/>
      <c r="BZ810" s="275"/>
      <c r="CA810" s="275"/>
      <c r="CB810" s="275"/>
      <c r="CC810" s="275"/>
      <c r="CD810" s="275"/>
      <c r="CE810" s="275"/>
    </row>
    <row r="811" spans="1:83" ht="12.6" customHeight="1" x14ac:dyDescent="0.25">
      <c r="A811" s="209" t="str">
        <f>RIGHT($C$83,3)&amp;"*"&amp;RIGHT($C$82,4)&amp;"*"&amp;CB$55&amp;"*"&amp;"A"</f>
        <v>032*2017*8770*A</v>
      </c>
      <c r="B811" s="274"/>
      <c r="C811" s="276">
        <f>ROUND(CB60,2)</f>
        <v>-0.85</v>
      </c>
      <c r="D811" s="274">
        <f>ROUND(CB61,0)</f>
        <v>102358</v>
      </c>
      <c r="E811" s="274">
        <f>ROUND(CB62,0)</f>
        <v>30253</v>
      </c>
      <c r="F811" s="274">
        <f>ROUND(CB63,0)</f>
        <v>0</v>
      </c>
      <c r="G811" s="274">
        <f>ROUND(CB64,0)</f>
        <v>5589</v>
      </c>
      <c r="H811" s="274">
        <f>ROUND(CB65,0)</f>
        <v>0</v>
      </c>
      <c r="I811" s="274">
        <f>ROUND(CB66,0)</f>
        <v>129978</v>
      </c>
      <c r="J811" s="274">
        <f>ROUND(CB67,0)</f>
        <v>0</v>
      </c>
      <c r="K811" s="274">
        <f>ROUND(CB68,0)</f>
        <v>515</v>
      </c>
      <c r="L811" s="274">
        <f>ROUND(CB69,0)</f>
        <v>3247</v>
      </c>
      <c r="M811" s="274">
        <f>ROUND(CB70,0)</f>
        <v>93930</v>
      </c>
      <c r="N811" s="274"/>
      <c r="O811" s="274"/>
      <c r="P811" s="274">
        <f>IF(CB76&gt;0,ROUND(CB76,0),0)</f>
        <v>0</v>
      </c>
      <c r="Q811" s="274">
        <f>IF(CB77&gt;0,ROUND(CB77,0),0)</f>
        <v>0</v>
      </c>
      <c r="R811" s="274">
        <f>IF(CB78&gt;0,ROUND(CB78,0),0)</f>
        <v>0</v>
      </c>
      <c r="S811" s="274">
        <f>IF(CB79&gt;0,ROUND(CB79,0),0)</f>
        <v>0</v>
      </c>
      <c r="T811" s="276">
        <f>IF(CB80&gt;0,ROUND(CB80,2),0)</f>
        <v>0</v>
      </c>
      <c r="U811" s="274"/>
      <c r="V811" s="275"/>
      <c r="W811" s="274"/>
      <c r="X811" s="274"/>
      <c r="Y811" s="274"/>
      <c r="Z811" s="275"/>
      <c r="AA811" s="275"/>
      <c r="AB811" s="275"/>
      <c r="AC811" s="275"/>
      <c r="AD811" s="275"/>
      <c r="AE811" s="275"/>
      <c r="AF811" s="275"/>
      <c r="AG811" s="275"/>
      <c r="AH811" s="275"/>
      <c r="AI811" s="275"/>
      <c r="AJ811" s="275"/>
      <c r="AK811" s="275"/>
      <c r="AL811" s="275"/>
      <c r="AM811" s="275"/>
      <c r="AN811" s="275"/>
      <c r="AO811" s="275"/>
      <c r="AP811" s="275"/>
      <c r="AQ811" s="275"/>
      <c r="AR811" s="275"/>
      <c r="AS811" s="275"/>
      <c r="AT811" s="275"/>
      <c r="AU811" s="275"/>
      <c r="AV811" s="275"/>
      <c r="AW811" s="275"/>
      <c r="AX811" s="275"/>
      <c r="AY811" s="275"/>
      <c r="AZ811" s="275"/>
      <c r="BA811" s="275"/>
      <c r="BB811" s="275"/>
      <c r="BC811" s="275"/>
      <c r="BD811" s="275"/>
      <c r="BE811" s="275"/>
      <c r="BF811" s="275"/>
      <c r="BG811" s="275"/>
      <c r="BH811" s="275"/>
      <c r="BI811" s="275"/>
      <c r="BJ811" s="275"/>
      <c r="BK811" s="275"/>
      <c r="BL811" s="275"/>
      <c r="BM811" s="275"/>
      <c r="BN811" s="275"/>
      <c r="BO811" s="275"/>
      <c r="BP811" s="275"/>
      <c r="BQ811" s="275"/>
      <c r="BR811" s="275"/>
      <c r="BS811" s="275"/>
      <c r="BT811" s="275"/>
      <c r="BU811" s="275"/>
      <c r="BV811" s="275"/>
      <c r="BW811" s="275"/>
      <c r="BX811" s="275"/>
      <c r="BY811" s="275"/>
      <c r="BZ811" s="275"/>
      <c r="CA811" s="275"/>
      <c r="CB811" s="275"/>
      <c r="CC811" s="275"/>
      <c r="CD811" s="275"/>
      <c r="CE811" s="275"/>
    </row>
    <row r="812" spans="1:83" ht="12.6" customHeight="1" x14ac:dyDescent="0.25">
      <c r="A812" s="209" t="str">
        <f>RIGHT($C$83,3)&amp;"*"&amp;RIGHT($C$82,4)&amp;"*"&amp;CC$55&amp;"*"&amp;"A"</f>
        <v>032*2017*8790*A</v>
      </c>
      <c r="B812" s="274"/>
      <c r="C812" s="276">
        <f>ROUND(CC60,2)</f>
        <v>0</v>
      </c>
      <c r="D812" s="274">
        <f>ROUND(CC61,0)</f>
        <v>-62369</v>
      </c>
      <c r="E812" s="274">
        <f>ROUND(CC62,0)</f>
        <v>480133</v>
      </c>
      <c r="F812" s="274">
        <f>ROUND(CC63,0)</f>
        <v>0</v>
      </c>
      <c r="G812" s="274">
        <f>ROUND(CC64,0)</f>
        <v>0</v>
      </c>
      <c r="H812" s="274">
        <f>ROUND(CC65,0)</f>
        <v>0</v>
      </c>
      <c r="I812" s="274">
        <f>ROUND(CC66,0)</f>
        <v>51178908</v>
      </c>
      <c r="J812" s="274">
        <f>ROUND(CC67,0)</f>
        <v>0</v>
      </c>
      <c r="K812" s="274">
        <f>ROUND(CC68,0)</f>
        <v>0</v>
      </c>
      <c r="L812" s="274">
        <f>ROUND(CC69,0)</f>
        <v>12031103</v>
      </c>
      <c r="M812" s="274">
        <f>ROUND(CC70,0)</f>
        <v>0</v>
      </c>
      <c r="N812" s="274"/>
      <c r="O812" s="274"/>
      <c r="P812" s="274">
        <f>IF(CC76&gt;0,ROUND(CC76,0),0)</f>
        <v>0</v>
      </c>
      <c r="Q812" s="274">
        <f>IF(CC77&gt;0,ROUND(CC77,0),0)</f>
        <v>0</v>
      </c>
      <c r="R812" s="274">
        <f>IF(CC78&gt;0,ROUND(CC78,0),0)</f>
        <v>0</v>
      </c>
      <c r="S812" s="274">
        <f>IF(CC79&gt;0,ROUND(CC79,0),0)</f>
        <v>0</v>
      </c>
      <c r="T812" s="276">
        <f>IF(CC80&gt;0,ROUND(CC80,2),0)</f>
        <v>0</v>
      </c>
      <c r="U812" s="274"/>
      <c r="V812" s="275"/>
      <c r="W812" s="274"/>
      <c r="X812" s="274"/>
      <c r="Y812" s="274"/>
      <c r="Z812" s="275"/>
      <c r="AA812" s="275"/>
      <c r="AB812" s="275"/>
      <c r="AC812" s="275"/>
      <c r="AD812" s="275"/>
      <c r="AE812" s="275"/>
      <c r="AF812" s="275"/>
      <c r="AG812" s="275"/>
      <c r="AH812" s="275"/>
      <c r="AI812" s="275"/>
      <c r="AJ812" s="275"/>
      <c r="AK812" s="275"/>
      <c r="AL812" s="275"/>
      <c r="AM812" s="275"/>
      <c r="AN812" s="275"/>
      <c r="AO812" s="275"/>
      <c r="AP812" s="275"/>
      <c r="AQ812" s="275"/>
      <c r="AR812" s="275"/>
      <c r="AS812" s="275"/>
      <c r="AT812" s="275"/>
      <c r="AU812" s="275"/>
      <c r="AV812" s="275"/>
      <c r="AW812" s="275"/>
      <c r="AX812" s="275"/>
      <c r="AY812" s="275"/>
      <c r="AZ812" s="275"/>
      <c r="BA812" s="275"/>
      <c r="BB812" s="275"/>
      <c r="BC812" s="275"/>
      <c r="BD812" s="275"/>
      <c r="BE812" s="275"/>
      <c r="BF812" s="275"/>
      <c r="BG812" s="275"/>
      <c r="BH812" s="275"/>
      <c r="BI812" s="275"/>
      <c r="BJ812" s="275"/>
      <c r="BK812" s="275"/>
      <c r="BL812" s="275"/>
      <c r="BM812" s="275"/>
      <c r="BN812" s="275"/>
      <c r="BO812" s="275"/>
      <c r="BP812" s="275"/>
      <c r="BQ812" s="275"/>
      <c r="BR812" s="275"/>
      <c r="BS812" s="275"/>
      <c r="BT812" s="275"/>
      <c r="BU812" s="275"/>
      <c r="BV812" s="275"/>
      <c r="BW812" s="275"/>
      <c r="BX812" s="275"/>
      <c r="BY812" s="275"/>
      <c r="BZ812" s="275"/>
      <c r="CA812" s="275"/>
      <c r="CB812" s="275"/>
      <c r="CC812" s="275"/>
      <c r="CD812" s="275"/>
      <c r="CE812" s="275"/>
    </row>
    <row r="813" spans="1:83" ht="12.6" customHeight="1" x14ac:dyDescent="0.25">
      <c r="A813" s="209" t="str">
        <f>RIGHT($C$83,3)&amp;"*"&amp;RIGHT($C$82,4)&amp;"*"&amp;"9000"&amp;"*"&amp;"A"</f>
        <v>032*2017*9000*A</v>
      </c>
      <c r="B813" s="274"/>
      <c r="C813" s="277"/>
      <c r="D813" s="274"/>
      <c r="E813" s="274"/>
      <c r="F813" s="274"/>
      <c r="G813" s="274"/>
      <c r="H813" s="274"/>
      <c r="I813" s="274"/>
      <c r="J813" s="274"/>
      <c r="K813" s="274"/>
      <c r="L813" s="274"/>
      <c r="M813" s="274"/>
      <c r="N813" s="274"/>
      <c r="O813" s="274"/>
      <c r="P813" s="274"/>
      <c r="Q813" s="274"/>
      <c r="R813" s="274"/>
      <c r="S813" s="274"/>
      <c r="T813" s="277"/>
      <c r="U813" s="274">
        <f>ROUND(CD69,0)</f>
        <v>32268709</v>
      </c>
      <c r="V813" s="275">
        <f>ROUND(CD70,0)</f>
        <v>0</v>
      </c>
      <c r="W813" s="274">
        <f>ROUND(CE72,0)</f>
        <v>0</v>
      </c>
      <c r="X813" s="274">
        <f>ROUND(C131,0)</f>
        <v>0</v>
      </c>
      <c r="Y813" s="274"/>
      <c r="Z813" s="275"/>
      <c r="AA813" s="275"/>
      <c r="AB813" s="275"/>
      <c r="AC813" s="275"/>
      <c r="AD813" s="275"/>
      <c r="AE813" s="275"/>
      <c r="AF813" s="275"/>
      <c r="AG813" s="275"/>
      <c r="AH813" s="275"/>
      <c r="AI813" s="275"/>
      <c r="AJ813" s="275"/>
      <c r="AK813" s="275"/>
      <c r="AL813" s="275"/>
      <c r="AM813" s="275"/>
      <c r="AN813" s="275"/>
      <c r="AO813" s="275"/>
      <c r="AP813" s="275"/>
      <c r="AQ813" s="275"/>
      <c r="AR813" s="275"/>
      <c r="AS813" s="275"/>
      <c r="AT813" s="275"/>
      <c r="AU813" s="275"/>
      <c r="AV813" s="275"/>
      <c r="AW813" s="275"/>
      <c r="AX813" s="275"/>
      <c r="AY813" s="275"/>
      <c r="AZ813" s="275"/>
      <c r="BA813" s="275"/>
      <c r="BB813" s="275"/>
      <c r="BC813" s="275"/>
      <c r="BD813" s="275"/>
      <c r="BE813" s="275"/>
      <c r="BF813" s="275"/>
      <c r="BG813" s="275"/>
      <c r="BH813" s="275"/>
      <c r="BI813" s="275"/>
      <c r="BJ813" s="275"/>
      <c r="BK813" s="275"/>
      <c r="BL813" s="275"/>
      <c r="BM813" s="275"/>
      <c r="BN813" s="275"/>
      <c r="BO813" s="275"/>
      <c r="BP813" s="275"/>
      <c r="BQ813" s="275"/>
      <c r="BR813" s="275"/>
      <c r="BS813" s="275"/>
      <c r="BT813" s="275"/>
      <c r="BU813" s="275"/>
      <c r="BV813" s="275"/>
      <c r="BW813" s="275"/>
      <c r="BX813" s="275"/>
      <c r="BY813" s="275"/>
      <c r="BZ813" s="275"/>
      <c r="CA813" s="275"/>
      <c r="CB813" s="275"/>
      <c r="CC813" s="275"/>
      <c r="CD813" s="275"/>
      <c r="CE813" s="275"/>
    </row>
    <row r="814" spans="1:83" ht="12.6" customHeight="1" x14ac:dyDescent="0.25">
      <c r="B814" s="275"/>
      <c r="C814" s="275"/>
      <c r="D814" s="275"/>
      <c r="E814" s="275"/>
      <c r="F814" s="275"/>
      <c r="G814" s="275"/>
      <c r="H814" s="275"/>
      <c r="I814" s="275"/>
      <c r="J814" s="275"/>
      <c r="K814" s="275"/>
      <c r="L814" s="275"/>
      <c r="M814" s="275"/>
      <c r="N814" s="275"/>
      <c r="O814" s="275"/>
      <c r="P814" s="275"/>
      <c r="Q814" s="275"/>
      <c r="R814" s="275"/>
      <c r="S814" s="275"/>
      <c r="T814" s="275"/>
      <c r="U814" s="275"/>
      <c r="V814" s="275"/>
      <c r="W814" s="275"/>
      <c r="X814" s="275"/>
      <c r="Y814" s="275"/>
      <c r="Z814" s="275"/>
      <c r="AA814" s="275"/>
      <c r="AB814" s="275"/>
      <c r="AC814" s="275"/>
      <c r="AD814" s="275"/>
      <c r="AE814" s="275"/>
      <c r="AF814" s="275"/>
      <c r="AG814" s="275"/>
      <c r="AH814" s="275"/>
      <c r="AI814" s="275"/>
      <c r="AJ814" s="275"/>
      <c r="AK814" s="275"/>
      <c r="AL814" s="275"/>
      <c r="AM814" s="275"/>
      <c r="AN814" s="275"/>
      <c r="AO814" s="275"/>
      <c r="AP814" s="275"/>
      <c r="AQ814" s="275"/>
      <c r="AR814" s="275"/>
      <c r="AS814" s="275"/>
      <c r="AT814" s="275"/>
      <c r="AU814" s="275"/>
      <c r="AV814" s="275"/>
      <c r="AW814" s="275"/>
      <c r="AX814" s="275"/>
      <c r="AY814" s="275"/>
      <c r="AZ814" s="275"/>
      <c r="BA814" s="275"/>
      <c r="BB814" s="275"/>
      <c r="BC814" s="275"/>
      <c r="BD814" s="275"/>
      <c r="BE814" s="275"/>
      <c r="BF814" s="275"/>
      <c r="BG814" s="275"/>
      <c r="BH814" s="275"/>
      <c r="BI814" s="275"/>
      <c r="BJ814" s="275"/>
      <c r="BK814" s="275"/>
      <c r="BL814" s="275"/>
      <c r="BM814" s="275"/>
      <c r="BN814" s="275"/>
      <c r="BO814" s="275"/>
      <c r="BP814" s="275"/>
      <c r="BQ814" s="275"/>
      <c r="BR814" s="275"/>
      <c r="BS814" s="275"/>
      <c r="BT814" s="275"/>
      <c r="BU814" s="275"/>
      <c r="BV814" s="275"/>
      <c r="BW814" s="275"/>
      <c r="BX814" s="275"/>
      <c r="BY814" s="275"/>
      <c r="BZ814" s="275"/>
      <c r="CA814" s="275"/>
      <c r="CB814" s="275"/>
      <c r="CC814" s="275"/>
      <c r="CD814" s="275"/>
      <c r="CE814" s="275"/>
    </row>
    <row r="815" spans="1:83" ht="12.6" customHeight="1" x14ac:dyDescent="0.25">
      <c r="B815" s="278" t="s">
        <v>1004</v>
      </c>
      <c r="C815" s="279">
        <f t="shared" ref="C815:K815" si="22">SUM(C734:C813)</f>
        <v>2724.7600000000007</v>
      </c>
      <c r="D815" s="275">
        <f t="shared" si="22"/>
        <v>210612360</v>
      </c>
      <c r="E815" s="275">
        <f t="shared" si="22"/>
        <v>60808069</v>
      </c>
      <c r="F815" s="275">
        <f t="shared" si="22"/>
        <v>25183325</v>
      </c>
      <c r="G815" s="275">
        <f t="shared" si="22"/>
        <v>106596985</v>
      </c>
      <c r="H815" s="275">
        <f t="shared" si="22"/>
        <v>4794051</v>
      </c>
      <c r="I815" s="275">
        <f t="shared" si="22"/>
        <v>160200462</v>
      </c>
      <c r="J815" s="275">
        <f t="shared" si="22"/>
        <v>21272730</v>
      </c>
      <c r="K815" s="275">
        <f t="shared" si="22"/>
        <v>9961103</v>
      </c>
      <c r="L815" s="275">
        <f>SUM(L734:L813)+SUM(U734:U813)</f>
        <v>52897399</v>
      </c>
      <c r="M815" s="275">
        <f>SUM(M734:M813)+SUM(V734:V813)</f>
        <v>150923014</v>
      </c>
      <c r="N815" s="275">
        <f t="shared" ref="N815:Y815" si="23">SUM(N734:N813)</f>
        <v>2806799620</v>
      </c>
      <c r="O815" s="275">
        <f t="shared" si="23"/>
        <v>1639524828</v>
      </c>
      <c r="P815" s="275">
        <f t="shared" si="23"/>
        <v>888995</v>
      </c>
      <c r="Q815" s="275">
        <f t="shared" si="23"/>
        <v>611178</v>
      </c>
      <c r="R815" s="275">
        <f t="shared" si="23"/>
        <v>199280</v>
      </c>
      <c r="S815" s="275">
        <f t="shared" si="23"/>
        <v>2693595</v>
      </c>
      <c r="T815" s="279">
        <f t="shared" si="23"/>
        <v>914.49</v>
      </c>
      <c r="U815" s="275">
        <f t="shared" si="23"/>
        <v>32268709</v>
      </c>
      <c r="V815" s="275">
        <f t="shared" si="23"/>
        <v>0</v>
      </c>
      <c r="W815" s="275">
        <f t="shared" si="23"/>
        <v>0</v>
      </c>
      <c r="X815" s="275">
        <f t="shared" si="23"/>
        <v>0</v>
      </c>
      <c r="Y815" s="275">
        <f t="shared" si="23"/>
        <v>207713364</v>
      </c>
      <c r="Z815" s="275"/>
      <c r="AA815" s="275"/>
      <c r="AB815" s="275"/>
      <c r="AC815" s="275"/>
      <c r="AD815" s="275"/>
      <c r="AE815" s="275"/>
      <c r="AF815" s="275"/>
      <c r="AG815" s="275"/>
      <c r="AH815" s="275"/>
      <c r="AI815" s="275"/>
      <c r="AJ815" s="275"/>
      <c r="AK815" s="275"/>
      <c r="AL815" s="275"/>
      <c r="AM815" s="275"/>
      <c r="AN815" s="275"/>
      <c r="AO815" s="275"/>
      <c r="AP815" s="275"/>
      <c r="AQ815" s="275"/>
      <c r="AR815" s="275"/>
      <c r="AS815" s="275"/>
      <c r="AT815" s="275"/>
      <c r="AU815" s="275"/>
      <c r="AV815" s="275"/>
      <c r="AW815" s="275"/>
      <c r="AX815" s="275"/>
      <c r="AY815" s="275"/>
      <c r="AZ815" s="275"/>
      <c r="BA815" s="275"/>
      <c r="BB815" s="275"/>
      <c r="BC815" s="275"/>
      <c r="BD815" s="275"/>
      <c r="BE815" s="275"/>
      <c r="BF815" s="275"/>
      <c r="BG815" s="275"/>
      <c r="BH815" s="275"/>
      <c r="BI815" s="275"/>
      <c r="BJ815" s="275"/>
      <c r="BK815" s="275"/>
      <c r="BL815" s="275"/>
      <c r="BM815" s="275"/>
      <c r="BN815" s="275"/>
      <c r="BO815" s="275"/>
      <c r="BP815" s="275"/>
      <c r="BQ815" s="275"/>
      <c r="BR815" s="275"/>
      <c r="BS815" s="275"/>
      <c r="BT815" s="275"/>
      <c r="BU815" s="275"/>
      <c r="BV815" s="275"/>
      <c r="BW815" s="275"/>
      <c r="BX815" s="275"/>
      <c r="BY815" s="275"/>
      <c r="BZ815" s="275"/>
      <c r="CA815" s="275"/>
      <c r="CB815" s="275"/>
      <c r="CC815" s="275"/>
      <c r="CD815" s="275"/>
      <c r="CE815" s="275"/>
    </row>
    <row r="816" spans="1:83" ht="12.6" customHeight="1" x14ac:dyDescent="0.25">
      <c r="B816" s="275" t="s">
        <v>1005</v>
      </c>
      <c r="C816" s="279">
        <f>CE60</f>
        <v>2724.7600000000007</v>
      </c>
      <c r="D816" s="275">
        <f>CE61</f>
        <v>210612360.27999997</v>
      </c>
      <c r="E816" s="275">
        <f>CE62</f>
        <v>60808069</v>
      </c>
      <c r="F816" s="275">
        <f>CE63</f>
        <v>25183326.340000004</v>
      </c>
      <c r="G816" s="275">
        <f>CE64</f>
        <v>106596986.01000001</v>
      </c>
      <c r="H816" s="278">
        <f>CE65</f>
        <v>4794052.5799999991</v>
      </c>
      <c r="I816" s="278">
        <f>CE66</f>
        <v>160200461.88864288</v>
      </c>
      <c r="J816" s="278">
        <f>CE67</f>
        <v>21272730</v>
      </c>
      <c r="K816" s="278">
        <f>CE68</f>
        <v>9961102.6499999985</v>
      </c>
      <c r="L816" s="278">
        <f>CE69</f>
        <v>52897399.149999999</v>
      </c>
      <c r="M816" s="278">
        <f>CE70</f>
        <v>150923015.52000004</v>
      </c>
      <c r="N816" s="275">
        <f>CE75</f>
        <v>2806799621.2100005</v>
      </c>
      <c r="O816" s="275">
        <f>CE73</f>
        <v>1639524828.1499996</v>
      </c>
      <c r="P816" s="275">
        <f>CE76</f>
        <v>888995</v>
      </c>
      <c r="Q816" s="275">
        <f>CE77</f>
        <v>611178</v>
      </c>
      <c r="R816" s="275">
        <f>CE78</f>
        <v>199280</v>
      </c>
      <c r="S816" s="275">
        <f>CE79</f>
        <v>2693595</v>
      </c>
      <c r="T816" s="279">
        <f>CE80</f>
        <v>914.49</v>
      </c>
      <c r="U816" s="275" t="s">
        <v>1006</v>
      </c>
      <c r="V816" s="275" t="s">
        <v>1006</v>
      </c>
      <c r="W816" s="275" t="s">
        <v>1006</v>
      </c>
      <c r="X816" s="275" t="s">
        <v>1006</v>
      </c>
      <c r="Y816" s="275">
        <f>M716</f>
        <v>207713365.20008522</v>
      </c>
      <c r="Z816" s="275"/>
      <c r="AA816" s="275"/>
      <c r="AB816" s="275"/>
      <c r="AC816" s="275"/>
      <c r="AD816" s="275"/>
      <c r="AE816" s="275"/>
      <c r="AF816" s="275"/>
      <c r="AG816" s="275"/>
      <c r="AH816" s="275"/>
      <c r="AI816" s="275"/>
      <c r="AJ816" s="275"/>
      <c r="AK816" s="275"/>
      <c r="AL816" s="275"/>
      <c r="AM816" s="275"/>
      <c r="AN816" s="275"/>
      <c r="AO816" s="275"/>
      <c r="AP816" s="275"/>
      <c r="AQ816" s="275"/>
      <c r="AR816" s="275"/>
      <c r="AS816" s="275"/>
      <c r="AT816" s="275"/>
      <c r="AU816" s="275"/>
      <c r="AV816" s="275"/>
      <c r="AW816" s="275"/>
      <c r="AX816" s="275"/>
      <c r="AY816" s="275"/>
      <c r="AZ816" s="275"/>
      <c r="BA816" s="275"/>
      <c r="BB816" s="275"/>
      <c r="BC816" s="275"/>
      <c r="BD816" s="275"/>
      <c r="BE816" s="275"/>
      <c r="BF816" s="275"/>
      <c r="BG816" s="275"/>
      <c r="BH816" s="275"/>
      <c r="BI816" s="275"/>
      <c r="BJ816" s="275"/>
      <c r="BK816" s="275"/>
      <c r="BL816" s="275"/>
      <c r="BM816" s="275"/>
      <c r="BN816" s="275"/>
      <c r="BO816" s="275"/>
      <c r="BP816" s="275"/>
      <c r="BQ816" s="275"/>
      <c r="BR816" s="275"/>
      <c r="BS816" s="275"/>
      <c r="BT816" s="275"/>
      <c r="BU816" s="275"/>
      <c r="BV816" s="275"/>
      <c r="BW816" s="275"/>
      <c r="BX816" s="275"/>
      <c r="BY816" s="275"/>
      <c r="BZ816" s="275"/>
      <c r="CA816" s="275"/>
      <c r="CB816" s="275"/>
      <c r="CC816" s="275"/>
      <c r="CD816" s="275"/>
      <c r="CE816" s="275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210612360.63000003</v>
      </c>
      <c r="E817" s="180">
        <f>C379</f>
        <v>60808069.460000001</v>
      </c>
      <c r="F817" s="180">
        <f>C380</f>
        <v>25183326.25</v>
      </c>
      <c r="G817" s="239">
        <f>C381</f>
        <v>106596985.93000001</v>
      </c>
      <c r="H817" s="239">
        <f>C382</f>
        <v>4794052.58</v>
      </c>
      <c r="I817" s="239">
        <f>C383</f>
        <v>160200461.78999999</v>
      </c>
      <c r="J817" s="239">
        <f>C384</f>
        <v>21272731.41</v>
      </c>
      <c r="K817" s="239">
        <f>C385</f>
        <v>9961102.7200000007</v>
      </c>
      <c r="L817" s="239">
        <f>C386+C387+C388+C389</f>
        <v>52897399.040000007</v>
      </c>
      <c r="M817" s="239">
        <f>C370</f>
        <v>150923015.95999998</v>
      </c>
      <c r="N817" s="180">
        <f>D361</f>
        <v>2806799620.48</v>
      </c>
      <c r="O817" s="180">
        <f>C359</f>
        <v>1639524827.8699999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R66"/>
  <sheetViews>
    <sheetView zoomScale="70" zoomScaleNormal="70" workbookViewId="0">
      <pane ySplit="3" topLeftCell="A10" activePane="bottomLeft" state="frozen"/>
      <selection pane="bottomLeft" activeCell="G56" sqref="G56"/>
    </sheetView>
  </sheetViews>
  <sheetFormatPr defaultColWidth="8.9140625" defaultRowHeight="13.2" x14ac:dyDescent="0.25"/>
  <cols>
    <col min="1" max="1" width="17.08203125" style="300" customWidth="1"/>
    <col min="2" max="2" width="17.08203125" style="294" customWidth="1"/>
    <col min="3" max="3" width="28.58203125" style="294" bestFit="1" customWidth="1"/>
    <col min="4" max="4" width="20.33203125" style="294" customWidth="1"/>
    <col min="5" max="5" width="29.25" style="294" customWidth="1"/>
    <col min="6" max="6" width="27.6640625" style="294" customWidth="1"/>
    <col min="7" max="7" width="24.08203125" style="294" customWidth="1"/>
    <col min="8" max="8" width="19.25" style="294" bestFit="1" customWidth="1"/>
    <col min="9" max="9" width="18.58203125" style="294" customWidth="1"/>
    <col min="10" max="10" width="12.25" style="294" customWidth="1"/>
    <col min="11" max="11" width="23.33203125" style="294" customWidth="1"/>
    <col min="12" max="12" width="17.33203125" style="294" bestFit="1" customWidth="1"/>
    <col min="13" max="13" width="18.9140625" style="294" customWidth="1"/>
    <col min="14" max="14" width="18.08203125" style="294" bestFit="1" customWidth="1"/>
    <col min="15" max="15" width="26.9140625" style="294" customWidth="1"/>
    <col min="16" max="16" width="25.4140625" style="294" bestFit="1" customWidth="1"/>
    <col min="17" max="17" width="16.9140625" style="294" bestFit="1" customWidth="1"/>
    <col min="18" max="18" width="23.58203125" style="294" bestFit="1" customWidth="1"/>
    <col min="19" max="19" width="23.58203125" style="294" customWidth="1"/>
    <col min="20" max="56" width="12.6640625" style="294" customWidth="1"/>
    <col min="57" max="57" width="12.6640625" style="294" bestFit="1" customWidth="1"/>
    <col min="58" max="58" width="8.75" style="294" bestFit="1" customWidth="1"/>
    <col min="59" max="16384" width="8.9140625" style="294"/>
  </cols>
  <sheetData>
    <row r="1" spans="1:18" x14ac:dyDescent="0.25">
      <c r="A1" s="294">
        <v>1</v>
      </c>
      <c r="B1" s="294">
        <v>2</v>
      </c>
      <c r="C1" s="294">
        <v>3</v>
      </c>
      <c r="D1" s="294">
        <v>4</v>
      </c>
      <c r="E1" s="294">
        <v>5</v>
      </c>
      <c r="F1" s="294">
        <v>6</v>
      </c>
      <c r="G1" s="294">
        <v>7</v>
      </c>
      <c r="H1" s="294">
        <v>8</v>
      </c>
      <c r="I1" s="294">
        <v>9</v>
      </c>
      <c r="J1" s="294">
        <v>10</v>
      </c>
      <c r="K1" s="294">
        <v>11</v>
      </c>
      <c r="L1" s="294">
        <v>12</v>
      </c>
      <c r="M1" s="294">
        <v>13</v>
      </c>
      <c r="N1" s="294">
        <v>14</v>
      </c>
      <c r="O1" s="294">
        <v>15</v>
      </c>
      <c r="P1" s="294">
        <v>16</v>
      </c>
      <c r="Q1" s="294">
        <v>17</v>
      </c>
      <c r="R1" s="294">
        <v>18</v>
      </c>
    </row>
    <row r="2" spans="1:18" x14ac:dyDescent="0.25">
      <c r="A2" s="301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</row>
    <row r="3" spans="1:18" ht="15" x14ac:dyDescent="0.25">
      <c r="A3" s="302" t="s">
        <v>1297</v>
      </c>
      <c r="B3" s="7" t="s">
        <v>1298</v>
      </c>
      <c r="C3" s="7" t="s">
        <v>1281</v>
      </c>
      <c r="D3" s="7" t="s">
        <v>1282</v>
      </c>
      <c r="E3" s="7" t="s">
        <v>1283</v>
      </c>
      <c r="F3" s="7" t="s">
        <v>1284</v>
      </c>
      <c r="G3" s="7" t="s">
        <v>1285</v>
      </c>
      <c r="H3" s="7" t="s">
        <v>1286</v>
      </c>
      <c r="I3" s="7" t="s">
        <v>1287</v>
      </c>
      <c r="J3" s="7" t="s">
        <v>1288</v>
      </c>
      <c r="K3" s="7" t="s">
        <v>1289</v>
      </c>
      <c r="L3" s="7" t="s">
        <v>1290</v>
      </c>
      <c r="M3" s="7" t="s">
        <v>1291</v>
      </c>
      <c r="N3" s="7" t="s">
        <v>1292</v>
      </c>
      <c r="O3" s="7" t="s">
        <v>1293</v>
      </c>
      <c r="P3" s="7" t="s">
        <v>1294</v>
      </c>
      <c r="Q3" s="7" t="s">
        <v>1295</v>
      </c>
      <c r="R3" s="7" t="s">
        <v>1296</v>
      </c>
    </row>
    <row r="4" spans="1:18" ht="15" x14ac:dyDescent="0.25">
      <c r="A4" s="302">
        <v>6010</v>
      </c>
      <c r="B4" s="7" t="s">
        <v>1299</v>
      </c>
      <c r="C4" s="7">
        <v>93678197.780000001</v>
      </c>
      <c r="D4" s="7">
        <v>721084.04</v>
      </c>
      <c r="E4" s="7">
        <v>0</v>
      </c>
      <c r="F4" s="7">
        <v>94399281.820000008</v>
      </c>
      <c r="G4" s="7">
        <v>19000</v>
      </c>
      <c r="H4" s="7">
        <v>15935944.920000004</v>
      </c>
      <c r="I4" s="7">
        <v>3928891.4499999997</v>
      </c>
      <c r="J4" s="7">
        <v>191140.21</v>
      </c>
      <c r="K4" s="7">
        <v>3326964.9</v>
      </c>
      <c r="L4" s="7">
        <v>3326.1800000000003</v>
      </c>
      <c r="M4" s="7">
        <v>3956.95</v>
      </c>
      <c r="N4" s="7">
        <v>2416303.7999999998</v>
      </c>
      <c r="O4" s="7">
        <v>416549.85000000003</v>
      </c>
      <c r="P4" s="7">
        <v>0</v>
      </c>
      <c r="Q4" s="7">
        <v>66380.97</v>
      </c>
      <c r="R4" s="7">
        <v>26289459.230000008</v>
      </c>
    </row>
    <row r="5" spans="1:18" ht="15" x14ac:dyDescent="0.25">
      <c r="A5" s="302">
        <v>6070</v>
      </c>
      <c r="B5" s="7" t="s">
        <v>665</v>
      </c>
      <c r="C5" s="7">
        <v>190219267.22999996</v>
      </c>
      <c r="D5" s="7">
        <v>14488961.830000002</v>
      </c>
      <c r="E5" s="7">
        <v>0</v>
      </c>
      <c r="F5" s="7">
        <v>204708229.05999997</v>
      </c>
      <c r="G5" s="7">
        <v>68250</v>
      </c>
      <c r="H5" s="7">
        <v>30475084.5</v>
      </c>
      <c r="I5" s="7">
        <v>8122528.04</v>
      </c>
      <c r="J5" s="7">
        <v>1503568.8900000001</v>
      </c>
      <c r="K5" s="7">
        <v>50654.879999999997</v>
      </c>
      <c r="L5" s="7">
        <v>5776.5399999999991</v>
      </c>
      <c r="M5" s="7">
        <v>52607.570000000007</v>
      </c>
      <c r="N5" s="7">
        <v>2683865.8200000003</v>
      </c>
      <c r="O5" s="7">
        <v>1159205.31</v>
      </c>
      <c r="P5" s="7">
        <v>0</v>
      </c>
      <c r="Q5" s="7">
        <v>73342.44</v>
      </c>
      <c r="R5" s="7">
        <v>44126633.990000002</v>
      </c>
    </row>
    <row r="6" spans="1:18" ht="15" x14ac:dyDescent="0.25">
      <c r="A6" s="302">
        <v>6120</v>
      </c>
      <c r="B6" s="7" t="s">
        <v>1300</v>
      </c>
      <c r="C6" s="7">
        <v>17054863.109999999</v>
      </c>
      <c r="D6" s="7">
        <v>6660.1</v>
      </c>
      <c r="E6" s="7">
        <v>0</v>
      </c>
      <c r="F6" s="7">
        <v>17061523.210000001</v>
      </c>
      <c r="G6" s="7">
        <v>0</v>
      </c>
      <c r="H6" s="7">
        <v>2995544.3499999996</v>
      </c>
      <c r="I6" s="7">
        <v>841966.14</v>
      </c>
      <c r="J6" s="7">
        <v>192463.66</v>
      </c>
      <c r="K6" s="7">
        <v>389826.93</v>
      </c>
      <c r="L6" s="7">
        <v>724.05</v>
      </c>
      <c r="M6" s="7">
        <v>17255.670000000002</v>
      </c>
      <c r="N6" s="7">
        <v>147429.62</v>
      </c>
      <c r="O6" s="7">
        <v>66498.179999999993</v>
      </c>
      <c r="P6" s="7">
        <v>0</v>
      </c>
      <c r="Q6" s="7">
        <v>25249.909999999996</v>
      </c>
      <c r="R6" s="7">
        <v>4676958.51</v>
      </c>
    </row>
    <row r="7" spans="1:18" ht="15" x14ac:dyDescent="0.25">
      <c r="A7" s="302">
        <v>6140</v>
      </c>
      <c r="B7" s="7" t="s">
        <v>671</v>
      </c>
      <c r="C7" s="7">
        <v>22293696.130000003</v>
      </c>
      <c r="D7" s="7">
        <v>1110254.6800000002</v>
      </c>
      <c r="E7" s="7">
        <v>1065943.6000000001</v>
      </c>
      <c r="F7" s="7">
        <v>23403950.810000002</v>
      </c>
      <c r="G7" s="7">
        <v>12416.81</v>
      </c>
      <c r="H7" s="7">
        <v>3823633.9699999997</v>
      </c>
      <c r="I7" s="7">
        <v>1011615.66</v>
      </c>
      <c r="J7" s="7">
        <v>144619.85999999999</v>
      </c>
      <c r="K7" s="7">
        <v>365221.63</v>
      </c>
      <c r="L7" s="7">
        <v>1164.43</v>
      </c>
      <c r="M7" s="7">
        <v>1992.1799999999998</v>
      </c>
      <c r="N7" s="7">
        <v>60666.749999999993</v>
      </c>
      <c r="O7" s="7">
        <v>155966.28</v>
      </c>
      <c r="P7" s="7">
        <v>0</v>
      </c>
      <c r="Q7" s="7">
        <v>22596.260000000002</v>
      </c>
      <c r="R7" s="7">
        <v>5587477.0199999996</v>
      </c>
    </row>
    <row r="8" spans="1:18" ht="15" x14ac:dyDescent="0.25">
      <c r="A8" s="302">
        <v>6170</v>
      </c>
      <c r="B8" s="7" t="s">
        <v>99</v>
      </c>
      <c r="C8" s="7">
        <v>42448311.359999999</v>
      </c>
      <c r="D8" s="7">
        <v>365.38</v>
      </c>
      <c r="E8" s="7">
        <v>0</v>
      </c>
      <c r="F8" s="7">
        <v>42448676.740000002</v>
      </c>
      <c r="G8" s="7">
        <v>15794.86</v>
      </c>
      <c r="H8" s="7">
        <v>4578524.7899999991</v>
      </c>
      <c r="I8" s="7">
        <v>1175046.77</v>
      </c>
      <c r="J8" s="7">
        <v>496704.96</v>
      </c>
      <c r="K8" s="7">
        <v>959014.76</v>
      </c>
      <c r="L8" s="7">
        <v>1614.56</v>
      </c>
      <c r="M8" s="7">
        <v>2259.4300000000003</v>
      </c>
      <c r="N8" s="7">
        <v>673961.81</v>
      </c>
      <c r="O8" s="7">
        <v>181705.84</v>
      </c>
      <c r="P8" s="7">
        <v>0</v>
      </c>
      <c r="Q8" s="7">
        <v>41512.19</v>
      </c>
      <c r="R8" s="7">
        <v>8110345.1099999985</v>
      </c>
    </row>
    <row r="9" spans="1:18" ht="15" x14ac:dyDescent="0.25">
      <c r="A9" s="302">
        <v>7010</v>
      </c>
      <c r="B9" s="7" t="s">
        <v>1301</v>
      </c>
      <c r="C9" s="7">
        <v>118239540.91999999</v>
      </c>
      <c r="D9" s="7">
        <v>10451453.709999999</v>
      </c>
      <c r="E9" s="7">
        <v>-498</v>
      </c>
      <c r="F9" s="7">
        <v>128690994.63</v>
      </c>
      <c r="G9" s="7">
        <v>88531.58</v>
      </c>
      <c r="H9" s="7">
        <v>12002990.780000001</v>
      </c>
      <c r="I9" s="7">
        <v>3097922.14</v>
      </c>
      <c r="J9" s="7">
        <v>560874.46000000008</v>
      </c>
      <c r="K9" s="7">
        <v>1425039.24</v>
      </c>
      <c r="L9" s="7">
        <v>3503.5699999999997</v>
      </c>
      <c r="M9" s="7">
        <v>199920.58</v>
      </c>
      <c r="N9" s="7">
        <v>1292791.4500000002</v>
      </c>
      <c r="O9" s="7">
        <v>466960.95</v>
      </c>
      <c r="P9" s="7">
        <v>0</v>
      </c>
      <c r="Q9" s="7">
        <v>62819.159999999996</v>
      </c>
      <c r="R9" s="7">
        <v>19112822.330000006</v>
      </c>
    </row>
    <row r="10" spans="1:18" ht="15" x14ac:dyDescent="0.25">
      <c r="A10" s="302">
        <v>7020</v>
      </c>
      <c r="B10" s="7" t="s">
        <v>1302</v>
      </c>
      <c r="C10" s="7">
        <v>505651062.22000009</v>
      </c>
      <c r="D10" s="7">
        <v>406790255.40999997</v>
      </c>
      <c r="E10" s="7">
        <v>0</v>
      </c>
      <c r="F10" s="7">
        <v>912441317.62999988</v>
      </c>
      <c r="G10" s="7">
        <v>12316.369999999999</v>
      </c>
      <c r="H10" s="7">
        <v>17407214.210000001</v>
      </c>
      <c r="I10" s="7">
        <v>4361568</v>
      </c>
      <c r="J10" s="7">
        <v>4144258.9249999998</v>
      </c>
      <c r="K10" s="7">
        <v>3702679.6300000004</v>
      </c>
      <c r="L10" s="7">
        <v>11950.69</v>
      </c>
      <c r="M10" s="7">
        <v>1165682.27</v>
      </c>
      <c r="N10" s="7">
        <v>52753132.38000001</v>
      </c>
      <c r="O10" s="7">
        <v>7285355.0800000001</v>
      </c>
      <c r="P10" s="7">
        <v>0</v>
      </c>
      <c r="Q10" s="7">
        <v>154161.37</v>
      </c>
      <c r="R10" s="7">
        <v>90986002.554999977</v>
      </c>
    </row>
    <row r="11" spans="1:18" ht="15" x14ac:dyDescent="0.25">
      <c r="A11" s="302">
        <v>7030</v>
      </c>
      <c r="B11" s="7" t="s">
        <v>106</v>
      </c>
      <c r="C11" s="7">
        <v>16733274.140000001</v>
      </c>
      <c r="D11" s="7">
        <v>9969533.0700000003</v>
      </c>
      <c r="E11" s="7">
        <v>0</v>
      </c>
      <c r="F11" s="7">
        <v>26702807.210000001</v>
      </c>
      <c r="G11" s="7">
        <v>0</v>
      </c>
      <c r="H11" s="7">
        <v>2011851.24</v>
      </c>
      <c r="I11" s="7">
        <v>486072.8</v>
      </c>
      <c r="J11" s="7">
        <v>22125.7</v>
      </c>
      <c r="K11" s="7">
        <v>0</v>
      </c>
      <c r="L11" s="7">
        <v>907.07999999999993</v>
      </c>
      <c r="M11" s="7">
        <v>2439.1699999999996</v>
      </c>
      <c r="N11" s="7">
        <v>122161.23999999999</v>
      </c>
      <c r="O11" s="7">
        <v>31322.959999999999</v>
      </c>
      <c r="P11" s="7">
        <v>0</v>
      </c>
      <c r="Q11" s="7">
        <v>12478.490000000002</v>
      </c>
      <c r="R11" s="7">
        <v>2689358.6800000006</v>
      </c>
    </row>
    <row r="12" spans="1:18" ht="15" x14ac:dyDescent="0.25">
      <c r="A12" s="302">
        <v>7050</v>
      </c>
      <c r="B12" s="7" t="s">
        <v>1303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2805769.5</v>
      </c>
      <c r="I12" s="7">
        <v>1072821.77</v>
      </c>
      <c r="J12" s="7">
        <v>249705.97137020002</v>
      </c>
      <c r="K12" s="7">
        <v>0</v>
      </c>
      <c r="L12" s="7">
        <v>0</v>
      </c>
      <c r="M12" s="7">
        <v>32071.35</v>
      </c>
      <c r="N12" s="7">
        <v>466248.2200000002</v>
      </c>
      <c r="O12" s="7">
        <v>92679.510000000009</v>
      </c>
      <c r="P12" s="7">
        <v>0</v>
      </c>
      <c r="Q12" s="7">
        <v>60407.43</v>
      </c>
      <c r="R12" s="7">
        <v>4779703.751370199</v>
      </c>
    </row>
    <row r="13" spans="1:18" ht="15" x14ac:dyDescent="0.25">
      <c r="A13" s="302">
        <v>7060</v>
      </c>
      <c r="B13" s="7" t="s">
        <v>1304</v>
      </c>
      <c r="C13" s="7">
        <v>11869393.939999999</v>
      </c>
      <c r="D13" s="7">
        <v>668357.18000000005</v>
      </c>
      <c r="E13" s="7">
        <v>0</v>
      </c>
      <c r="F13" s="7">
        <v>12537751.119999999</v>
      </c>
      <c r="G13" s="7">
        <v>0</v>
      </c>
      <c r="H13" s="7">
        <v>1667485.0399999998</v>
      </c>
      <c r="I13" s="7">
        <v>372732.85</v>
      </c>
      <c r="J13" s="7">
        <v>10.31</v>
      </c>
      <c r="K13" s="7">
        <v>0</v>
      </c>
      <c r="L13" s="7">
        <v>749.96</v>
      </c>
      <c r="M13" s="7">
        <v>397.34</v>
      </c>
      <c r="N13" s="7">
        <v>1020942.45</v>
      </c>
      <c r="O13" s="7">
        <v>16083.83</v>
      </c>
      <c r="P13" s="7">
        <v>0</v>
      </c>
      <c r="Q13" s="7">
        <v>955</v>
      </c>
      <c r="R13" s="7">
        <v>3079356.7799999993</v>
      </c>
    </row>
    <row r="14" spans="1:18" ht="15" x14ac:dyDescent="0.25">
      <c r="A14" s="302">
        <v>7070</v>
      </c>
      <c r="B14" s="7" t="s">
        <v>1305</v>
      </c>
      <c r="C14" s="7">
        <v>87776052.460000008</v>
      </c>
      <c r="D14" s="7">
        <v>32690499.870000005</v>
      </c>
      <c r="E14" s="7">
        <v>0</v>
      </c>
      <c r="F14" s="7">
        <v>120466552.33000001</v>
      </c>
      <c r="G14" s="7">
        <v>12085205.149999999</v>
      </c>
      <c r="H14" s="7">
        <v>10693258.27</v>
      </c>
      <c r="I14" s="7">
        <v>3518884.94</v>
      </c>
      <c r="J14" s="7">
        <v>7865081.5999999996</v>
      </c>
      <c r="K14" s="7">
        <v>73456.03</v>
      </c>
      <c r="L14" s="7">
        <v>215143.92</v>
      </c>
      <c r="M14" s="7">
        <v>1212894.77</v>
      </c>
      <c r="N14" s="7">
        <v>7877521.3200000003</v>
      </c>
      <c r="O14" s="7">
        <v>315306.96000000002</v>
      </c>
      <c r="P14" s="7">
        <v>0</v>
      </c>
      <c r="Q14" s="7">
        <v>190028.11000000002</v>
      </c>
      <c r="R14" s="7">
        <v>31961575.920000002</v>
      </c>
    </row>
    <row r="15" spans="1:18" ht="15" x14ac:dyDescent="0.25">
      <c r="A15" s="302">
        <v>7130</v>
      </c>
      <c r="B15" s="7" t="s">
        <v>1306</v>
      </c>
      <c r="C15" s="7">
        <v>55539924.019999996</v>
      </c>
      <c r="D15" s="7">
        <v>57610742.859999999</v>
      </c>
      <c r="E15" s="7">
        <v>0</v>
      </c>
      <c r="F15" s="7">
        <v>113150666.88</v>
      </c>
      <c r="G15" s="7">
        <v>0</v>
      </c>
      <c r="H15" s="7">
        <v>820984.75</v>
      </c>
      <c r="I15" s="7">
        <v>209508.16</v>
      </c>
      <c r="J15" s="7">
        <v>225157.09</v>
      </c>
      <c r="K15" s="7">
        <v>0</v>
      </c>
      <c r="L15" s="7">
        <v>414.62</v>
      </c>
      <c r="M15" s="7">
        <v>460.06</v>
      </c>
      <c r="N15" s="7">
        <v>274245.77</v>
      </c>
      <c r="O15" s="7">
        <v>4648.8599999999997</v>
      </c>
      <c r="P15" s="7">
        <v>0</v>
      </c>
      <c r="Q15" s="7">
        <v>0</v>
      </c>
      <c r="R15" s="7">
        <v>1535419.3100000003</v>
      </c>
    </row>
    <row r="16" spans="1:18" ht="15" x14ac:dyDescent="0.25">
      <c r="A16" s="302">
        <v>7140</v>
      </c>
      <c r="B16" s="7" t="s">
        <v>1307</v>
      </c>
      <c r="C16" s="7">
        <v>66695035.350000001</v>
      </c>
      <c r="D16" s="7">
        <v>81058280.670000002</v>
      </c>
      <c r="E16" s="7">
        <v>0</v>
      </c>
      <c r="F16" s="7">
        <v>147753316.01999998</v>
      </c>
      <c r="G16" s="7">
        <v>11742.5</v>
      </c>
      <c r="H16" s="7">
        <v>5630524.5699999994</v>
      </c>
      <c r="I16" s="7">
        <v>1466557.78</v>
      </c>
      <c r="J16" s="7">
        <v>2448756.9700000002</v>
      </c>
      <c r="K16" s="7">
        <v>60139.8</v>
      </c>
      <c r="L16" s="7">
        <v>6140.64</v>
      </c>
      <c r="M16" s="7">
        <v>39121.390000000007</v>
      </c>
      <c r="N16" s="7">
        <v>4185559.3699999996</v>
      </c>
      <c r="O16" s="7">
        <v>346960.97999999992</v>
      </c>
      <c r="P16" s="7">
        <v>0</v>
      </c>
      <c r="Q16" s="7">
        <v>7243.8899999999994</v>
      </c>
      <c r="R16" s="7">
        <v>14191005.389999999</v>
      </c>
    </row>
    <row r="17" spans="1:18" ht="15" x14ac:dyDescent="0.25">
      <c r="A17" s="302">
        <v>7160</v>
      </c>
      <c r="B17" s="7" t="s">
        <v>1308</v>
      </c>
      <c r="C17" s="7">
        <v>3722471.26</v>
      </c>
      <c r="D17" s="7">
        <v>17950115.550000004</v>
      </c>
      <c r="E17" s="7">
        <v>0</v>
      </c>
      <c r="F17" s="7">
        <v>21672586.810000002</v>
      </c>
      <c r="G17" s="7">
        <v>0</v>
      </c>
      <c r="H17" s="7">
        <v>556924.66</v>
      </c>
      <c r="I17" s="7">
        <v>134126.51</v>
      </c>
      <c r="J17" s="7">
        <v>103611.71</v>
      </c>
      <c r="K17" s="7">
        <v>0</v>
      </c>
      <c r="L17" s="7">
        <v>0</v>
      </c>
      <c r="M17" s="7">
        <v>338.22</v>
      </c>
      <c r="N17" s="7">
        <v>707464.38</v>
      </c>
      <c r="O17" s="7">
        <v>3950.91</v>
      </c>
      <c r="P17" s="7">
        <v>0</v>
      </c>
      <c r="Q17" s="7">
        <v>2.71</v>
      </c>
      <c r="R17" s="7">
        <v>1506419.0999999999</v>
      </c>
    </row>
    <row r="18" spans="1:18" ht="15" x14ac:dyDescent="0.25">
      <c r="A18" s="302">
        <v>7170</v>
      </c>
      <c r="B18" s="7" t="s">
        <v>115</v>
      </c>
      <c r="C18" s="7">
        <v>264988198.09999999</v>
      </c>
      <c r="D18" s="7">
        <v>107058366.94000003</v>
      </c>
      <c r="E18" s="7">
        <v>0</v>
      </c>
      <c r="F18" s="7">
        <v>372046565.04000002</v>
      </c>
      <c r="G18" s="7">
        <v>4871604.4500000011</v>
      </c>
      <c r="H18" s="7">
        <v>8786566.6700000018</v>
      </c>
      <c r="I18" s="7">
        <v>2196460.5699999998</v>
      </c>
      <c r="J18" s="7">
        <v>1612793.53</v>
      </c>
      <c r="K18" s="7">
        <v>12875.27</v>
      </c>
      <c r="L18" s="7">
        <v>6652.24</v>
      </c>
      <c r="M18" s="7">
        <v>85851.89</v>
      </c>
      <c r="N18" s="7">
        <v>15674384.509999998</v>
      </c>
      <c r="O18" s="7">
        <v>551299.18000000017</v>
      </c>
      <c r="P18" s="7">
        <v>0</v>
      </c>
      <c r="Q18" s="7">
        <v>2948200.05</v>
      </c>
      <c r="R18" s="7">
        <v>31875083.91</v>
      </c>
    </row>
    <row r="19" spans="1:18" ht="15" x14ac:dyDescent="0.25">
      <c r="A19" s="302">
        <v>7180</v>
      </c>
      <c r="B19" s="7" t="s">
        <v>1309</v>
      </c>
      <c r="C19" s="7">
        <v>54992915.659999989</v>
      </c>
      <c r="D19" s="7">
        <v>7926337.9099999992</v>
      </c>
      <c r="E19" s="7">
        <v>0</v>
      </c>
      <c r="F19" s="7">
        <v>62919253.569999985</v>
      </c>
      <c r="G19" s="7">
        <v>0</v>
      </c>
      <c r="H19" s="7">
        <v>2496461.39</v>
      </c>
      <c r="I19" s="7">
        <v>664070.37</v>
      </c>
      <c r="J19" s="7">
        <v>76452.81</v>
      </c>
      <c r="K19" s="7">
        <v>26203.8</v>
      </c>
      <c r="L19" s="7">
        <v>817.22</v>
      </c>
      <c r="M19" s="7">
        <v>122778.28</v>
      </c>
      <c r="N19" s="7">
        <v>754621.34</v>
      </c>
      <c r="O19" s="7">
        <v>140061.01999999999</v>
      </c>
      <c r="P19" s="7">
        <v>0</v>
      </c>
      <c r="Q19" s="7">
        <v>5058.32</v>
      </c>
      <c r="R19" s="7">
        <v>4286524.55</v>
      </c>
    </row>
    <row r="20" spans="1:18" ht="15" x14ac:dyDescent="0.25">
      <c r="A20" s="302">
        <v>7190</v>
      </c>
      <c r="B20" s="7" t="s">
        <v>1310</v>
      </c>
      <c r="C20" s="7">
        <v>10183630</v>
      </c>
      <c r="D20" s="7">
        <v>15560849.449999997</v>
      </c>
      <c r="E20" s="7">
        <v>0</v>
      </c>
      <c r="F20" s="7">
        <v>25744479.449999996</v>
      </c>
      <c r="G20" s="7">
        <v>1222596.68</v>
      </c>
      <c r="H20" s="7">
        <v>161859.78000000003</v>
      </c>
      <c r="I20" s="7">
        <v>30555.42</v>
      </c>
      <c r="J20" s="7">
        <v>6215599.8999999994</v>
      </c>
      <c r="K20" s="7">
        <v>1240.43</v>
      </c>
      <c r="L20" s="7">
        <v>10582.7</v>
      </c>
      <c r="M20" s="7">
        <v>9059.11</v>
      </c>
      <c r="N20" s="7">
        <v>336008.63999999996</v>
      </c>
      <c r="O20" s="7">
        <v>328.93</v>
      </c>
      <c r="P20" s="7">
        <v>0</v>
      </c>
      <c r="Q20" s="7">
        <v>66808.259999999995</v>
      </c>
      <c r="R20" s="7">
        <v>6832043.1699999999</v>
      </c>
    </row>
    <row r="21" spans="1:18" ht="15" x14ac:dyDescent="0.25">
      <c r="A21" s="302">
        <v>7200</v>
      </c>
      <c r="B21" s="7" t="s">
        <v>709</v>
      </c>
      <c r="C21" s="7">
        <v>11259705.690000001</v>
      </c>
      <c r="D21" s="7">
        <v>14839352.490000002</v>
      </c>
      <c r="E21" s="7">
        <v>0</v>
      </c>
      <c r="F21" s="7">
        <v>26099058.180000003</v>
      </c>
      <c r="G21" s="7">
        <v>5681.87</v>
      </c>
      <c r="H21" s="7">
        <v>3746897.6200000006</v>
      </c>
      <c r="I21" s="7">
        <v>949242.70000000007</v>
      </c>
      <c r="J21" s="7">
        <v>154090.78999999998</v>
      </c>
      <c r="K21" s="7">
        <v>0</v>
      </c>
      <c r="L21" s="7">
        <v>1676.57</v>
      </c>
      <c r="M21" s="7">
        <v>158241.76999999999</v>
      </c>
      <c r="N21" s="7">
        <v>49262.44</v>
      </c>
      <c r="O21" s="7">
        <v>17672.96</v>
      </c>
      <c r="P21" s="7">
        <v>0</v>
      </c>
      <c r="Q21" s="7">
        <v>20807.079999999998</v>
      </c>
      <c r="R21" s="7">
        <v>5097891.9300000006</v>
      </c>
    </row>
    <row r="22" spans="1:18" ht="15" x14ac:dyDescent="0.25">
      <c r="A22" s="302">
        <v>7230</v>
      </c>
      <c r="B22" s="7" t="s">
        <v>118</v>
      </c>
      <c r="C22" s="7">
        <v>67358218.510000005</v>
      </c>
      <c r="D22" s="7">
        <v>110797627.98999999</v>
      </c>
      <c r="E22" s="7">
        <v>0</v>
      </c>
      <c r="F22" s="7">
        <v>178155846.5</v>
      </c>
      <c r="G22" s="7">
        <v>2000</v>
      </c>
      <c r="H22" s="7">
        <v>8210275</v>
      </c>
      <c r="I22" s="7">
        <v>2268822.9899999998</v>
      </c>
      <c r="J22" s="7">
        <v>2212723.0000000005</v>
      </c>
      <c r="K22" s="7">
        <v>6541247.7300000004</v>
      </c>
      <c r="L22" s="7">
        <v>2003.81</v>
      </c>
      <c r="M22" s="7">
        <v>33389.199999999997</v>
      </c>
      <c r="N22" s="7">
        <v>1701627.33</v>
      </c>
      <c r="O22" s="7">
        <v>405605.26</v>
      </c>
      <c r="P22" s="7">
        <v>0</v>
      </c>
      <c r="Q22" s="7">
        <v>56998.09</v>
      </c>
      <c r="R22" s="7">
        <v>21432692.409999996</v>
      </c>
    </row>
    <row r="23" spans="1:18" ht="15" x14ac:dyDescent="0.25">
      <c r="A23" s="302">
        <v>7250</v>
      </c>
      <c r="B23" s="7" t="s">
        <v>716</v>
      </c>
      <c r="C23" s="7">
        <v>46265631.209999993</v>
      </c>
      <c r="D23" s="7">
        <v>36586637.549999997</v>
      </c>
      <c r="E23" s="7">
        <v>0</v>
      </c>
      <c r="F23" s="7">
        <v>82852268.75999999</v>
      </c>
      <c r="G23" s="7">
        <v>4000</v>
      </c>
      <c r="H23" s="7">
        <v>10795620.049999999</v>
      </c>
      <c r="I23" s="7">
        <v>2974660.7199999997</v>
      </c>
      <c r="J23" s="7">
        <v>163318.10999999999</v>
      </c>
      <c r="K23" s="7">
        <v>0</v>
      </c>
      <c r="L23" s="7">
        <v>2370.52</v>
      </c>
      <c r="M23" s="7">
        <v>16751.620000000003</v>
      </c>
      <c r="N23" s="7">
        <v>802285.16999999993</v>
      </c>
      <c r="O23" s="7">
        <v>25317.87</v>
      </c>
      <c r="P23" s="7">
        <v>0</v>
      </c>
      <c r="Q23" s="7">
        <v>37658.99</v>
      </c>
      <c r="R23" s="7">
        <v>14817983.049999997</v>
      </c>
    </row>
    <row r="24" spans="1:18" ht="15" x14ac:dyDescent="0.25">
      <c r="A24" s="302">
        <v>7260</v>
      </c>
      <c r="B24" s="7" t="s">
        <v>121</v>
      </c>
      <c r="C24" s="7">
        <v>80319.350000000006</v>
      </c>
      <c r="D24" s="7">
        <v>37855899.890000001</v>
      </c>
      <c r="E24" s="7">
        <v>0</v>
      </c>
      <c r="F24" s="7">
        <v>37936219.240000002</v>
      </c>
      <c r="G24" s="7">
        <v>38660</v>
      </c>
      <c r="H24" s="7">
        <v>3407510.2499999995</v>
      </c>
      <c r="I24" s="7">
        <v>884109.18</v>
      </c>
      <c r="J24" s="7">
        <v>1044667.3799999999</v>
      </c>
      <c r="K24" s="7">
        <v>-198388.8</v>
      </c>
      <c r="L24" s="7">
        <v>1975.31</v>
      </c>
      <c r="M24" s="7">
        <v>457580.91</v>
      </c>
      <c r="N24" s="7">
        <v>1198512.01</v>
      </c>
      <c r="O24" s="7">
        <v>154727.11000000002</v>
      </c>
      <c r="P24" s="7">
        <v>0</v>
      </c>
      <c r="Q24" s="7">
        <v>26305.019999999997</v>
      </c>
      <c r="R24" s="7">
        <v>6976998.3699999992</v>
      </c>
    </row>
    <row r="25" spans="1:18" ht="15" x14ac:dyDescent="0.25">
      <c r="A25" s="302">
        <v>7310</v>
      </c>
      <c r="B25" s="7" t="s">
        <v>1311</v>
      </c>
      <c r="C25" s="7">
        <v>9621414.3599999994</v>
      </c>
      <c r="D25" s="7">
        <v>3891852.07</v>
      </c>
      <c r="E25" s="7">
        <v>0</v>
      </c>
      <c r="F25" s="7">
        <v>13513266.43</v>
      </c>
      <c r="G25" s="7">
        <v>240</v>
      </c>
      <c r="H25" s="7">
        <v>1812481.54</v>
      </c>
      <c r="I25" s="7">
        <v>465666.99</v>
      </c>
      <c r="J25" s="7">
        <v>7207.5</v>
      </c>
      <c r="K25" s="7">
        <v>0</v>
      </c>
      <c r="L25" s="7">
        <v>1373.24</v>
      </c>
      <c r="M25" s="7">
        <v>0</v>
      </c>
      <c r="N25" s="7">
        <v>5740.87</v>
      </c>
      <c r="O25" s="7">
        <v>4944.8100000000004</v>
      </c>
      <c r="P25" s="7">
        <v>0</v>
      </c>
      <c r="Q25" s="7">
        <v>6996.64</v>
      </c>
      <c r="R25" s="7">
        <v>2304411.59</v>
      </c>
    </row>
    <row r="26" spans="1:18" ht="15" x14ac:dyDescent="0.25">
      <c r="A26" s="302">
        <v>7320</v>
      </c>
      <c r="B26" s="7" t="s">
        <v>123</v>
      </c>
      <c r="C26" s="7">
        <v>2705544.62</v>
      </c>
      <c r="D26" s="7">
        <v>749786.7699999999</v>
      </c>
      <c r="E26" s="7">
        <v>0</v>
      </c>
      <c r="F26" s="7">
        <v>3455331.39</v>
      </c>
      <c r="G26" s="7">
        <v>0</v>
      </c>
      <c r="H26" s="7">
        <v>480877.93</v>
      </c>
      <c r="I26" s="7">
        <v>128711.48999999999</v>
      </c>
      <c r="J26" s="7">
        <v>1038</v>
      </c>
      <c r="K26" s="7">
        <v>0</v>
      </c>
      <c r="L26" s="7">
        <v>724.6</v>
      </c>
      <c r="M26" s="7">
        <v>0</v>
      </c>
      <c r="N26" s="7">
        <v>139.75</v>
      </c>
      <c r="O26" s="7">
        <v>0</v>
      </c>
      <c r="P26" s="7">
        <v>0</v>
      </c>
      <c r="Q26" s="7">
        <v>4906.0200000000004</v>
      </c>
      <c r="R26" s="7">
        <v>616397.78999999992</v>
      </c>
    </row>
    <row r="27" spans="1:18" ht="15" x14ac:dyDescent="0.25">
      <c r="A27" s="302">
        <v>7380</v>
      </c>
      <c r="B27" s="7" t="s">
        <v>1312</v>
      </c>
      <c r="C27" s="7">
        <v>-526303.94999999995</v>
      </c>
      <c r="D27" s="7">
        <v>5359825.6199999992</v>
      </c>
      <c r="E27" s="7">
        <v>168157</v>
      </c>
      <c r="F27" s="7">
        <v>4833521.67</v>
      </c>
      <c r="G27" s="7">
        <v>532966.62000000011</v>
      </c>
      <c r="H27" s="7">
        <v>289928.42</v>
      </c>
      <c r="I27" s="7">
        <v>70823.38</v>
      </c>
      <c r="J27" s="7">
        <v>93027.82</v>
      </c>
      <c r="K27" s="7">
        <v>0</v>
      </c>
      <c r="L27" s="7">
        <v>1352.15</v>
      </c>
      <c r="M27" s="7">
        <v>171658.51</v>
      </c>
      <c r="N27" s="7">
        <v>65341.03</v>
      </c>
      <c r="O27" s="7">
        <v>195.73</v>
      </c>
      <c r="P27" s="7">
        <v>0</v>
      </c>
      <c r="Q27" s="7">
        <v>388.21000000000004</v>
      </c>
      <c r="R27" s="7">
        <v>692715.25</v>
      </c>
    </row>
    <row r="28" spans="1:18" s="297" customFormat="1" ht="15" x14ac:dyDescent="0.25">
      <c r="A28" s="302">
        <v>7400</v>
      </c>
      <c r="B28" s="7" t="s">
        <v>1313</v>
      </c>
      <c r="C28" s="7">
        <v>0</v>
      </c>
      <c r="D28" s="7">
        <v>70997700.209999993</v>
      </c>
      <c r="E28" s="7">
        <v>2115662</v>
      </c>
      <c r="F28" s="7">
        <v>70997700.209999993</v>
      </c>
      <c r="G28" s="7">
        <v>167128.75</v>
      </c>
      <c r="H28" s="7">
        <v>26680107.27</v>
      </c>
      <c r="I28" s="7">
        <v>7068820.2699999996</v>
      </c>
      <c r="J28" s="7">
        <v>9440483.1500000004</v>
      </c>
      <c r="K28" s="7">
        <v>17584</v>
      </c>
      <c r="L28" s="7">
        <v>337461.6</v>
      </c>
      <c r="M28" s="7">
        <v>1342851.29</v>
      </c>
      <c r="N28" s="7">
        <v>1407726.85</v>
      </c>
      <c r="O28" s="7">
        <v>257012.12000000002</v>
      </c>
      <c r="P28" s="7">
        <v>121.55</v>
      </c>
      <c r="Q28" s="7">
        <v>1049183.6500000001</v>
      </c>
      <c r="R28" s="7">
        <v>47601230.20000001</v>
      </c>
    </row>
    <row r="29" spans="1:18" ht="15" x14ac:dyDescent="0.25">
      <c r="A29" s="302">
        <v>7490</v>
      </c>
      <c r="B29" s="7" t="s">
        <v>1314</v>
      </c>
      <c r="C29" s="7">
        <v>706005.41999999993</v>
      </c>
      <c r="D29" s="7">
        <v>1674084.45</v>
      </c>
      <c r="E29" s="7">
        <v>583262.35</v>
      </c>
      <c r="F29" s="7">
        <v>2380089.87</v>
      </c>
      <c r="G29" s="7">
        <v>2415209.5700000003</v>
      </c>
      <c r="H29" s="7">
        <v>2665524.46</v>
      </c>
      <c r="I29" s="7">
        <v>697991.58000000007</v>
      </c>
      <c r="J29" s="7">
        <v>4098576.911400002</v>
      </c>
      <c r="K29" s="7">
        <v>0</v>
      </c>
      <c r="L29" s="7">
        <v>9607.6200000000008</v>
      </c>
      <c r="M29" s="7">
        <v>323162.89</v>
      </c>
      <c r="N29" s="7">
        <v>15637.14</v>
      </c>
      <c r="O29" s="7">
        <v>36185.279999999999</v>
      </c>
      <c r="P29" s="7">
        <v>0</v>
      </c>
      <c r="Q29" s="7">
        <v>1028190.02</v>
      </c>
      <c r="R29" s="7">
        <v>8874875.9014000036</v>
      </c>
    </row>
    <row r="30" spans="1:18" ht="15" x14ac:dyDescent="0.25">
      <c r="A30" s="302">
        <v>8310</v>
      </c>
      <c r="B30" s="7" t="s">
        <v>1315</v>
      </c>
      <c r="C30" s="7"/>
      <c r="D30" s="7"/>
      <c r="E30" s="7"/>
      <c r="F30" s="7"/>
      <c r="G30" s="7"/>
      <c r="H30" s="7"/>
      <c r="I30" s="7"/>
      <c r="J30" s="7">
        <v>2285.6268999999998</v>
      </c>
      <c r="K30" s="7"/>
      <c r="L30" s="7"/>
      <c r="M30" s="7"/>
      <c r="N30" s="7"/>
      <c r="O30" s="7"/>
      <c r="P30" s="7">
        <v>0</v>
      </c>
      <c r="Q30" s="7">
        <v>0</v>
      </c>
      <c r="R30" s="7">
        <v>2285.6268999999998</v>
      </c>
    </row>
    <row r="31" spans="1:18" ht="15" x14ac:dyDescent="0.25">
      <c r="A31" s="302">
        <v>8330</v>
      </c>
      <c r="B31" s="7" t="s">
        <v>136</v>
      </c>
      <c r="C31" s="7">
        <v>0</v>
      </c>
      <c r="D31" s="304">
        <v>446.25</v>
      </c>
      <c r="E31" s="7">
        <v>0</v>
      </c>
      <c r="F31" s="7">
        <v>446.25</v>
      </c>
      <c r="G31" s="7">
        <v>3722106.5100000002</v>
      </c>
      <c r="H31" s="7">
        <v>4871532.8500000006</v>
      </c>
      <c r="I31" s="7">
        <v>1973853.99</v>
      </c>
      <c r="J31" s="7">
        <v>1972006.8800000004</v>
      </c>
      <c r="K31" s="7">
        <v>0</v>
      </c>
      <c r="L31" s="7">
        <v>2904.71</v>
      </c>
      <c r="M31" s="7">
        <v>98711.98000000001</v>
      </c>
      <c r="N31" s="7">
        <v>2866187.1599999992</v>
      </c>
      <c r="O31" s="7">
        <v>261102.84999999998</v>
      </c>
      <c r="P31" s="7">
        <v>0</v>
      </c>
      <c r="Q31" s="7">
        <v>134325.93</v>
      </c>
      <c r="R31" s="7">
        <v>12180626.350000001</v>
      </c>
    </row>
    <row r="32" spans="1:18" ht="15" x14ac:dyDescent="0.25">
      <c r="A32" s="302">
        <v>8350</v>
      </c>
      <c r="B32" s="7" t="s">
        <v>1316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156339.29000000004</v>
      </c>
      <c r="I32" s="7">
        <v>67915.92</v>
      </c>
      <c r="J32" s="7">
        <v>6618.6200000000008</v>
      </c>
      <c r="K32" s="7">
        <v>0</v>
      </c>
      <c r="L32" s="7">
        <v>0</v>
      </c>
      <c r="M32" s="7">
        <v>29.51</v>
      </c>
      <c r="N32" s="7">
        <v>10349.48</v>
      </c>
      <c r="O32" s="7">
        <v>0</v>
      </c>
      <c r="P32" s="7">
        <v>0</v>
      </c>
      <c r="Q32" s="7">
        <v>0</v>
      </c>
      <c r="R32" s="7">
        <v>241252.82000000004</v>
      </c>
    </row>
    <row r="33" spans="1:18" ht="15" x14ac:dyDescent="0.25">
      <c r="A33" s="302">
        <v>8370</v>
      </c>
      <c r="B33" s="7" t="s">
        <v>1317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1025606.14</v>
      </c>
      <c r="I33" s="7">
        <v>433487.64</v>
      </c>
      <c r="J33" s="7">
        <v>109.42</v>
      </c>
      <c r="K33" s="7">
        <v>0</v>
      </c>
      <c r="L33" s="7">
        <v>0</v>
      </c>
      <c r="M33" s="7">
        <v>1851.12</v>
      </c>
      <c r="N33" s="7">
        <v>16191.86</v>
      </c>
      <c r="O33" s="7">
        <v>0</v>
      </c>
      <c r="P33" s="7">
        <v>0</v>
      </c>
      <c r="Q33" s="7">
        <v>1183.19</v>
      </c>
      <c r="R33" s="7">
        <v>1478429.37</v>
      </c>
    </row>
    <row r="34" spans="1:18" ht="15" x14ac:dyDescent="0.25">
      <c r="A34" s="302">
        <v>8430</v>
      </c>
      <c r="B34" s="7" t="s">
        <v>140</v>
      </c>
      <c r="C34" s="7">
        <v>0</v>
      </c>
      <c r="D34" s="7">
        <v>0</v>
      </c>
      <c r="E34" s="7">
        <v>0</v>
      </c>
      <c r="F34" s="7">
        <v>0</v>
      </c>
      <c r="G34" s="7">
        <v>4112.4399999999996</v>
      </c>
      <c r="H34" s="7">
        <v>1256549.3799999999</v>
      </c>
      <c r="I34" s="7">
        <v>391564.62</v>
      </c>
      <c r="J34" s="7">
        <v>18900967.4322</v>
      </c>
      <c r="K34" s="7">
        <v>0</v>
      </c>
      <c r="L34" s="7">
        <v>3376071.87</v>
      </c>
      <c r="M34" s="7">
        <v>2440647.35</v>
      </c>
      <c r="N34" s="7">
        <v>44087.729999999996</v>
      </c>
      <c r="O34" s="7">
        <v>1021670.98</v>
      </c>
      <c r="P34" s="7">
        <v>0</v>
      </c>
      <c r="Q34" s="7">
        <v>412579.61000000004</v>
      </c>
      <c r="R34" s="7">
        <v>27844138.972199991</v>
      </c>
    </row>
    <row r="35" spans="1:18" ht="15" x14ac:dyDescent="0.25">
      <c r="A35" s="302">
        <v>8460</v>
      </c>
      <c r="B35" s="7" t="s">
        <v>141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3630360.9500000007</v>
      </c>
      <c r="I35" s="7">
        <v>1465667.6</v>
      </c>
      <c r="J35" s="7">
        <v>856342.8899999999</v>
      </c>
      <c r="K35" s="7">
        <v>0</v>
      </c>
      <c r="L35" s="7">
        <v>2297.0299999999997</v>
      </c>
      <c r="M35" s="7">
        <v>3718.32</v>
      </c>
      <c r="N35" s="7">
        <v>547683.61999999988</v>
      </c>
      <c r="O35" s="7">
        <v>35905.56</v>
      </c>
      <c r="P35" s="7">
        <v>0</v>
      </c>
      <c r="Q35" s="7">
        <v>5019.7700000000004</v>
      </c>
      <c r="R35" s="7">
        <v>6546995.7400000002</v>
      </c>
    </row>
    <row r="36" spans="1:18" ht="15" x14ac:dyDescent="0.25">
      <c r="A36" s="302">
        <v>8470</v>
      </c>
      <c r="B36" s="7" t="s">
        <v>606</v>
      </c>
      <c r="C36" s="7"/>
      <c r="D36" s="7"/>
      <c r="E36" s="7"/>
      <c r="F36" s="7"/>
      <c r="G36" s="7"/>
      <c r="H36" s="7"/>
      <c r="I36" s="7"/>
      <c r="J36" s="7">
        <v>110463.8404</v>
      </c>
      <c r="K36" s="7"/>
      <c r="L36" s="7"/>
      <c r="M36" s="7"/>
      <c r="N36" s="7"/>
      <c r="O36" s="7"/>
      <c r="P36" s="7">
        <v>0</v>
      </c>
      <c r="Q36" s="7">
        <v>0</v>
      </c>
      <c r="R36" s="7">
        <v>110463.8404</v>
      </c>
    </row>
    <row r="37" spans="1:18" ht="15" x14ac:dyDescent="0.25">
      <c r="A37" s="302">
        <v>8480</v>
      </c>
      <c r="B37" s="7" t="s">
        <v>637</v>
      </c>
      <c r="C37" s="7">
        <v>0</v>
      </c>
      <c r="D37" s="7">
        <v>0</v>
      </c>
      <c r="E37" s="7">
        <v>0</v>
      </c>
      <c r="F37" s="7">
        <v>0</v>
      </c>
      <c r="G37" s="7"/>
      <c r="H37" s="7"/>
      <c r="I37" s="7"/>
      <c r="J37" s="7">
        <v>-698446.68900000001</v>
      </c>
      <c r="K37" s="7">
        <v>0</v>
      </c>
      <c r="L37" s="7"/>
      <c r="M37" s="7"/>
      <c r="N37" s="7"/>
      <c r="O37" s="7"/>
      <c r="P37" s="7">
        <v>0</v>
      </c>
      <c r="Q37" s="7">
        <v>0</v>
      </c>
      <c r="R37" s="7">
        <v>-698446.68900000001</v>
      </c>
    </row>
    <row r="38" spans="1:18" ht="15" x14ac:dyDescent="0.25">
      <c r="A38" s="302">
        <v>8490</v>
      </c>
      <c r="B38" s="7" t="s">
        <v>144</v>
      </c>
      <c r="C38" s="7">
        <v>0</v>
      </c>
      <c r="D38" s="7">
        <v>0</v>
      </c>
      <c r="E38" s="7">
        <v>0</v>
      </c>
      <c r="F38" s="7">
        <v>0</v>
      </c>
      <c r="G38" s="7">
        <v>518029.94</v>
      </c>
      <c r="H38" s="7">
        <v>115885.51999999999</v>
      </c>
      <c r="I38" s="7">
        <v>48024.44</v>
      </c>
      <c r="J38" s="7">
        <v>803.11</v>
      </c>
      <c r="K38" s="7">
        <v>0</v>
      </c>
      <c r="L38" s="7">
        <v>0.43</v>
      </c>
      <c r="M38" s="7">
        <v>0</v>
      </c>
      <c r="N38" s="7">
        <v>262532.34000000003</v>
      </c>
      <c r="O38" s="7">
        <v>71.650000000000006</v>
      </c>
      <c r="P38" s="7">
        <v>0</v>
      </c>
      <c r="Q38" s="7">
        <v>2639.12</v>
      </c>
      <c r="R38" s="7">
        <v>429956.61000000004</v>
      </c>
    </row>
    <row r="39" spans="1:18" ht="15" x14ac:dyDescent="0.25">
      <c r="A39" s="302">
        <v>8510</v>
      </c>
      <c r="B39" s="7" t="s">
        <v>145</v>
      </c>
      <c r="C39" s="7"/>
      <c r="D39" s="7"/>
      <c r="E39" s="7"/>
      <c r="F39" s="7"/>
      <c r="G39" s="7"/>
      <c r="H39" s="7"/>
      <c r="I39" s="7"/>
      <c r="J39" s="7">
        <v>1938000.52489797</v>
      </c>
      <c r="K39" s="7"/>
      <c r="L39" s="7"/>
      <c r="M39" s="7"/>
      <c r="N39" s="7"/>
      <c r="O39" s="7"/>
      <c r="P39" s="7">
        <v>0</v>
      </c>
      <c r="Q39" s="7">
        <v>0</v>
      </c>
      <c r="R39" s="7">
        <v>1938000.52489797</v>
      </c>
    </row>
    <row r="40" spans="1:18" ht="15" x14ac:dyDescent="0.25">
      <c r="A40" s="302">
        <v>8530</v>
      </c>
      <c r="B40" s="7" t="s">
        <v>1318</v>
      </c>
      <c r="C40" s="7"/>
      <c r="D40" s="7"/>
      <c r="E40" s="7"/>
      <c r="F40" s="7"/>
      <c r="G40" s="7"/>
      <c r="H40" s="7"/>
      <c r="I40" s="7"/>
      <c r="J40" s="7">
        <v>7339247.2191812899</v>
      </c>
      <c r="K40" s="7"/>
      <c r="L40" s="7"/>
      <c r="M40" s="7"/>
      <c r="N40" s="7"/>
      <c r="O40" s="7">
        <v>0</v>
      </c>
      <c r="P40" s="7">
        <v>0</v>
      </c>
      <c r="Q40" s="7">
        <v>0</v>
      </c>
      <c r="R40" s="7">
        <v>7339247.2191812899</v>
      </c>
    </row>
    <row r="41" spans="1:18" ht="15" x14ac:dyDescent="0.25">
      <c r="A41" s="302">
        <v>8560</v>
      </c>
      <c r="B41" s="7" t="s">
        <v>147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7725465.4680751804</v>
      </c>
      <c r="K41" s="7">
        <v>0</v>
      </c>
      <c r="L41" s="7">
        <v>335.16</v>
      </c>
      <c r="M41" s="7">
        <v>15809.16</v>
      </c>
      <c r="N41" s="7">
        <v>25614.140000000007</v>
      </c>
      <c r="O41" s="7">
        <v>241.48</v>
      </c>
      <c r="P41" s="7">
        <v>0</v>
      </c>
      <c r="Q41" s="7">
        <v>7329.33</v>
      </c>
      <c r="R41" s="7">
        <v>7774794.73807518</v>
      </c>
    </row>
    <row r="42" spans="1:18" ht="15" x14ac:dyDescent="0.25">
      <c r="A42" s="302">
        <v>8610</v>
      </c>
      <c r="B42" s="7" t="s">
        <v>193</v>
      </c>
      <c r="C42" s="7">
        <v>0</v>
      </c>
      <c r="D42" s="7">
        <v>0</v>
      </c>
      <c r="E42" s="7">
        <v>0</v>
      </c>
      <c r="F42" s="7">
        <v>0</v>
      </c>
      <c r="G42" s="7">
        <v>-3429192.7</v>
      </c>
      <c r="H42" s="7">
        <v>5416725.7699999996</v>
      </c>
      <c r="I42" s="7">
        <v>1371019.9100000001</v>
      </c>
      <c r="J42" s="7">
        <v>14590971.008752607</v>
      </c>
      <c r="K42" s="7">
        <v>179600</v>
      </c>
      <c r="L42" s="7">
        <v>963.29000000000008</v>
      </c>
      <c r="M42" s="7">
        <v>82284.510000000009</v>
      </c>
      <c r="N42" s="7">
        <v>-5920.8599999999869</v>
      </c>
      <c r="O42" s="7">
        <v>22252.84</v>
      </c>
      <c r="P42" s="7">
        <v>0</v>
      </c>
      <c r="Q42" s="7">
        <v>429312.37999999989</v>
      </c>
      <c r="R42" s="7">
        <v>22087208.848752607</v>
      </c>
    </row>
    <row r="43" spans="1:18" ht="15" x14ac:dyDescent="0.25">
      <c r="A43" s="302">
        <v>8620</v>
      </c>
      <c r="B43" s="7" t="s">
        <v>1319</v>
      </c>
      <c r="C43" s="7"/>
      <c r="D43" s="7"/>
      <c r="E43" s="7"/>
      <c r="F43" s="7"/>
      <c r="G43" s="7"/>
      <c r="H43" s="7"/>
      <c r="I43" s="7"/>
      <c r="J43" s="7">
        <v>1067275.4931999999</v>
      </c>
      <c r="K43" s="7"/>
      <c r="L43" s="7"/>
      <c r="M43" s="7"/>
      <c r="N43" s="7"/>
      <c r="O43" s="7"/>
      <c r="P43" s="7">
        <v>0</v>
      </c>
      <c r="Q43" s="7">
        <v>0</v>
      </c>
      <c r="R43" s="7">
        <v>1067275.4931999999</v>
      </c>
    </row>
    <row r="44" spans="1:18" ht="15" x14ac:dyDescent="0.25">
      <c r="A44" s="302">
        <v>8630</v>
      </c>
      <c r="B44" s="7" t="s">
        <v>1320</v>
      </c>
      <c r="C44" s="7"/>
      <c r="D44" s="7"/>
      <c r="E44" s="7"/>
      <c r="F44" s="7"/>
      <c r="G44" s="7"/>
      <c r="H44" s="7"/>
      <c r="I44" s="7"/>
      <c r="J44" s="7">
        <v>1399108.6538</v>
      </c>
      <c r="K44" s="7"/>
      <c r="L44" s="7"/>
      <c r="M44" s="7"/>
      <c r="N44" s="7"/>
      <c r="O44" s="7"/>
      <c r="P44" s="7">
        <v>0</v>
      </c>
      <c r="Q44" s="7">
        <v>0</v>
      </c>
      <c r="R44" s="7">
        <v>1399108.6538</v>
      </c>
    </row>
    <row r="45" spans="1:18" ht="15" x14ac:dyDescent="0.25">
      <c r="A45" s="302">
        <v>8650</v>
      </c>
      <c r="B45" s="7" t="s">
        <v>152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-5657.13</v>
      </c>
      <c r="I45" s="7">
        <v>13.159999996190891</v>
      </c>
      <c r="J45" s="7">
        <v>4204371.2534999996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-196.25</v>
      </c>
      <c r="R45" s="7">
        <v>4198531.0334999952</v>
      </c>
    </row>
    <row r="46" spans="1:18" ht="15" x14ac:dyDescent="0.25">
      <c r="A46" s="302">
        <v>8660</v>
      </c>
      <c r="B46" s="7" t="s">
        <v>1321</v>
      </c>
      <c r="C46" s="7"/>
      <c r="D46" s="7"/>
      <c r="E46" s="7"/>
      <c r="F46" s="7"/>
      <c r="G46" s="7"/>
      <c r="H46" s="7"/>
      <c r="I46" s="7"/>
      <c r="J46" s="7">
        <v>52.155200000000001</v>
      </c>
      <c r="K46" s="7"/>
      <c r="L46" s="7"/>
      <c r="M46" s="7"/>
      <c r="N46" s="7"/>
      <c r="O46" s="7"/>
      <c r="P46" s="7"/>
      <c r="Q46" s="7">
        <v>0</v>
      </c>
      <c r="R46" s="7">
        <v>52.155200000000001</v>
      </c>
    </row>
    <row r="47" spans="1:18" ht="15" x14ac:dyDescent="0.25">
      <c r="A47" s="302">
        <v>8670</v>
      </c>
      <c r="B47" s="7" t="s">
        <v>154</v>
      </c>
      <c r="C47" s="7">
        <v>0</v>
      </c>
      <c r="D47" s="7">
        <v>0</v>
      </c>
      <c r="E47" s="7">
        <v>0</v>
      </c>
      <c r="F47" s="7">
        <v>0</v>
      </c>
      <c r="G47" s="7">
        <v>13250</v>
      </c>
      <c r="H47" s="7">
        <v>230257.16</v>
      </c>
      <c r="I47" s="7">
        <v>71137.430000000008</v>
      </c>
      <c r="J47" s="7">
        <v>77535.00910000001</v>
      </c>
      <c r="K47" s="7">
        <v>0</v>
      </c>
      <c r="L47" s="7">
        <v>0</v>
      </c>
      <c r="M47" s="7">
        <v>0</v>
      </c>
      <c r="N47" s="7">
        <v>320.71999999999997</v>
      </c>
      <c r="O47" s="7">
        <v>0</v>
      </c>
      <c r="P47" s="7">
        <v>0</v>
      </c>
      <c r="Q47" s="7">
        <v>16833.129999999997</v>
      </c>
      <c r="R47" s="7">
        <v>396083.44910000003</v>
      </c>
    </row>
    <row r="48" spans="1:18" ht="15" x14ac:dyDescent="0.25">
      <c r="A48" s="302">
        <v>8680</v>
      </c>
      <c r="B48" s="7" t="s">
        <v>646</v>
      </c>
      <c r="C48" s="7"/>
      <c r="D48" s="7"/>
      <c r="E48" s="7"/>
      <c r="F48" s="7"/>
      <c r="G48" s="7"/>
      <c r="H48" s="7"/>
      <c r="I48" s="7"/>
      <c r="J48" s="7">
        <v>125375.68770000001</v>
      </c>
      <c r="K48" s="7"/>
      <c r="L48" s="7"/>
      <c r="M48" s="7"/>
      <c r="N48" s="7"/>
      <c r="O48" s="7"/>
      <c r="P48" s="7">
        <v>0</v>
      </c>
      <c r="Q48" s="7">
        <v>0</v>
      </c>
      <c r="R48" s="7">
        <v>125375.68770000001</v>
      </c>
    </row>
    <row r="49" spans="1:18" ht="15" x14ac:dyDescent="0.25">
      <c r="A49" s="302">
        <v>8690</v>
      </c>
      <c r="B49" s="7" t="s">
        <v>648</v>
      </c>
      <c r="C49" s="7"/>
      <c r="D49" s="7"/>
      <c r="E49" s="7"/>
      <c r="F49" s="7"/>
      <c r="G49" s="7"/>
      <c r="H49" s="7"/>
      <c r="I49" s="7"/>
      <c r="J49" s="7">
        <v>10514209.689107802</v>
      </c>
      <c r="K49" s="7"/>
      <c r="L49" s="7"/>
      <c r="M49" s="7"/>
      <c r="N49" s="7"/>
      <c r="O49" s="7"/>
      <c r="P49" s="7"/>
      <c r="Q49" s="7"/>
      <c r="R49" s="7">
        <v>10514209.689107802</v>
      </c>
    </row>
    <row r="50" spans="1:18" ht="15" x14ac:dyDescent="0.25">
      <c r="A50" s="302">
        <v>8700</v>
      </c>
      <c r="B50" s="7" t="s">
        <v>650</v>
      </c>
      <c r="C50" s="7"/>
      <c r="D50" s="7"/>
      <c r="E50" s="7"/>
      <c r="F50" s="7"/>
      <c r="G50" s="7"/>
      <c r="H50" s="7"/>
      <c r="I50" s="7"/>
      <c r="J50" s="7">
        <v>1300871.7238059998</v>
      </c>
      <c r="K50" s="7"/>
      <c r="L50" s="7"/>
      <c r="M50" s="7"/>
      <c r="N50" s="7"/>
      <c r="O50" s="7"/>
      <c r="P50" s="7">
        <v>0</v>
      </c>
      <c r="Q50" s="7">
        <v>0</v>
      </c>
      <c r="R50" s="7">
        <v>1300871.7238059998</v>
      </c>
    </row>
    <row r="51" spans="1:18" ht="15" x14ac:dyDescent="0.25">
      <c r="A51" s="302">
        <v>8710</v>
      </c>
      <c r="B51" s="7" t="s">
        <v>1322</v>
      </c>
      <c r="C51" s="7"/>
      <c r="D51" s="7"/>
      <c r="E51" s="7"/>
      <c r="F51" s="7"/>
      <c r="G51" s="7"/>
      <c r="H51" s="7"/>
      <c r="I51" s="7"/>
      <c r="J51" s="7">
        <v>5362295.0302633392</v>
      </c>
      <c r="K51" s="7"/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5362295.0302633392</v>
      </c>
    </row>
    <row r="52" spans="1:18" ht="15" x14ac:dyDescent="0.25">
      <c r="A52" s="302">
        <v>8720</v>
      </c>
      <c r="B52" s="7" t="s">
        <v>1323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3719665.1900000004</v>
      </c>
      <c r="I52" s="7">
        <v>928071.16999999993</v>
      </c>
      <c r="J52" s="7">
        <v>621047.81239999994</v>
      </c>
      <c r="K52" s="7">
        <v>0</v>
      </c>
      <c r="L52" s="7">
        <v>5525.58</v>
      </c>
      <c r="M52" s="7">
        <v>5141.4399999999996</v>
      </c>
      <c r="N52" s="7">
        <v>3437.8399999999997</v>
      </c>
      <c r="O52" s="7">
        <v>123446.44</v>
      </c>
      <c r="P52" s="7">
        <v>0</v>
      </c>
      <c r="Q52" s="7">
        <v>3431.7999999999997</v>
      </c>
      <c r="R52" s="7">
        <v>5409767.2724000001</v>
      </c>
    </row>
    <row r="53" spans="1:18" ht="15" x14ac:dyDescent="0.25">
      <c r="A53" s="302">
        <v>8740</v>
      </c>
      <c r="B53" s="7" t="s">
        <v>201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670484.05000000005</v>
      </c>
      <c r="I53" s="7">
        <v>162869.93</v>
      </c>
      <c r="J53" s="7">
        <v>1518040.0145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135</v>
      </c>
      <c r="R53" s="7">
        <v>2351528.9945</v>
      </c>
    </row>
    <row r="54" spans="1:18" ht="15" x14ac:dyDescent="0.25">
      <c r="A54" s="302">
        <v>8770</v>
      </c>
      <c r="B54" s="7" t="s">
        <v>1324</v>
      </c>
      <c r="C54" s="7">
        <v>0</v>
      </c>
      <c r="D54" s="7">
        <v>0</v>
      </c>
      <c r="E54" s="7">
        <v>0</v>
      </c>
      <c r="F54" s="7">
        <v>0</v>
      </c>
      <c r="G54" s="7">
        <v>115573.89</v>
      </c>
      <c r="H54" s="7">
        <v>87161.330000000016</v>
      </c>
      <c r="I54" s="7">
        <v>24742.3</v>
      </c>
      <c r="J54" s="7">
        <v>155964.64440000002</v>
      </c>
      <c r="K54" s="7">
        <v>0</v>
      </c>
      <c r="L54" s="7">
        <v>0</v>
      </c>
      <c r="M54" s="7">
        <v>-21.46</v>
      </c>
      <c r="N54" s="7">
        <v>4363.8</v>
      </c>
      <c r="O54" s="7">
        <v>0</v>
      </c>
      <c r="P54" s="7">
        <v>0</v>
      </c>
      <c r="Q54" s="7">
        <v>5162.21</v>
      </c>
      <c r="R54" s="7">
        <v>277372.82440000004</v>
      </c>
    </row>
    <row r="55" spans="1:18" ht="15" x14ac:dyDescent="0.25">
      <c r="A55" s="302">
        <v>8790</v>
      </c>
      <c r="B55" s="7" t="s">
        <v>1325</v>
      </c>
      <c r="C55" s="7">
        <v>0</v>
      </c>
      <c r="D55" s="7">
        <v>0</v>
      </c>
      <c r="E55" s="7">
        <v>0</v>
      </c>
      <c r="F55" s="7">
        <v>0</v>
      </c>
      <c r="G55" s="7">
        <v>10000</v>
      </c>
      <c r="H55" s="7">
        <v>246913.78000000003</v>
      </c>
      <c r="I55" s="7">
        <v>64844.15</v>
      </c>
      <c r="J55" s="7">
        <v>-558526.42050522007</v>
      </c>
      <c r="K55" s="7">
        <v>0</v>
      </c>
      <c r="L55" s="7">
        <v>0</v>
      </c>
      <c r="M55" s="7">
        <v>0</v>
      </c>
      <c r="N55" s="7">
        <v>6367.89</v>
      </c>
      <c r="O55" s="7">
        <v>0</v>
      </c>
      <c r="P55" s="7">
        <v>0</v>
      </c>
      <c r="Q55" s="7">
        <v>1021244.49</v>
      </c>
      <c r="R55" s="7">
        <v>-239874.7505052198</v>
      </c>
    </row>
    <row r="56" spans="1:18" ht="15" x14ac:dyDescent="0.25">
      <c r="A56" s="303">
        <v>8900</v>
      </c>
      <c r="B56" s="304" t="s">
        <v>211</v>
      </c>
      <c r="C56" s="304">
        <v>1436557</v>
      </c>
      <c r="D56" s="304">
        <v>155354.56</v>
      </c>
      <c r="E56" s="304">
        <v>0</v>
      </c>
      <c r="F56" s="304">
        <v>1591911.56</v>
      </c>
      <c r="G56" s="304">
        <v>2507493.84</v>
      </c>
      <c r="H56" s="304">
        <v>-639776.29999999993</v>
      </c>
      <c r="I56" s="304">
        <v>-193969.82</v>
      </c>
      <c r="J56" s="304">
        <v>48236286.296700001</v>
      </c>
      <c r="K56" s="304">
        <v>8980232.3000000007</v>
      </c>
      <c r="L56" s="304">
        <v>0</v>
      </c>
      <c r="M56" s="304">
        <v>668220.94000000006</v>
      </c>
      <c r="N56" s="304">
        <v>-569977.84</v>
      </c>
      <c r="O56" s="304">
        <v>11981869.610000001</v>
      </c>
      <c r="P56" s="304">
        <v>7702322.1399999997</v>
      </c>
      <c r="Q56" s="304">
        <v>35151427.609999999</v>
      </c>
      <c r="R56" s="304">
        <v>103378226.7767</v>
      </c>
    </row>
    <row r="57" spans="1:18" ht="15" x14ac:dyDescent="0.25">
      <c r="A57" s="302">
        <v>9999</v>
      </c>
      <c r="B57" s="7" t="s">
        <v>1257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</row>
    <row r="58" spans="1:18" ht="15" x14ac:dyDescent="0.25">
      <c r="A58" s="302">
        <v>7110</v>
      </c>
      <c r="B58" s="7" t="s">
        <v>1326</v>
      </c>
      <c r="C58" s="7">
        <v>19093649.520000003</v>
      </c>
      <c r="D58" s="7">
        <v>63121094.460000001</v>
      </c>
      <c r="E58" s="7">
        <v>0</v>
      </c>
      <c r="F58" s="7">
        <v>82214743.980000004</v>
      </c>
      <c r="G58" s="7">
        <v>1248.18</v>
      </c>
      <c r="H58" s="7">
        <v>598528.0199999999</v>
      </c>
      <c r="I58" s="7">
        <v>137606.6</v>
      </c>
      <c r="J58" s="7">
        <v>272355</v>
      </c>
      <c r="K58" s="7">
        <v>0</v>
      </c>
      <c r="L58" s="7">
        <v>0</v>
      </c>
      <c r="M58" s="7">
        <v>0</v>
      </c>
      <c r="N58" s="7">
        <v>5213392.72</v>
      </c>
      <c r="O58" s="7">
        <v>159591.91999999998</v>
      </c>
      <c r="P58" s="7">
        <v>0</v>
      </c>
      <c r="Q58" s="7">
        <v>0</v>
      </c>
      <c r="R58" s="7">
        <v>6381474.2599999998</v>
      </c>
    </row>
    <row r="59" spans="1:18" ht="15" x14ac:dyDescent="0.25">
      <c r="A59" s="302" t="s">
        <v>1327</v>
      </c>
      <c r="B59" s="7" t="s">
        <v>1328</v>
      </c>
      <c r="C59" s="7">
        <v>1720086575.4099996</v>
      </c>
      <c r="D59" s="7">
        <v>1110091780.96</v>
      </c>
      <c r="E59" s="7">
        <v>3932526.95</v>
      </c>
      <c r="F59" s="7">
        <v>2830178356.3699989</v>
      </c>
      <c r="G59" s="7">
        <v>25035967.310000006</v>
      </c>
      <c r="H59" s="7">
        <v>202320421.93000001</v>
      </c>
      <c r="I59" s="7">
        <v>55147027.710000016</v>
      </c>
      <c r="J59" s="7">
        <v>170309156.61234921</v>
      </c>
      <c r="K59" s="7">
        <v>25913592.530000001</v>
      </c>
      <c r="L59" s="7">
        <v>4016111.89</v>
      </c>
      <c r="M59" s="7">
        <v>8769115.290000001</v>
      </c>
      <c r="N59" s="7">
        <v>105118212.06000003</v>
      </c>
      <c r="O59" s="7">
        <v>25742699.100000001</v>
      </c>
      <c r="P59" s="7">
        <v>7702443.6899999995</v>
      </c>
      <c r="Q59" s="7">
        <v>43159105.600000001</v>
      </c>
      <c r="R59" s="7">
        <v>639238638.06234932</v>
      </c>
    </row>
    <row r="63" spans="1:18" x14ac:dyDescent="0.25">
      <c r="B63" s="295"/>
      <c r="C63" s="296"/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</row>
    <row r="64" spans="1:18" x14ac:dyDescent="0.25">
      <c r="A64" s="301" t="s">
        <v>1329</v>
      </c>
      <c r="B64" s="298" t="s">
        <v>1330</v>
      </c>
      <c r="C64" s="296">
        <v>1720086575.4100001</v>
      </c>
      <c r="D64" s="296">
        <v>1110091780.96</v>
      </c>
      <c r="E64" s="296">
        <v>3932526.95</v>
      </c>
      <c r="F64" s="296">
        <v>2830178356.3699994</v>
      </c>
      <c r="G64" s="296">
        <v>25035967.309999995</v>
      </c>
      <c r="H64" s="296">
        <v>202320421.92999995</v>
      </c>
      <c r="I64" s="296">
        <v>55147027.710000001</v>
      </c>
      <c r="J64" s="296">
        <v>170309156.61000004</v>
      </c>
      <c r="K64" s="296">
        <v>25913592.530000001</v>
      </c>
      <c r="L64" s="296">
        <v>4016111.8899999997</v>
      </c>
      <c r="M64" s="296">
        <v>8769115.2899999991</v>
      </c>
      <c r="N64" s="296">
        <v>105118212.05999999</v>
      </c>
      <c r="O64" s="296">
        <v>25742699.100000001</v>
      </c>
      <c r="P64" s="296">
        <v>7702443.6899999995</v>
      </c>
      <c r="Q64" s="296">
        <v>43159105.600000001</v>
      </c>
      <c r="R64" s="296">
        <v>639238638.06000006</v>
      </c>
    </row>
    <row r="66" spans="1:18" x14ac:dyDescent="0.25">
      <c r="A66" s="301" t="s">
        <v>1331</v>
      </c>
      <c r="B66" s="298" t="s">
        <v>1332</v>
      </c>
      <c r="C66" s="296">
        <f>+C59-C64</f>
        <v>0</v>
      </c>
      <c r="D66" s="296">
        <f t="shared" ref="D66:R66" si="0">+D59-D64</f>
        <v>0</v>
      </c>
      <c r="E66" s="296">
        <f t="shared" si="0"/>
        <v>0</v>
      </c>
      <c r="F66" s="296">
        <f t="shared" si="0"/>
        <v>0</v>
      </c>
      <c r="G66" s="296">
        <f t="shared" si="0"/>
        <v>0</v>
      </c>
      <c r="H66" s="296">
        <f t="shared" si="0"/>
        <v>0</v>
      </c>
      <c r="I66" s="296">
        <f t="shared" si="0"/>
        <v>0</v>
      </c>
      <c r="J66" s="296">
        <f t="shared" si="0"/>
        <v>2.349168062210083E-3</v>
      </c>
      <c r="K66" s="296">
        <f t="shared" si="0"/>
        <v>0</v>
      </c>
      <c r="L66" s="296">
        <f t="shared" si="0"/>
        <v>0</v>
      </c>
      <c r="M66" s="296">
        <f t="shared" si="0"/>
        <v>0</v>
      </c>
      <c r="N66" s="296">
        <f t="shared" si="0"/>
        <v>0</v>
      </c>
      <c r="O66" s="296">
        <f t="shared" si="0"/>
        <v>0</v>
      </c>
      <c r="P66" s="296">
        <f t="shared" si="0"/>
        <v>0</v>
      </c>
      <c r="Q66" s="296">
        <f t="shared" si="0"/>
        <v>0</v>
      </c>
      <c r="R66" s="296">
        <f t="shared" si="0"/>
        <v>2.3492574691772461E-3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3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St.Joseph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H-032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1717 South J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1717 South J Street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Tacoma, WA 98401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06/30/2018</v>
      </c>
      <c r="C4" s="38"/>
      <c r="D4" s="120"/>
      <c r="E4" s="70"/>
      <c r="F4" s="127" t="str">
        <f>"License Number:  "&amp;"H-"&amp;FIXED(data!C83,0)</f>
        <v>License Number:  H-32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St.Joseph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Pierce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Ketul Patel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Mike Fitzgerald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Roy Brooks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253-426-4101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253-426-4101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19956</v>
      </c>
      <c r="G23" s="21">
        <f>data!D111</f>
        <v>110758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4415</v>
      </c>
      <c r="G26" s="13">
        <f>data!D114</f>
        <v>10888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40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35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186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23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33</v>
      </c>
      <c r="E34" s="49" t="s">
        <v>291</v>
      </c>
      <c r="F34" s="24"/>
      <c r="G34" s="21">
        <f>data!E127</f>
        <v>366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26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23</v>
      </c>
      <c r="E36" s="49" t="s">
        <v>292</v>
      </c>
      <c r="F36" s="24"/>
      <c r="G36" s="21">
        <f>data!C128</f>
        <v>366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35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St.Joseph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8318</v>
      </c>
      <c r="C7" s="48">
        <f>data!B139</f>
        <v>55821</v>
      </c>
      <c r="D7" s="48">
        <f>data!B140</f>
        <v>0</v>
      </c>
      <c r="E7" s="48">
        <f>data!B141</f>
        <v>839598453</v>
      </c>
      <c r="F7" s="48">
        <f>data!B142</f>
        <v>462265557</v>
      </c>
      <c r="G7" s="48">
        <f>data!B141+data!B142</f>
        <v>1301864010</v>
      </c>
    </row>
    <row r="8" spans="1:13" ht="20.100000000000001" customHeight="1" x14ac:dyDescent="0.25">
      <c r="A8" s="23" t="s">
        <v>297</v>
      </c>
      <c r="B8" s="48">
        <f>data!C138</f>
        <v>4938</v>
      </c>
      <c r="C8" s="48">
        <f>data!C139</f>
        <v>27760</v>
      </c>
      <c r="D8" s="48">
        <f>data!C140</f>
        <v>0</v>
      </c>
      <c r="E8" s="48">
        <f>data!C141</f>
        <v>391494020</v>
      </c>
      <c r="F8" s="48">
        <f>data!C142</f>
        <v>229380065</v>
      </c>
      <c r="G8" s="48">
        <f>data!C141+data!C142</f>
        <v>620874085</v>
      </c>
    </row>
    <row r="9" spans="1:13" ht="20.100000000000001" customHeight="1" x14ac:dyDescent="0.25">
      <c r="A9" s="23" t="s">
        <v>1058</v>
      </c>
      <c r="B9" s="48">
        <f>data!D138</f>
        <v>6700</v>
      </c>
      <c r="C9" s="48">
        <f>data!D139</f>
        <v>27177</v>
      </c>
      <c r="D9" s="48">
        <f>data!D140</f>
        <v>0</v>
      </c>
      <c r="E9" s="48">
        <f>data!D141</f>
        <v>488994102</v>
      </c>
      <c r="F9" s="48">
        <f>data!D142</f>
        <v>418446160</v>
      </c>
      <c r="G9" s="48">
        <f>data!D141+data!D142</f>
        <v>907440262</v>
      </c>
    </row>
    <row r="10" spans="1:13" ht="20.100000000000001" customHeight="1" x14ac:dyDescent="0.25">
      <c r="A10" s="111" t="s">
        <v>203</v>
      </c>
      <c r="B10" s="48">
        <f>data!E138</f>
        <v>19956</v>
      </c>
      <c r="C10" s="48">
        <f>data!E139</f>
        <v>110758</v>
      </c>
      <c r="D10" s="48">
        <f>data!E140</f>
        <v>0</v>
      </c>
      <c r="E10" s="48">
        <f>data!E141</f>
        <v>1720086575</v>
      </c>
      <c r="F10" s="48">
        <f>data!E142</f>
        <v>1110091782</v>
      </c>
      <c r="G10" s="48">
        <f>data!E141+data!E142</f>
        <v>2830178357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St.Joseph Medical Center</v>
      </c>
      <c r="B3" s="30"/>
      <c r="C3" s="31" t="str">
        <f>"FYE: "&amp;data!C82</f>
        <v>FYE: 06/30/2018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14498940.550000001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655974.79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2937393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26481581.260000002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107358.54999999993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9761814.0399999991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456680.49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247285.71000000089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55147028.390000001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5541373.8499999996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3227741.44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8769115.2899999991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4341636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812254.09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5153890.09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145587.01999999999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27477069.989999998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27622657.009999998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255133.4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255133.4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St.Joseph Medical Center</v>
      </c>
      <c r="B3" s="8"/>
      <c r="C3" s="8"/>
      <c r="E3" s="11"/>
      <c r="F3" s="12" t="str">
        <f>" FYE: "&amp;data!C82</f>
        <v xml:space="preserve"> FYE: 06/30/2018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7877315</v>
      </c>
      <c r="D7" s="21">
        <f>data!C195</f>
        <v>0</v>
      </c>
      <c r="E7" s="21">
        <f>data!D195</f>
        <v>0</v>
      </c>
      <c r="F7" s="21">
        <f>data!E195</f>
        <v>7877315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4412190</v>
      </c>
      <c r="D8" s="21">
        <f>data!C196</f>
        <v>0</v>
      </c>
      <c r="E8" s="21">
        <f>data!D196</f>
        <v>0</v>
      </c>
      <c r="F8" s="21">
        <f>data!E196</f>
        <v>4412190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170461210.50999999</v>
      </c>
      <c r="D9" s="21">
        <f>data!C197</f>
        <v>6130186.5700000003</v>
      </c>
      <c r="E9" s="21">
        <f>data!D197</f>
        <v>0</v>
      </c>
      <c r="F9" s="21">
        <f>data!E197</f>
        <v>176591397.07999998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72677417.920000002</v>
      </c>
      <c r="D11" s="21">
        <f>data!C199</f>
        <v>6086661.4199999999</v>
      </c>
      <c r="E11" s="21">
        <f>data!D199</f>
        <v>742975.02</v>
      </c>
      <c r="F11" s="21">
        <f>data!E199</f>
        <v>78021104.320000008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230500672.39999998</v>
      </c>
      <c r="D12" s="21">
        <f>data!C200</f>
        <v>22715011.729999997</v>
      </c>
      <c r="E12" s="21">
        <f>data!D200</f>
        <v>58169.520000000019</v>
      </c>
      <c r="F12" s="21">
        <f>data!E200</f>
        <v>253157514.60999995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26048309.020000003</v>
      </c>
      <c r="D14" s="21">
        <f>data!C202</f>
        <v>7696984.3699999992</v>
      </c>
      <c r="E14" s="21">
        <f>data!D202</f>
        <v>0</v>
      </c>
      <c r="F14" s="21">
        <f>data!E202</f>
        <v>33745293.390000001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11342590.23</v>
      </c>
      <c r="D15" s="21">
        <f>data!C203</f>
        <v>48726746.770000003</v>
      </c>
      <c r="E15" s="21">
        <f>data!D203</f>
        <v>42114457.590000004</v>
      </c>
      <c r="F15" s="21">
        <f>data!E203</f>
        <v>17954879.409999996</v>
      </c>
      <c r="M15" s="268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523319705.07999998</v>
      </c>
      <c r="D16" s="21">
        <f>data!C204</f>
        <v>91355590.859999999</v>
      </c>
      <c r="E16" s="21">
        <f>data!D204</f>
        <v>42915602.130000003</v>
      </c>
      <c r="F16" s="21">
        <f>data!E204</f>
        <v>571759693.80999994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3171543.5399999996</v>
      </c>
      <c r="D24" s="21">
        <f>data!C209</f>
        <v>169315.56</v>
      </c>
      <c r="E24" s="21">
        <f>data!D209</f>
        <v>0</v>
      </c>
      <c r="F24" s="21">
        <f>data!E209</f>
        <v>3340859.0999999996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77975705.25</v>
      </c>
      <c r="D25" s="21">
        <f>data!C210</f>
        <v>5314818.7200000007</v>
      </c>
      <c r="E25" s="21">
        <f>data!D210</f>
        <v>-66735.97</v>
      </c>
      <c r="F25" s="21">
        <f>data!E210</f>
        <v>83357259.939999998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3770132.8000000007</v>
      </c>
      <c r="D26" s="21">
        <f>data!C211</f>
        <v>0</v>
      </c>
      <c r="E26" s="21">
        <f>data!D211</f>
        <v>0</v>
      </c>
      <c r="F26" s="21">
        <f>data!E211</f>
        <v>3770132.8000000007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61630978.329999998</v>
      </c>
      <c r="D27" s="21">
        <f>data!C212</f>
        <v>1282773.8500000001</v>
      </c>
      <c r="E27" s="21">
        <f>data!D212</f>
        <v>11360.750000000002</v>
      </c>
      <c r="F27" s="21">
        <f>data!E212</f>
        <v>62902391.43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171580698.22999996</v>
      </c>
      <c r="D28" s="21">
        <f>data!C213</f>
        <v>16905415.43</v>
      </c>
      <c r="E28" s="21">
        <f>data!D213</f>
        <v>-561570.87999999989</v>
      </c>
      <c r="F28" s="21">
        <f>data!E213</f>
        <v>189047684.53999996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9323053.5729546007</v>
      </c>
      <c r="D30" s="21">
        <f>data!C215</f>
        <v>2070378.18</v>
      </c>
      <c r="E30" s="21">
        <f>data!D215</f>
        <v>1354.7200000000012</v>
      </c>
      <c r="F30" s="21">
        <f>data!E215</f>
        <v>11392077.0329546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327452111.72295457</v>
      </c>
      <c r="D32" s="21">
        <f>data!C217</f>
        <v>25742701.740000002</v>
      </c>
      <c r="E32" s="21">
        <f>data!D217</f>
        <v>-615591.37999999989</v>
      </c>
      <c r="F32" s="21">
        <f>data!E217</f>
        <v>353810404.84295452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St.Joseph Medical Center</v>
      </c>
      <c r="B2" s="30"/>
      <c r="C2" s="30"/>
      <c r="D2" s="31" t="str">
        <f>"FYE: "&amp;data!C82</f>
        <v>FYE: 06/30/2018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5300584.28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1042168362.8400002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533666319.17000002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92021521.829999998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383088072.80999982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35983847.410000004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2086928124.0600002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10134</v>
      </c>
      <c r="M16" s="268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17658278.579999998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14800396.610000003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32458675.190000001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3">
        <v>20</v>
      </c>
      <c r="B24" s="55">
        <v>5970</v>
      </c>
      <c r="C24" s="14" t="s">
        <v>357</v>
      </c>
      <c r="D24" s="14">
        <f>data!C238</f>
        <v>13706149.180000002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2138393532.7100003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St.Joseph Medical Center</v>
      </c>
      <c r="B3" s="30"/>
      <c r="C3" s="31" t="str">
        <f>" FYE: "&amp;data!C82</f>
        <v xml:space="preserve"> FYE: 06/30/2018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54008395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401428577.23000002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306276904.12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21747914.940000001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15532003.699999999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617650.30000000005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8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187057637.05000001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7877314.96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4412190.25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176591397.07999998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78021103.969999999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253157514.61000001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33745293.340000004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17954880.239999998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571759694.45000005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353810405.16000003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217949289.29000002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84871913.569999993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1241565.2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86113478.769999996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491120405.11000001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St.Joseph Medical Center</v>
      </c>
      <c r="B55" s="30"/>
      <c r="C55" s="31" t="str">
        <f>"FYE: "&amp;data!C82</f>
        <v>FYE: 06/30/2018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10547057.119999999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23156488.5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47163723.68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4617459.5999999996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46026577.210000001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2025678.77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133536984.87999998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5832982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4935092.9000000004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10768074.9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2025678.77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8742396.1300000008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348841024.04000002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348841024.04000002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491120405.05000001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St.Joseph Medical Center</v>
      </c>
      <c r="B107" s="30"/>
      <c r="C107" s="31" t="str">
        <f>" FYE: "&amp;data!C82</f>
        <v xml:space="preserve"> FYE: 06/30/2018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1720086575.4100001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1110091781.3699999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2830178356.7799997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2" t="s">
        <v>450</v>
      </c>
      <c r="C115" s="48">
        <f>data!C363</f>
        <v>5300584.28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2086928124.0599999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32458675.190000001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13706149.180000002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2138393532.71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691784824.06999969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25035967.309999999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25035967.309999999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716820791.37999964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202320421.92999998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55147027.710000001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25913592.530000001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105118212.06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4016111.89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170309156.61000001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25742702.100000001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8769115.2899999991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5153890.09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27622657.009999998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255133.4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10127424.720000029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640495445.34000003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76325346.039999604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7702443.6900000004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84027789.729999602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84027789.729999602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data</vt:lpstr>
      <vt:lpstr>SJ 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St. Joseph Medical Center Year End Report</dc:title>
  <dc:subject>2018 St. Joseph Medical Center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2018-11-07T19:25:50Z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