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J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data!$DR$823:$DR$868</definedName>
    <definedName name="Costcenter" localSheetId="10">'Prior Year'!#REF!</definedName>
    <definedName name="Costcenter">data!#REF!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data!#REF!</definedName>
    <definedName name="Hospital" localSheetId="10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3" i="1" l="1"/>
  <c r="E79" i="1" l="1"/>
  <c r="C180" i="1" l="1"/>
  <c r="C179" i="1"/>
  <c r="C203" i="1" l="1"/>
  <c r="C199" i="1"/>
  <c r="D202" i="1"/>
  <c r="C200" i="1"/>
  <c r="D200" i="1"/>
  <c r="C184" i="1" l="1"/>
  <c r="C332" i="1"/>
  <c r="B197" i="1"/>
  <c r="B195" i="1"/>
  <c r="C269" i="1" l="1"/>
  <c r="C267" i="1"/>
  <c r="C172" i="1" l="1"/>
  <c r="C170" i="1"/>
  <c r="C169" i="1"/>
  <c r="C168" i="1"/>
  <c r="C167" i="1"/>
  <c r="C166" i="1"/>
  <c r="AJ80" i="1" l="1"/>
  <c r="J64" i="11" l="1"/>
  <c r="CD69" i="1" l="1"/>
  <c r="O64" i="11"/>
  <c r="B51" i="1" s="1"/>
  <c r="D213" i="1" l="1"/>
  <c r="C213" i="1"/>
  <c r="C276" i="1" l="1"/>
  <c r="C370" i="1" l="1"/>
  <c r="C365" i="1" l="1"/>
  <c r="C215" i="1"/>
  <c r="B215" i="1"/>
  <c r="B213" i="1"/>
  <c r="B212" i="1"/>
  <c r="B210" i="1"/>
  <c r="B209" i="1"/>
  <c r="C212" i="1" l="1"/>
  <c r="C210" i="1"/>
  <c r="C202" i="1"/>
  <c r="C197" i="1"/>
  <c r="B200" i="1"/>
  <c r="B199" i="1"/>
  <c r="B203" i="1"/>
  <c r="B202" i="1"/>
  <c r="C307" i="1" l="1"/>
  <c r="C306" i="1"/>
  <c r="C305" i="1"/>
  <c r="C282" i="1"/>
  <c r="C258" i="1"/>
  <c r="C257" i="1"/>
  <c r="C255" i="1"/>
  <c r="C253" i="1"/>
  <c r="C252" i="1"/>
  <c r="C250" i="1"/>
  <c r="AJ60" i="1" l="1"/>
  <c r="C171" i="1" l="1"/>
  <c r="C165" i="1"/>
  <c r="O57" i="11" l="1"/>
  <c r="C209" i="1" l="1"/>
  <c r="D142" i="1" l="1"/>
  <c r="C142" i="1"/>
  <c r="B142" i="1"/>
  <c r="C387" i="1"/>
  <c r="C183" i="1"/>
  <c r="O66" i="11"/>
  <c r="J66" i="11"/>
  <c r="H66" i="11"/>
  <c r="C383" i="1"/>
  <c r="C234" i="1" l="1"/>
  <c r="C238" i="1"/>
  <c r="C228" i="1" l="1"/>
  <c r="C227" i="1" s="1"/>
  <c r="C226" i="1"/>
  <c r="C224" i="1"/>
  <c r="C223" i="1"/>
  <c r="C176" i="1"/>
  <c r="C175" i="1"/>
  <c r="C59" i="1" l="1"/>
  <c r="R66" i="11" l="1"/>
  <c r="Q66" i="11"/>
  <c r="Q64" i="11"/>
  <c r="Q57" i="11"/>
  <c r="Q68" i="11" l="1"/>
  <c r="J68" i="11"/>
  <c r="Q74" i="11"/>
  <c r="Q75" i="11" s="1"/>
  <c r="R64" i="11"/>
  <c r="R57" i="11"/>
  <c r="R70" i="11" l="1"/>
  <c r="R71" i="11" s="1"/>
  <c r="R68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" i="11"/>
  <c r="U58" i="11"/>
  <c r="U59" i="11"/>
  <c r="U60" i="11"/>
  <c r="U61" i="11"/>
  <c r="U62" i="11"/>
  <c r="U63" i="11"/>
  <c r="U64" i="11"/>
  <c r="CB79" i="1" l="1"/>
  <c r="CA79" i="1"/>
  <c r="BZ79" i="1"/>
  <c r="BY79" i="1"/>
  <c r="BX79" i="1"/>
  <c r="BW79" i="1"/>
  <c r="BV79" i="1"/>
  <c r="BU79" i="1"/>
  <c r="BT79" i="1"/>
  <c r="BS79" i="1"/>
  <c r="BM79" i="1"/>
  <c r="BL79" i="1"/>
  <c r="BK79" i="1"/>
  <c r="BI79" i="1"/>
  <c r="BH79" i="1"/>
  <c r="E77" i="1" l="1"/>
  <c r="T77" i="1"/>
  <c r="C392" i="1" l="1"/>
  <c r="C385" i="1"/>
  <c r="M66" i="11" s="1"/>
  <c r="C386" i="1"/>
  <c r="C382" i="1"/>
  <c r="L66" i="11" s="1"/>
  <c r="C381" i="1"/>
  <c r="N66" i="11" s="1"/>
  <c r="C388" i="1"/>
  <c r="C380" i="1"/>
  <c r="K66" i="11" s="1"/>
  <c r="C379" i="1"/>
  <c r="I66" i="11" s="1"/>
  <c r="C363" i="1"/>
  <c r="C360" i="1"/>
  <c r="C281" i="1" l="1"/>
  <c r="C366" i="1" l="1"/>
  <c r="C364" i="1" s="1"/>
  <c r="D141" i="1" l="1"/>
  <c r="D139" i="1" l="1"/>
  <c r="D138" i="1"/>
  <c r="C139" i="1" l="1"/>
  <c r="C138" i="1"/>
  <c r="B139" i="1"/>
  <c r="B138" i="1"/>
  <c r="B47" i="1" l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64" i="11"/>
  <c r="A4" i="11"/>
  <c r="CC51" i="1" l="1"/>
  <c r="C51" i="1"/>
  <c r="C47" i="1"/>
  <c r="C74" i="1"/>
  <c r="C73" i="1"/>
  <c r="C68" i="1"/>
  <c r="C70" i="1"/>
  <c r="AV63" i="1"/>
  <c r="AV74" i="1"/>
  <c r="AT74" i="1"/>
  <c r="AR74" i="1"/>
  <c r="AP74" i="1"/>
  <c r="AN74" i="1"/>
  <c r="AL74" i="1"/>
  <c r="AJ74" i="1"/>
  <c r="AH74" i="1"/>
  <c r="AF74" i="1"/>
  <c r="AD74" i="1"/>
  <c r="AB74" i="1"/>
  <c r="Z74" i="1"/>
  <c r="X74" i="1"/>
  <c r="V74" i="1"/>
  <c r="T74" i="1"/>
  <c r="R74" i="1"/>
  <c r="P74" i="1"/>
  <c r="N74" i="1"/>
  <c r="L74" i="1"/>
  <c r="J74" i="1"/>
  <c r="H74" i="1"/>
  <c r="F74" i="1"/>
  <c r="D74" i="1"/>
  <c r="AV73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AM73" i="1"/>
  <c r="AO73" i="1"/>
  <c r="AQ73" i="1"/>
  <c r="AS73" i="1"/>
  <c r="AU73" i="1"/>
  <c r="AF73" i="1"/>
  <c r="AJ73" i="1"/>
  <c r="AN73" i="1"/>
  <c r="AR73" i="1"/>
  <c r="AU74" i="1"/>
  <c r="AS74" i="1"/>
  <c r="AQ74" i="1"/>
  <c r="AO74" i="1"/>
  <c r="AM74" i="1"/>
  <c r="AK74" i="1"/>
  <c r="AI74" i="1"/>
  <c r="AG74" i="1"/>
  <c r="AE74" i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D73" i="1"/>
  <c r="F73" i="1"/>
  <c r="H73" i="1"/>
  <c r="J73" i="1"/>
  <c r="L73" i="1"/>
  <c r="N73" i="1"/>
  <c r="P73" i="1"/>
  <c r="R73" i="1"/>
  <c r="T73" i="1"/>
  <c r="V73" i="1"/>
  <c r="X73" i="1"/>
  <c r="Z73" i="1"/>
  <c r="AB73" i="1"/>
  <c r="AD73" i="1"/>
  <c r="AH73" i="1"/>
  <c r="AL73" i="1"/>
  <c r="AP73" i="1"/>
  <c r="AT73" i="1"/>
  <c r="AV70" i="1"/>
  <c r="CC70" i="1"/>
  <c r="CA70" i="1"/>
  <c r="BY70" i="1"/>
  <c r="BW70" i="1"/>
  <c r="BU70" i="1"/>
  <c r="BS70" i="1"/>
  <c r="BQ70" i="1"/>
  <c r="BO70" i="1"/>
  <c r="BM70" i="1"/>
  <c r="BK70" i="1"/>
  <c r="BI70" i="1"/>
  <c r="BG70" i="1"/>
  <c r="BE70" i="1"/>
  <c r="BC70" i="1"/>
  <c r="BA70" i="1"/>
  <c r="AY70" i="1"/>
  <c r="AW70" i="1"/>
  <c r="AT70" i="1"/>
  <c r="AR70" i="1"/>
  <c r="AP70" i="1"/>
  <c r="AN70" i="1"/>
  <c r="AL70" i="1"/>
  <c r="AJ70" i="1"/>
  <c r="AH70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F70" i="1"/>
  <c r="D70" i="1"/>
  <c r="AV68" i="1"/>
  <c r="CB68" i="1"/>
  <c r="BZ68" i="1"/>
  <c r="BX68" i="1"/>
  <c r="BV68" i="1"/>
  <c r="CD70" i="1"/>
  <c r="CB70" i="1"/>
  <c r="BZ70" i="1"/>
  <c r="BX70" i="1"/>
  <c r="BV70" i="1"/>
  <c r="BT70" i="1"/>
  <c r="BR70" i="1"/>
  <c r="BP70" i="1"/>
  <c r="BN70" i="1"/>
  <c r="BL70" i="1"/>
  <c r="BJ70" i="1"/>
  <c r="BH70" i="1"/>
  <c r="BF70" i="1"/>
  <c r="BD70" i="1"/>
  <c r="BB70" i="1"/>
  <c r="AZ70" i="1"/>
  <c r="AX70" i="1"/>
  <c r="AU70" i="1"/>
  <c r="AS70" i="1"/>
  <c r="AQ70" i="1"/>
  <c r="AO70" i="1"/>
  <c r="AM70" i="1"/>
  <c r="AK70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G70" i="1"/>
  <c r="E70" i="1"/>
  <c r="CC68" i="1"/>
  <c r="CA68" i="1"/>
  <c r="BY68" i="1"/>
  <c r="BW68" i="1"/>
  <c r="BT68" i="1"/>
  <c r="BR68" i="1"/>
  <c r="BP68" i="1"/>
  <c r="BN68" i="1"/>
  <c r="BL68" i="1"/>
  <c r="BJ68" i="1"/>
  <c r="BH68" i="1"/>
  <c r="BF68" i="1"/>
  <c r="BD68" i="1"/>
  <c r="BB68" i="1"/>
  <c r="AZ68" i="1"/>
  <c r="AX68" i="1"/>
  <c r="AU68" i="1"/>
  <c r="AS68" i="1"/>
  <c r="AQ68" i="1"/>
  <c r="AO68" i="1"/>
  <c r="AM68" i="1"/>
  <c r="AK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I68" i="1"/>
  <c r="G68" i="1"/>
  <c r="E68" i="1"/>
  <c r="CB66" i="1"/>
  <c r="BZ66" i="1"/>
  <c r="BX66" i="1"/>
  <c r="BV66" i="1"/>
  <c r="BT66" i="1"/>
  <c r="BR66" i="1"/>
  <c r="BP66" i="1"/>
  <c r="BN66" i="1"/>
  <c r="BL66" i="1"/>
  <c r="BJ66" i="1"/>
  <c r="BH66" i="1"/>
  <c r="BF66" i="1"/>
  <c r="BD66" i="1"/>
  <c r="BB66" i="1"/>
  <c r="AZ66" i="1"/>
  <c r="AX66" i="1"/>
  <c r="AV66" i="1"/>
  <c r="AT66" i="1"/>
  <c r="AR66" i="1"/>
  <c r="AP66" i="1"/>
  <c r="AN66" i="1"/>
  <c r="AL66" i="1"/>
  <c r="AJ66" i="1"/>
  <c r="AH66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F66" i="1"/>
  <c r="D66" i="1"/>
  <c r="BU68" i="1"/>
  <c r="BS68" i="1"/>
  <c r="BQ68" i="1"/>
  <c r="BO68" i="1"/>
  <c r="BM68" i="1"/>
  <c r="BK68" i="1"/>
  <c r="BI68" i="1"/>
  <c r="BG68" i="1"/>
  <c r="BE68" i="1"/>
  <c r="BC68" i="1"/>
  <c r="BA68" i="1"/>
  <c r="AY68" i="1"/>
  <c r="AW68" i="1"/>
  <c r="AT68" i="1"/>
  <c r="AR68" i="1"/>
  <c r="AP68" i="1"/>
  <c r="AN68" i="1"/>
  <c r="AL68" i="1"/>
  <c r="AJ68" i="1"/>
  <c r="AH68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F68" i="1"/>
  <c r="D68" i="1"/>
  <c r="CC66" i="1"/>
  <c r="CA66" i="1"/>
  <c r="BY66" i="1"/>
  <c r="BW66" i="1"/>
  <c r="BU66" i="1"/>
  <c r="BS66" i="1"/>
  <c r="BQ66" i="1"/>
  <c r="BO66" i="1"/>
  <c r="BM66" i="1"/>
  <c r="BK66" i="1"/>
  <c r="BI66" i="1"/>
  <c r="BG66" i="1"/>
  <c r="BE66" i="1"/>
  <c r="BC66" i="1"/>
  <c r="BA66" i="1"/>
  <c r="AY66" i="1"/>
  <c r="AW66" i="1"/>
  <c r="AU66" i="1"/>
  <c r="AS66" i="1"/>
  <c r="AQ66" i="1"/>
  <c r="AO66" i="1"/>
  <c r="AM66" i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E66" i="1"/>
  <c r="C66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C65" i="1"/>
  <c r="AV64" i="1"/>
  <c r="CB65" i="1"/>
  <c r="BZ65" i="1"/>
  <c r="BX65" i="1"/>
  <c r="BV65" i="1"/>
  <c r="BT65" i="1"/>
  <c r="BR65" i="1"/>
  <c r="BP65" i="1"/>
  <c r="BN65" i="1"/>
  <c r="BL65" i="1"/>
  <c r="BJ65" i="1"/>
  <c r="BH65" i="1"/>
  <c r="BF65" i="1"/>
  <c r="BD65" i="1"/>
  <c r="BB65" i="1"/>
  <c r="AZ65" i="1"/>
  <c r="AX65" i="1"/>
  <c r="AV65" i="1"/>
  <c r="AT65" i="1"/>
  <c r="AR65" i="1"/>
  <c r="AP65" i="1"/>
  <c r="AN65" i="1"/>
  <c r="AL65" i="1"/>
  <c r="AJ65" i="1"/>
  <c r="AH65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F65" i="1"/>
  <c r="D65" i="1"/>
  <c r="CC64" i="1"/>
  <c r="CA64" i="1"/>
  <c r="BY64" i="1"/>
  <c r="BW64" i="1"/>
  <c r="BU64" i="1"/>
  <c r="BS64" i="1"/>
  <c r="BQ64" i="1"/>
  <c r="BO64" i="1"/>
  <c r="BM64" i="1"/>
  <c r="BK64" i="1"/>
  <c r="BI64" i="1"/>
  <c r="BG64" i="1"/>
  <c r="BE64" i="1"/>
  <c r="BC64" i="1"/>
  <c r="BA64" i="1"/>
  <c r="AY64" i="1"/>
  <c r="AW64" i="1"/>
  <c r="AU64" i="1"/>
  <c r="AS64" i="1"/>
  <c r="AQ64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C64" i="1"/>
  <c r="D63" i="1"/>
  <c r="F63" i="1"/>
  <c r="H63" i="1"/>
  <c r="J63" i="1"/>
  <c r="L63" i="1"/>
  <c r="N63" i="1"/>
  <c r="P63" i="1"/>
  <c r="R63" i="1"/>
  <c r="T63" i="1"/>
  <c r="V63" i="1"/>
  <c r="X63" i="1"/>
  <c r="Z63" i="1"/>
  <c r="AB63" i="1"/>
  <c r="AD63" i="1"/>
  <c r="AF63" i="1"/>
  <c r="AH63" i="1"/>
  <c r="AJ63" i="1"/>
  <c r="AL63" i="1"/>
  <c r="AN63" i="1"/>
  <c r="AP63" i="1"/>
  <c r="AR63" i="1"/>
  <c r="AT63" i="1"/>
  <c r="AW63" i="1"/>
  <c r="AY63" i="1"/>
  <c r="BA63" i="1"/>
  <c r="BC63" i="1"/>
  <c r="BE63" i="1"/>
  <c r="BG63" i="1"/>
  <c r="BI63" i="1"/>
  <c r="BK63" i="1"/>
  <c r="BM63" i="1"/>
  <c r="BO63" i="1"/>
  <c r="BQ63" i="1"/>
  <c r="BS63" i="1"/>
  <c r="BU63" i="1"/>
  <c r="BW63" i="1"/>
  <c r="BY63" i="1"/>
  <c r="CA63" i="1"/>
  <c r="CC63" i="1"/>
  <c r="CA61" i="1"/>
  <c r="BY61" i="1"/>
  <c r="BW61" i="1"/>
  <c r="BU61" i="1"/>
  <c r="BS61" i="1"/>
  <c r="CB64" i="1"/>
  <c r="BX64" i="1"/>
  <c r="BT64" i="1"/>
  <c r="BP64" i="1"/>
  <c r="BL64" i="1"/>
  <c r="BH64" i="1"/>
  <c r="BD64" i="1"/>
  <c r="AZ64" i="1"/>
  <c r="AR64" i="1"/>
  <c r="AN64" i="1"/>
  <c r="AJ64" i="1"/>
  <c r="AF64" i="1"/>
  <c r="AB64" i="1"/>
  <c r="X64" i="1"/>
  <c r="T64" i="1"/>
  <c r="P64" i="1"/>
  <c r="L64" i="1"/>
  <c r="H64" i="1"/>
  <c r="D64" i="1"/>
  <c r="G63" i="1"/>
  <c r="K63" i="1"/>
  <c r="O63" i="1"/>
  <c r="S63" i="1"/>
  <c r="W63" i="1"/>
  <c r="AA63" i="1"/>
  <c r="AE63" i="1"/>
  <c r="AI63" i="1"/>
  <c r="AM63" i="1"/>
  <c r="AQ63" i="1"/>
  <c r="AU63" i="1"/>
  <c r="AZ63" i="1"/>
  <c r="BD63" i="1"/>
  <c r="BH63" i="1"/>
  <c r="BL63" i="1"/>
  <c r="BP63" i="1"/>
  <c r="BT63" i="1"/>
  <c r="BX63" i="1"/>
  <c r="CB63" i="1"/>
  <c r="BZ61" i="1"/>
  <c r="BV61" i="1"/>
  <c r="BR61" i="1"/>
  <c r="BP61" i="1"/>
  <c r="BN61" i="1"/>
  <c r="BL61" i="1"/>
  <c r="BJ61" i="1"/>
  <c r="BH61" i="1"/>
  <c r="BF61" i="1"/>
  <c r="BD61" i="1"/>
  <c r="BB61" i="1"/>
  <c r="AZ61" i="1"/>
  <c r="AX61" i="1"/>
  <c r="AV61" i="1"/>
  <c r="AT61" i="1"/>
  <c r="AR61" i="1"/>
  <c r="AP61" i="1"/>
  <c r="AN61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F61" i="1"/>
  <c r="D61" i="1"/>
  <c r="BZ64" i="1"/>
  <c r="BV64" i="1"/>
  <c r="BR64" i="1"/>
  <c r="BN64" i="1"/>
  <c r="BJ64" i="1"/>
  <c r="BF64" i="1"/>
  <c r="BB64" i="1"/>
  <c r="AX64" i="1"/>
  <c r="AT64" i="1"/>
  <c r="AP64" i="1"/>
  <c r="AL64" i="1"/>
  <c r="AH64" i="1"/>
  <c r="AD64" i="1"/>
  <c r="Z64" i="1"/>
  <c r="V64" i="1"/>
  <c r="R64" i="1"/>
  <c r="N64" i="1"/>
  <c r="J64" i="1"/>
  <c r="F64" i="1"/>
  <c r="E63" i="1"/>
  <c r="I63" i="1"/>
  <c r="M63" i="1"/>
  <c r="Q63" i="1"/>
  <c r="U63" i="1"/>
  <c r="Y63" i="1"/>
  <c r="AC63" i="1"/>
  <c r="AG63" i="1"/>
  <c r="AK63" i="1"/>
  <c r="AO63" i="1"/>
  <c r="AS63" i="1"/>
  <c r="AX63" i="1"/>
  <c r="BB63" i="1"/>
  <c r="BF63" i="1"/>
  <c r="BJ63" i="1"/>
  <c r="BN63" i="1"/>
  <c r="BR63" i="1"/>
  <c r="BV63" i="1"/>
  <c r="BZ63" i="1"/>
  <c r="C63" i="1"/>
  <c r="CC61" i="1"/>
  <c r="CB61" i="1"/>
  <c r="BX61" i="1"/>
  <c r="BT61" i="1"/>
  <c r="BQ61" i="1"/>
  <c r="BO61" i="1"/>
  <c r="BM61" i="1"/>
  <c r="BK61" i="1"/>
  <c r="BI61" i="1"/>
  <c r="BG61" i="1"/>
  <c r="BE61" i="1"/>
  <c r="BC61" i="1"/>
  <c r="BA61" i="1"/>
  <c r="AY61" i="1"/>
  <c r="AW61" i="1"/>
  <c r="AU61" i="1"/>
  <c r="AS61" i="1"/>
  <c r="AQ61" i="1"/>
  <c r="AO61" i="1"/>
  <c r="AM61" i="1"/>
  <c r="AK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C61" i="1"/>
  <c r="CA51" i="1"/>
  <c r="BY51" i="1"/>
  <c r="BW51" i="1"/>
  <c r="BU51" i="1"/>
  <c r="BS51" i="1"/>
  <c r="BQ51" i="1"/>
  <c r="BO51" i="1"/>
  <c r="BM51" i="1"/>
  <c r="BK51" i="1"/>
  <c r="BI51" i="1"/>
  <c r="BG51" i="1"/>
  <c r="BE51" i="1"/>
  <c r="BC51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CC47" i="1"/>
  <c r="CA47" i="1"/>
  <c r="BY47" i="1"/>
  <c r="BW47" i="1"/>
  <c r="BU47" i="1"/>
  <c r="BS47" i="1"/>
  <c r="BQ47" i="1"/>
  <c r="BO47" i="1"/>
  <c r="BM47" i="1"/>
  <c r="BK47" i="1"/>
  <c r="BI47" i="1"/>
  <c r="BG47" i="1"/>
  <c r="BE47" i="1"/>
  <c r="BC47" i="1"/>
  <c r="BA47" i="1"/>
  <c r="AY47" i="1"/>
  <c r="AW47" i="1"/>
  <c r="AU47" i="1"/>
  <c r="AS47" i="1"/>
  <c r="AQ47" i="1"/>
  <c r="AO47" i="1"/>
  <c r="AM47" i="1"/>
  <c r="AK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CB51" i="1"/>
  <c r="BZ51" i="1"/>
  <c r="BX51" i="1"/>
  <c r="BV51" i="1"/>
  <c r="BT51" i="1"/>
  <c r="BR51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D51" i="1"/>
  <c r="CB47" i="1"/>
  <c r="BZ47" i="1"/>
  <c r="BX47" i="1"/>
  <c r="BV47" i="1"/>
  <c r="BT47" i="1"/>
  <c r="BR47" i="1"/>
  <c r="BP47" i="1"/>
  <c r="BN47" i="1"/>
  <c r="BL47" i="1"/>
  <c r="BJ47" i="1"/>
  <c r="BH47" i="1"/>
  <c r="BF47" i="1"/>
  <c r="BD47" i="1"/>
  <c r="BB47" i="1"/>
  <c r="AZ47" i="1"/>
  <c r="AX47" i="1"/>
  <c r="AV47" i="1"/>
  <c r="AT47" i="1"/>
  <c r="AR47" i="1"/>
  <c r="AP47" i="1"/>
  <c r="AN47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D47" i="1"/>
  <c r="O817" i="10"/>
  <c r="K817" i="10"/>
  <c r="H817" i="10"/>
  <c r="G817" i="10"/>
  <c r="F817" i="10"/>
  <c r="E817" i="10"/>
  <c r="X813" i="10"/>
  <c r="X815" i="10" s="1"/>
  <c r="W813" i="10"/>
  <c r="W815" i="10" s="1"/>
  <c r="A813" i="10"/>
  <c r="T812" i="10"/>
  <c r="S812" i="10"/>
  <c r="R812" i="10"/>
  <c r="Q812" i="10"/>
  <c r="P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A748" i="10"/>
  <c r="T747" i="10"/>
  <c r="S747" i="10"/>
  <c r="R747" i="10"/>
  <c r="Q747" i="10"/>
  <c r="P747" i="10"/>
  <c r="C747" i="10"/>
  <c r="A747" i="10"/>
  <c r="T746" i="10"/>
  <c r="S746" i="10"/>
  <c r="R746" i="10"/>
  <c r="Q746" i="10"/>
  <c r="P746" i="10"/>
  <c r="C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A739" i="10"/>
  <c r="T738" i="10"/>
  <c r="S738" i="10"/>
  <c r="R738" i="10"/>
  <c r="Q738" i="10"/>
  <c r="P738" i="10"/>
  <c r="C738" i="10"/>
  <c r="A738" i="10"/>
  <c r="T737" i="10"/>
  <c r="S737" i="10"/>
  <c r="R737" i="10"/>
  <c r="Q737" i="10"/>
  <c r="P737" i="10"/>
  <c r="C737" i="10"/>
  <c r="B737" i="10"/>
  <c r="A737" i="10"/>
  <c r="T736" i="10"/>
  <c r="Q736" i="10"/>
  <c r="P736" i="10"/>
  <c r="C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P734" i="10"/>
  <c r="C734" i="10"/>
  <c r="A734" i="10"/>
  <c r="CF730" i="10"/>
  <c r="CE730" i="10"/>
  <c r="CD730" i="10"/>
  <c r="CB730" i="10"/>
  <c r="CA730" i="10"/>
  <c r="BY730" i="10"/>
  <c r="BX730" i="10"/>
  <c r="BU730" i="10"/>
  <c r="BT730" i="10"/>
  <c r="BS730" i="10"/>
  <c r="BR730" i="10"/>
  <c r="BP730" i="10"/>
  <c r="BM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Z730" i="10"/>
  <c r="Y730" i="10"/>
  <c r="X730" i="10"/>
  <c r="W730" i="10"/>
  <c r="U730" i="10"/>
  <c r="T730" i="10"/>
  <c r="S730" i="10"/>
  <c r="R730" i="10"/>
  <c r="P730" i="10"/>
  <c r="O730" i="10"/>
  <c r="N730" i="10"/>
  <c r="M730" i="10"/>
  <c r="L730" i="10"/>
  <c r="K730" i="10"/>
  <c r="J730" i="10"/>
  <c r="I730" i="10"/>
  <c r="H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E726" i="10"/>
  <c r="AB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O722" i="10"/>
  <c r="BM722" i="10"/>
  <c r="BL722" i="10"/>
  <c r="BK722" i="10"/>
  <c r="BH722" i="10"/>
  <c r="BF722" i="10"/>
  <c r="BE722" i="10"/>
  <c r="BD722" i="10"/>
  <c r="BC722" i="10"/>
  <c r="AX722" i="10"/>
  <c r="AW722" i="10"/>
  <c r="AV722" i="10"/>
  <c r="AR722" i="10"/>
  <c r="AP722" i="10"/>
  <c r="AM722" i="10"/>
  <c r="AL722" i="10"/>
  <c r="AK722" i="10"/>
  <c r="AJ722" i="10"/>
  <c r="AG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I722" i="10"/>
  <c r="D722" i="10"/>
  <c r="C722" i="10"/>
  <c r="B722" i="10"/>
  <c r="A722" i="10"/>
  <c r="E550" i="10"/>
  <c r="F550" i="10"/>
  <c r="F546" i="10"/>
  <c r="E546" i="10"/>
  <c r="F545" i="10"/>
  <c r="E544" i="10"/>
  <c r="H540" i="10"/>
  <c r="E540" i="10"/>
  <c r="F540" i="10"/>
  <c r="H539" i="10"/>
  <c r="F539" i="10"/>
  <c r="E539" i="10"/>
  <c r="H538" i="10"/>
  <c r="F538" i="10"/>
  <c r="E538" i="10"/>
  <c r="E537" i="10"/>
  <c r="F536" i="10"/>
  <c r="E536" i="10"/>
  <c r="H536" i="10"/>
  <c r="F535" i="10"/>
  <c r="E535" i="10"/>
  <c r="E534" i="10"/>
  <c r="E533" i="10"/>
  <c r="E532" i="10"/>
  <c r="H532" i="10"/>
  <c r="E531" i="10"/>
  <c r="F530" i="10"/>
  <c r="E530" i="10"/>
  <c r="F529" i="10"/>
  <c r="E529" i="10"/>
  <c r="F528" i="10"/>
  <c r="E528" i="10"/>
  <c r="F527" i="10"/>
  <c r="E527" i="10"/>
  <c r="H527" i="10"/>
  <c r="E526" i="10"/>
  <c r="E525" i="10"/>
  <c r="H525" i="10"/>
  <c r="E524" i="10"/>
  <c r="E523" i="10"/>
  <c r="F522" i="10"/>
  <c r="E522" i="10"/>
  <c r="F521" i="10"/>
  <c r="E520" i="10"/>
  <c r="E519" i="10"/>
  <c r="H519" i="10"/>
  <c r="E518" i="10"/>
  <c r="E517" i="10"/>
  <c r="F517" i="10"/>
  <c r="H516" i="10"/>
  <c r="F516" i="10"/>
  <c r="E516" i="10"/>
  <c r="F515" i="10"/>
  <c r="E515" i="10"/>
  <c r="F514" i="10"/>
  <c r="E514" i="10"/>
  <c r="F513" i="10"/>
  <c r="F512" i="10"/>
  <c r="H511" i="10"/>
  <c r="F511" i="10"/>
  <c r="E511" i="10"/>
  <c r="F510" i="10"/>
  <c r="F509" i="10"/>
  <c r="E507" i="10"/>
  <c r="H507" i="10"/>
  <c r="E506" i="10"/>
  <c r="H506" i="10"/>
  <c r="H505" i="10"/>
  <c r="E505" i="10"/>
  <c r="F505" i="10"/>
  <c r="H504" i="10"/>
  <c r="F504" i="10"/>
  <c r="E504" i="10"/>
  <c r="F503" i="10"/>
  <c r="H502" i="10"/>
  <c r="F502" i="10"/>
  <c r="E502" i="10"/>
  <c r="F501" i="10"/>
  <c r="E499" i="10"/>
  <c r="H499" i="10"/>
  <c r="H497" i="10"/>
  <c r="E497" i="10"/>
  <c r="F497" i="10"/>
  <c r="F496" i="10"/>
  <c r="G493" i="10"/>
  <c r="E493" i="10"/>
  <c r="C493" i="10"/>
  <c r="A493" i="10"/>
  <c r="B478" i="10"/>
  <c r="B474" i="10"/>
  <c r="B473" i="10"/>
  <c r="B472" i="10"/>
  <c r="B471" i="10"/>
  <c r="B469" i="10"/>
  <c r="B468" i="10"/>
  <c r="B463" i="10"/>
  <c r="C459" i="10"/>
  <c r="B459" i="10"/>
  <c r="B454" i="10"/>
  <c r="B453" i="10"/>
  <c r="C446" i="10"/>
  <c r="C444" i="10"/>
  <c r="B437" i="10"/>
  <c r="B435" i="10"/>
  <c r="B434" i="10"/>
  <c r="B431" i="10"/>
  <c r="B430" i="10"/>
  <c r="B429" i="10"/>
  <c r="B428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436" i="10" s="1"/>
  <c r="C384" i="10"/>
  <c r="B433" i="10" s="1"/>
  <c r="C383" i="10"/>
  <c r="B432" i="10" s="1"/>
  <c r="C378" i="10"/>
  <c r="C370" i="10"/>
  <c r="B458" i="10" s="1"/>
  <c r="C360" i="10"/>
  <c r="BK730" i="10" s="1"/>
  <c r="D329" i="10"/>
  <c r="C326" i="10"/>
  <c r="AY730" i="10" s="1"/>
  <c r="D319" i="10"/>
  <c r="C307" i="10"/>
  <c r="AJ730" i="10" s="1"/>
  <c r="D290" i="10"/>
  <c r="C282" i="10"/>
  <c r="AB730" i="10" s="1"/>
  <c r="C281" i="10"/>
  <c r="AA730" i="10" s="1"/>
  <c r="C274" i="10"/>
  <c r="B475" i="10" s="1"/>
  <c r="C269" i="10"/>
  <c r="Q730" i="10" s="1"/>
  <c r="D265" i="10"/>
  <c r="C255" i="10"/>
  <c r="G730" i="10" s="1"/>
  <c r="C253" i="10"/>
  <c r="E730" i="10" s="1"/>
  <c r="C238" i="10"/>
  <c r="CC722" i="10" s="1"/>
  <c r="C234" i="10"/>
  <c r="CB722" i="10" s="1"/>
  <c r="C228" i="10"/>
  <c r="BY722" i="10" s="1"/>
  <c r="C226" i="10"/>
  <c r="BW722" i="10" s="1"/>
  <c r="C224" i="10"/>
  <c r="BU722" i="10" s="1"/>
  <c r="C223" i="10"/>
  <c r="BT722" i="10" s="1"/>
  <c r="D221" i="10"/>
  <c r="CD722" i="10" s="1"/>
  <c r="E216" i="10"/>
  <c r="D215" i="10"/>
  <c r="BP722" i="10" s="1"/>
  <c r="B215" i="10"/>
  <c r="BN722" i="10" s="1"/>
  <c r="E214" i="10"/>
  <c r="D213" i="10"/>
  <c r="BJ722" i="10" s="1"/>
  <c r="C213" i="10"/>
  <c r="BI722" i="10" s="1"/>
  <c r="D212" i="10"/>
  <c r="E212" i="10" s="1"/>
  <c r="B211" i="10"/>
  <c r="BB722" i="10" s="1"/>
  <c r="D210" i="10"/>
  <c r="BA722" i="10" s="1"/>
  <c r="C210" i="10"/>
  <c r="AZ722" i="10" s="1"/>
  <c r="B210" i="10"/>
  <c r="AY722" i="10" s="1"/>
  <c r="E209" i="10"/>
  <c r="B204" i="10"/>
  <c r="C203" i="10"/>
  <c r="AQ722" i="10" s="1"/>
  <c r="D202" i="10"/>
  <c r="AO722" i="10" s="1"/>
  <c r="C202" i="10"/>
  <c r="AN722" i="10" s="1"/>
  <c r="E201" i="10"/>
  <c r="D200" i="10"/>
  <c r="AI722" i="10" s="1"/>
  <c r="C200" i="10"/>
  <c r="AH722" i="10" s="1"/>
  <c r="D199" i="10"/>
  <c r="AF722" i="10" s="1"/>
  <c r="C199" i="10"/>
  <c r="AE722" i="10" s="1"/>
  <c r="E198" i="10"/>
  <c r="C471" i="10" s="1"/>
  <c r="C197" i="10"/>
  <c r="Y722" i="10" s="1"/>
  <c r="E196" i="10"/>
  <c r="C469" i="10" s="1"/>
  <c r="E195" i="10"/>
  <c r="C468" i="10" s="1"/>
  <c r="D190" i="10"/>
  <c r="D437" i="10" s="1"/>
  <c r="D186" i="10"/>
  <c r="D436" i="10" s="1"/>
  <c r="C180" i="10"/>
  <c r="C179" i="10"/>
  <c r="K722" i="10" s="1"/>
  <c r="C176" i="10"/>
  <c r="J722" i="10" s="1"/>
  <c r="C172" i="10"/>
  <c r="H722" i="10" s="1"/>
  <c r="C170" i="10"/>
  <c r="G722" i="10" s="1"/>
  <c r="C169" i="10"/>
  <c r="F722" i="10" s="1"/>
  <c r="C168" i="10"/>
  <c r="E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D141" i="10"/>
  <c r="AK726" i="10" s="1"/>
  <c r="C141" i="10"/>
  <c r="AF726" i="10" s="1"/>
  <c r="B141" i="10"/>
  <c r="AA726" i="10" s="1"/>
  <c r="E140" i="10"/>
  <c r="D139" i="10"/>
  <c r="AI726" i="10" s="1"/>
  <c r="C139" i="10"/>
  <c r="AD726" i="10" s="1"/>
  <c r="B139" i="10"/>
  <c r="Y726" i="10" s="1"/>
  <c r="D138" i="10"/>
  <c r="C138" i="10"/>
  <c r="AC726" i="10" s="1"/>
  <c r="B138" i="10"/>
  <c r="X726" i="10" s="1"/>
  <c r="E127" i="10"/>
  <c r="CE80" i="10"/>
  <c r="CF79" i="10"/>
  <c r="E79" i="10"/>
  <c r="S736" i="10" s="1"/>
  <c r="E78" i="10"/>
  <c r="R736" i="10" s="1"/>
  <c r="C77" i="10"/>
  <c r="Q734" i="10" s="1"/>
  <c r="CE76" i="10"/>
  <c r="CE74" i="10"/>
  <c r="C464" i="10" s="1"/>
  <c r="O779" i="10"/>
  <c r="O778" i="10"/>
  <c r="O777" i="10"/>
  <c r="O776" i="10"/>
  <c r="O775" i="10"/>
  <c r="O774" i="10"/>
  <c r="O773" i="10"/>
  <c r="O772" i="10"/>
  <c r="O771" i="10"/>
  <c r="O770" i="10"/>
  <c r="O769" i="10"/>
  <c r="O768" i="10"/>
  <c r="O767" i="10"/>
  <c r="O766" i="10"/>
  <c r="O765" i="10"/>
  <c r="O764" i="10"/>
  <c r="O763" i="10"/>
  <c r="O762" i="10"/>
  <c r="O761" i="10"/>
  <c r="O760" i="10"/>
  <c r="O759" i="10"/>
  <c r="O758" i="10"/>
  <c r="O757" i="10"/>
  <c r="O756" i="10"/>
  <c r="O755" i="10"/>
  <c r="O754" i="10"/>
  <c r="O753" i="10"/>
  <c r="O752" i="10"/>
  <c r="O751" i="10"/>
  <c r="O750" i="10"/>
  <c r="O749" i="10"/>
  <c r="O748" i="10"/>
  <c r="O747" i="10"/>
  <c r="O746" i="10"/>
  <c r="O745" i="10"/>
  <c r="O744" i="10"/>
  <c r="L75" i="10"/>
  <c r="N743" i="10" s="1"/>
  <c r="O742" i="10"/>
  <c r="O741" i="10"/>
  <c r="O740" i="10"/>
  <c r="O738" i="10"/>
  <c r="O737" i="10"/>
  <c r="O736" i="10"/>
  <c r="O735" i="10"/>
  <c r="O734" i="10"/>
  <c r="V813" i="10"/>
  <c r="V815" i="10" s="1"/>
  <c r="M812" i="10"/>
  <c r="M810" i="10"/>
  <c r="M804" i="10"/>
  <c r="M796" i="10"/>
  <c r="M788" i="10"/>
  <c r="M784" i="10"/>
  <c r="M780" i="10"/>
  <c r="M776" i="10"/>
  <c r="M772" i="10"/>
  <c r="M770" i="10"/>
  <c r="M768" i="10"/>
  <c r="M767" i="10"/>
  <c r="M764" i="10"/>
  <c r="M762" i="10"/>
  <c r="M760" i="10"/>
  <c r="M759" i="10"/>
  <c r="M756" i="10"/>
  <c r="M754" i="10"/>
  <c r="M752" i="10"/>
  <c r="M751" i="10"/>
  <c r="M748" i="10"/>
  <c r="M746" i="10"/>
  <c r="M744" i="10"/>
  <c r="M743" i="10"/>
  <c r="M740" i="10"/>
  <c r="M738" i="10"/>
  <c r="M736" i="10"/>
  <c r="M735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C60" i="10"/>
  <c r="C812" i="10" s="1"/>
  <c r="AV60" i="10"/>
  <c r="C779" i="10" s="1"/>
  <c r="AZ59" i="10"/>
  <c r="Q59" i="10"/>
  <c r="P59" i="10"/>
  <c r="O59" i="10"/>
  <c r="J59" i="10"/>
  <c r="H59" i="10"/>
  <c r="G59" i="10"/>
  <c r="E59" i="10"/>
  <c r="C59" i="10"/>
  <c r="B53" i="10"/>
  <c r="B49" i="10"/>
  <c r="Q815" i="10" l="1"/>
  <c r="CE78" i="10"/>
  <c r="R816" i="10" s="1"/>
  <c r="CE79" i="10"/>
  <c r="S816" i="10" s="1"/>
  <c r="D390" i="10"/>
  <c r="B441" i="10" s="1"/>
  <c r="C366" i="10"/>
  <c r="BN730" i="10" s="1"/>
  <c r="D240" i="10"/>
  <c r="B447" i="10" s="1"/>
  <c r="D361" i="10"/>
  <c r="N817" i="10" s="1"/>
  <c r="V730" i="10"/>
  <c r="E138" i="10"/>
  <c r="C414" i="10" s="1"/>
  <c r="E141" i="10"/>
  <c r="D463" i="10" s="1"/>
  <c r="E215" i="10"/>
  <c r="C227" i="10"/>
  <c r="BX722" i="10" s="1"/>
  <c r="D275" i="10"/>
  <c r="B476" i="10" s="1"/>
  <c r="D181" i="10"/>
  <c r="D438" i="10" s="1"/>
  <c r="E202" i="10"/>
  <c r="C474" i="10" s="1"/>
  <c r="E203" i="10"/>
  <c r="C475" i="10" s="1"/>
  <c r="D314" i="10"/>
  <c r="B427" i="10"/>
  <c r="B464" i="10"/>
  <c r="B470" i="10"/>
  <c r="M783" i="10"/>
  <c r="CE51" i="10"/>
  <c r="B746" i="10"/>
  <c r="E508" i="10"/>
  <c r="M734" i="10"/>
  <c r="CE70" i="10"/>
  <c r="M742" i="10"/>
  <c r="M750" i="10"/>
  <c r="M758" i="10"/>
  <c r="M766" i="10"/>
  <c r="M774" i="10"/>
  <c r="M782" i="10"/>
  <c r="M790" i="10"/>
  <c r="M798" i="10"/>
  <c r="M806" i="10"/>
  <c r="B748" i="10"/>
  <c r="E510" i="10"/>
  <c r="M792" i="10"/>
  <c r="M800" i="10"/>
  <c r="M808" i="10"/>
  <c r="B747" i="10"/>
  <c r="E509" i="10"/>
  <c r="M799" i="10"/>
  <c r="B734" i="10"/>
  <c r="E496" i="10"/>
  <c r="D415" i="10"/>
  <c r="B783" i="10"/>
  <c r="E545" i="10"/>
  <c r="M737" i="10"/>
  <c r="M745" i="10"/>
  <c r="M753" i="10"/>
  <c r="M761" i="10"/>
  <c r="M769" i="10"/>
  <c r="M777" i="10"/>
  <c r="M785" i="10"/>
  <c r="M793" i="10"/>
  <c r="M801" i="10"/>
  <c r="M809" i="10"/>
  <c r="O739" i="10"/>
  <c r="H75" i="10"/>
  <c r="N739" i="10" s="1"/>
  <c r="B736" i="10"/>
  <c r="E498" i="10"/>
  <c r="M778" i="10"/>
  <c r="M786" i="10"/>
  <c r="M794" i="10"/>
  <c r="M802" i="10"/>
  <c r="M775" i="10"/>
  <c r="B738" i="10"/>
  <c r="E500" i="10"/>
  <c r="M739" i="10"/>
  <c r="M747" i="10"/>
  <c r="M755" i="10"/>
  <c r="M763" i="10"/>
  <c r="M771" i="10"/>
  <c r="M779" i="10"/>
  <c r="M787" i="10"/>
  <c r="M795" i="10"/>
  <c r="M803" i="10"/>
  <c r="M811" i="10"/>
  <c r="M807" i="10"/>
  <c r="CE47" i="10"/>
  <c r="B739" i="10"/>
  <c r="E501" i="10"/>
  <c r="CE60" i="10"/>
  <c r="CE61" i="10"/>
  <c r="CE63" i="10"/>
  <c r="CE64" i="10"/>
  <c r="CE65" i="10"/>
  <c r="CE66" i="10"/>
  <c r="CE68" i="10"/>
  <c r="U813" i="10"/>
  <c r="U815" i="10" s="1"/>
  <c r="C615" i="10"/>
  <c r="CD71" i="10"/>
  <c r="C575" i="10" s="1"/>
  <c r="C438" i="10"/>
  <c r="M791" i="10"/>
  <c r="B741" i="10"/>
  <c r="D424" i="10"/>
  <c r="E503" i="10"/>
  <c r="D815" i="10"/>
  <c r="F815" i="10"/>
  <c r="G815" i="10"/>
  <c r="H815" i="10"/>
  <c r="I815" i="10"/>
  <c r="K815" i="10"/>
  <c r="L734" i="10"/>
  <c r="C439" i="10"/>
  <c r="CE69" i="10"/>
  <c r="M741" i="10"/>
  <c r="M749" i="10"/>
  <c r="M757" i="10"/>
  <c r="M765" i="10"/>
  <c r="M773" i="10"/>
  <c r="M781" i="10"/>
  <c r="M789" i="10"/>
  <c r="M797" i="10"/>
  <c r="M805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D177" i="10"/>
  <c r="D434" i="10" s="1"/>
  <c r="E200" i="10"/>
  <c r="C473" i="10" s="1"/>
  <c r="C204" i="10"/>
  <c r="D236" i="10"/>
  <c r="B446" i="10" s="1"/>
  <c r="M817" i="10"/>
  <c r="BO730" i="10"/>
  <c r="B438" i="10"/>
  <c r="F500" i="10"/>
  <c r="F508" i="10"/>
  <c r="F520" i="10"/>
  <c r="F526" i="10"/>
  <c r="F537" i="10"/>
  <c r="AH726" i="10"/>
  <c r="R815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E197" i="10"/>
  <c r="C470" i="10" s="1"/>
  <c r="D204" i="10"/>
  <c r="E211" i="10"/>
  <c r="D372" i="10"/>
  <c r="B444" i="10"/>
  <c r="F499" i="10"/>
  <c r="F507" i="10"/>
  <c r="F519" i="10"/>
  <c r="F525" i="10"/>
  <c r="F533" i="10"/>
  <c r="P75" i="10"/>
  <c r="N747" i="10" s="1"/>
  <c r="X75" i="10"/>
  <c r="N755" i="10" s="1"/>
  <c r="AF75" i="10"/>
  <c r="N763" i="10" s="1"/>
  <c r="AN75" i="10"/>
  <c r="N771" i="10" s="1"/>
  <c r="AV75" i="10"/>
  <c r="N779" i="10" s="1"/>
  <c r="F498" i="10"/>
  <c r="F506" i="10"/>
  <c r="F518" i="10"/>
  <c r="F524" i="10"/>
  <c r="F532" i="10"/>
  <c r="H544" i="10"/>
  <c r="F544" i="10"/>
  <c r="L722" i="10"/>
  <c r="BG722" i="10"/>
  <c r="O743" i="10"/>
  <c r="I75" i="10"/>
  <c r="N740" i="10" s="1"/>
  <c r="Q75" i="10"/>
  <c r="N748" i="10" s="1"/>
  <c r="Y75" i="10"/>
  <c r="N756" i="10" s="1"/>
  <c r="AG75" i="10"/>
  <c r="N764" i="10" s="1"/>
  <c r="AO75" i="10"/>
  <c r="N772" i="10" s="1"/>
  <c r="D817" i="10"/>
  <c r="BQ730" i="10"/>
  <c r="B439" i="10"/>
  <c r="F523" i="10"/>
  <c r="F531" i="10"/>
  <c r="J75" i="10"/>
  <c r="N741" i="10" s="1"/>
  <c r="R75" i="10"/>
  <c r="N749" i="10" s="1"/>
  <c r="Z75" i="10"/>
  <c r="N757" i="10" s="1"/>
  <c r="AH75" i="10"/>
  <c r="N765" i="10" s="1"/>
  <c r="AP75" i="10"/>
  <c r="N773" i="10" s="1"/>
  <c r="P816" i="10"/>
  <c r="D612" i="10"/>
  <c r="B217" i="10"/>
  <c r="I817" i="10"/>
  <c r="BV730" i="10"/>
  <c r="H534" i="10"/>
  <c r="F534" i="10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CF76" i="10"/>
  <c r="BE52" i="10" s="1"/>
  <c r="BE67" i="10" s="1"/>
  <c r="J788" i="10" s="1"/>
  <c r="E199" i="10"/>
  <c r="C472" i="10" s="1"/>
  <c r="C217" i="10"/>
  <c r="D433" i="10" s="1"/>
  <c r="D328" i="10"/>
  <c r="D330" i="10" s="1"/>
  <c r="J817" i="10"/>
  <c r="BW730" i="10"/>
  <c r="B455" i="10"/>
  <c r="D75" i="10"/>
  <c r="N735" i="10" s="1"/>
  <c r="T75" i="10"/>
  <c r="N751" i="10" s="1"/>
  <c r="AB75" i="10"/>
  <c r="N759" i="10" s="1"/>
  <c r="AJ75" i="10"/>
  <c r="N767" i="10" s="1"/>
  <c r="AR75" i="10"/>
  <c r="N775" i="10" s="1"/>
  <c r="T816" i="10"/>
  <c r="L612" i="10"/>
  <c r="D173" i="10"/>
  <c r="D428" i="10" s="1"/>
  <c r="E213" i="10"/>
  <c r="D217" i="10"/>
  <c r="D260" i="10"/>
  <c r="D283" i="10"/>
  <c r="L817" i="10"/>
  <c r="BZ730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CE77" i="10"/>
  <c r="E139" i="10"/>
  <c r="C415" i="10" s="1"/>
  <c r="E142" i="10"/>
  <c r="D464" i="10" s="1"/>
  <c r="E210" i="10"/>
  <c r="T815" i="10"/>
  <c r="P815" i="10"/>
  <c r="C815" i="10"/>
  <c r="S815" i="10"/>
  <c r="J612" i="10" l="1"/>
  <c r="B465" i="10"/>
  <c r="D435" i="10"/>
  <c r="D339" i="10"/>
  <c r="C482" i="10" s="1"/>
  <c r="D277" i="10"/>
  <c r="D292" i="10" s="1"/>
  <c r="D341" i="10" s="1"/>
  <c r="C481" i="10" s="1"/>
  <c r="C447" i="10"/>
  <c r="C364" i="10"/>
  <c r="BL730" i="10" s="1"/>
  <c r="I612" i="10"/>
  <c r="O815" i="10"/>
  <c r="D465" i="10"/>
  <c r="C445" i="10"/>
  <c r="L815" i="10"/>
  <c r="E217" i="10"/>
  <c r="C478" i="10" s="1"/>
  <c r="D229" i="10"/>
  <c r="B445" i="10" s="1"/>
  <c r="BT52" i="10"/>
  <c r="BT67" i="10" s="1"/>
  <c r="J803" i="10" s="1"/>
  <c r="H52" i="10"/>
  <c r="H67" i="10" s="1"/>
  <c r="J739" i="10" s="1"/>
  <c r="G816" i="10"/>
  <c r="F612" i="10"/>
  <c r="C430" i="10"/>
  <c r="BK52" i="10"/>
  <c r="BK67" i="10" s="1"/>
  <c r="J794" i="10" s="1"/>
  <c r="AD52" i="10"/>
  <c r="AD67" i="10" s="1"/>
  <c r="J761" i="10" s="1"/>
  <c r="BQ52" i="10"/>
  <c r="BQ67" i="10" s="1"/>
  <c r="J800" i="10" s="1"/>
  <c r="E52" i="10"/>
  <c r="E67" i="10" s="1"/>
  <c r="J736" i="10" s="1"/>
  <c r="AZ52" i="10"/>
  <c r="AZ67" i="10" s="1"/>
  <c r="J783" i="10" s="1"/>
  <c r="R52" i="10"/>
  <c r="R67" i="10" s="1"/>
  <c r="J749" i="10" s="1"/>
  <c r="BO52" i="10"/>
  <c r="BO67" i="10" s="1"/>
  <c r="J798" i="10" s="1"/>
  <c r="C52" i="10"/>
  <c r="M816" i="10"/>
  <c r="C458" i="10"/>
  <c r="AW52" i="10"/>
  <c r="AW67" i="10" s="1"/>
  <c r="J780" i="10" s="1"/>
  <c r="O816" i="10"/>
  <c r="C463" i="10"/>
  <c r="BL52" i="10"/>
  <c r="BL67" i="10" s="1"/>
  <c r="J795" i="10" s="1"/>
  <c r="F816" i="10"/>
  <c r="C429" i="10"/>
  <c r="BC52" i="10"/>
  <c r="BC67" i="10" s="1"/>
  <c r="J786" i="10" s="1"/>
  <c r="V52" i="10"/>
  <c r="V67" i="10" s="1"/>
  <c r="J753" i="10" s="1"/>
  <c r="BI52" i="10"/>
  <c r="BI67" i="10" s="1"/>
  <c r="J792" i="10" s="1"/>
  <c r="AR52" i="10"/>
  <c r="AR67" i="10" s="1"/>
  <c r="J775" i="10" s="1"/>
  <c r="BG52" i="10"/>
  <c r="BG67" i="10" s="1"/>
  <c r="J790" i="10" s="1"/>
  <c r="M815" i="10"/>
  <c r="AO52" i="10"/>
  <c r="AO67" i="10" s="1"/>
  <c r="J772" i="10" s="1"/>
  <c r="AH52" i="10"/>
  <c r="AH67" i="10" s="1"/>
  <c r="J765" i="10" s="1"/>
  <c r="B440" i="10"/>
  <c r="BD52" i="10"/>
  <c r="BD67" i="10" s="1"/>
  <c r="J787" i="10" s="1"/>
  <c r="D816" i="10"/>
  <c r="C42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I48" i="10"/>
  <c r="BI62" i="10" s="1"/>
  <c r="AC48" i="10"/>
  <c r="AC62" i="10" s="1"/>
  <c r="E48" i="10"/>
  <c r="E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Y48" i="10"/>
  <c r="BY62" i="10" s="1"/>
  <c r="BA48" i="10"/>
  <c r="BA62" i="10" s="1"/>
  <c r="AK48" i="10"/>
  <c r="AK62" i="10" s="1"/>
  <c r="M48" i="10"/>
  <c r="M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Q48" i="10"/>
  <c r="BQ62" i="10" s="1"/>
  <c r="AS48" i="10"/>
  <c r="AS62" i="10" s="1"/>
  <c r="U48" i="10"/>
  <c r="U62" i="10" s="1"/>
  <c r="AU52" i="10"/>
  <c r="AU67" i="10" s="1"/>
  <c r="J778" i="10" s="1"/>
  <c r="BZ52" i="10"/>
  <c r="BZ67" i="10" s="1"/>
  <c r="J809" i="10" s="1"/>
  <c r="N52" i="10"/>
  <c r="N67" i="10" s="1"/>
  <c r="J745" i="10" s="1"/>
  <c r="BA52" i="10"/>
  <c r="BA67" i="10" s="1"/>
  <c r="J784" i="10" s="1"/>
  <c r="AJ52" i="10"/>
  <c r="AJ67" i="10" s="1"/>
  <c r="J767" i="10" s="1"/>
  <c r="AY52" i="10"/>
  <c r="AY67" i="10" s="1"/>
  <c r="J782" i="10" s="1"/>
  <c r="AG52" i="10"/>
  <c r="AG67" i="10" s="1"/>
  <c r="J764" i="10" s="1"/>
  <c r="Q816" i="10"/>
  <c r="G612" i="10"/>
  <c r="CF77" i="10"/>
  <c r="AV52" i="10"/>
  <c r="AV67" i="10" s="1"/>
  <c r="J779" i="10" s="1"/>
  <c r="C816" i="10"/>
  <c r="BI730" i="10"/>
  <c r="H612" i="10"/>
  <c r="AM52" i="10"/>
  <c r="AM67" i="10" s="1"/>
  <c r="J770" i="10" s="1"/>
  <c r="BR52" i="10"/>
  <c r="BR67" i="10" s="1"/>
  <c r="J801" i="10" s="1"/>
  <c r="F52" i="10"/>
  <c r="F67" i="10" s="1"/>
  <c r="J737" i="10" s="1"/>
  <c r="AS52" i="10"/>
  <c r="AS67" i="10" s="1"/>
  <c r="J776" i="10" s="1"/>
  <c r="BF52" i="10"/>
  <c r="BF67" i="10" s="1"/>
  <c r="J789" i="10" s="1"/>
  <c r="AB52" i="10"/>
  <c r="AB67" i="10" s="1"/>
  <c r="J759" i="10" s="1"/>
  <c r="AQ52" i="10"/>
  <c r="AQ67" i="10" s="1"/>
  <c r="J774" i="10" s="1"/>
  <c r="Y52" i="10"/>
  <c r="Y67" i="10" s="1"/>
  <c r="J756" i="10" s="1"/>
  <c r="L816" i="10"/>
  <c r="C440" i="10"/>
  <c r="AN52" i="10"/>
  <c r="AN67" i="10" s="1"/>
  <c r="J771" i="10" s="1"/>
  <c r="AE52" i="10"/>
  <c r="AE67" i="10" s="1"/>
  <c r="J762" i="10" s="1"/>
  <c r="BJ52" i="10"/>
  <c r="BJ67" i="10" s="1"/>
  <c r="J793" i="10" s="1"/>
  <c r="AK52" i="10"/>
  <c r="AK67" i="10" s="1"/>
  <c r="J768" i="10" s="1"/>
  <c r="Z52" i="10"/>
  <c r="Z67" i="10" s="1"/>
  <c r="J757" i="10" s="1"/>
  <c r="T52" i="10"/>
  <c r="T67" i="10" s="1"/>
  <c r="J751" i="10" s="1"/>
  <c r="AI52" i="10"/>
  <c r="AI67" i="10" s="1"/>
  <c r="J766" i="10" s="1"/>
  <c r="CC52" i="10"/>
  <c r="CC67" i="10" s="1"/>
  <c r="J812" i="10" s="1"/>
  <c r="Q52" i="10"/>
  <c r="Q67" i="10" s="1"/>
  <c r="J748" i="10" s="1"/>
  <c r="N734" i="10"/>
  <c r="N815" i="10" s="1"/>
  <c r="CE75" i="10"/>
  <c r="AF52" i="10"/>
  <c r="AF67" i="10" s="1"/>
  <c r="J763" i="10" s="1"/>
  <c r="K816" i="10"/>
  <c r="C434" i="10"/>
  <c r="W52" i="10"/>
  <c r="W67" i="10" s="1"/>
  <c r="J754" i="10" s="1"/>
  <c r="BV52" i="10"/>
  <c r="BV67" i="10" s="1"/>
  <c r="J805" i="10" s="1"/>
  <c r="BB52" i="10"/>
  <c r="BB67" i="10" s="1"/>
  <c r="J785" i="10" s="1"/>
  <c r="AC52" i="10"/>
  <c r="AC67" i="10" s="1"/>
  <c r="J760" i="10" s="1"/>
  <c r="BX52" i="10"/>
  <c r="BX67" i="10" s="1"/>
  <c r="J807" i="10" s="1"/>
  <c r="L52" i="10"/>
  <c r="L67" i="10" s="1"/>
  <c r="J743" i="10" s="1"/>
  <c r="AA52" i="10"/>
  <c r="AA67" i="10" s="1"/>
  <c r="J758" i="10" s="1"/>
  <c r="BU52" i="10"/>
  <c r="BU67" i="10" s="1"/>
  <c r="J804" i="10" s="1"/>
  <c r="I52" i="10"/>
  <c r="I67" i="10" s="1"/>
  <c r="J740" i="10" s="1"/>
  <c r="D242" i="10"/>
  <c r="B448" i="10" s="1"/>
  <c r="X52" i="10"/>
  <c r="X67" i="10" s="1"/>
  <c r="J755" i="10" s="1"/>
  <c r="I816" i="10"/>
  <c r="C432" i="10"/>
  <c r="CA52" i="10"/>
  <c r="CA67" i="10" s="1"/>
  <c r="J810" i="10" s="1"/>
  <c r="O52" i="10"/>
  <c r="O67" i="10" s="1"/>
  <c r="J746" i="10" s="1"/>
  <c r="AP52" i="10"/>
  <c r="AP67" i="10" s="1"/>
  <c r="J773" i="10" s="1"/>
  <c r="AT52" i="10"/>
  <c r="AT67" i="10" s="1"/>
  <c r="J777" i="10" s="1"/>
  <c r="U52" i="10"/>
  <c r="U67" i="10" s="1"/>
  <c r="J752" i="10" s="1"/>
  <c r="BP52" i="10"/>
  <c r="BP67" i="10" s="1"/>
  <c r="J799" i="10" s="1"/>
  <c r="D52" i="10"/>
  <c r="D67" i="10" s="1"/>
  <c r="J735" i="10" s="1"/>
  <c r="BN52" i="10"/>
  <c r="BN67" i="10" s="1"/>
  <c r="J797" i="10" s="1"/>
  <c r="S52" i="10"/>
  <c r="S67" i="10" s="1"/>
  <c r="J750" i="10" s="1"/>
  <c r="BM52" i="10"/>
  <c r="BM67" i="10" s="1"/>
  <c r="J796" i="10" s="1"/>
  <c r="CB52" i="10"/>
  <c r="CB67" i="10" s="1"/>
  <c r="J811" i="10" s="1"/>
  <c r="E204" i="10"/>
  <c r="C476" i="10" s="1"/>
  <c r="P52" i="10"/>
  <c r="P67" i="10" s="1"/>
  <c r="J747" i="10" s="1"/>
  <c r="H816" i="10"/>
  <c r="C431" i="10"/>
  <c r="BS52" i="10"/>
  <c r="BS67" i="10" s="1"/>
  <c r="J802" i="10" s="1"/>
  <c r="G52" i="10"/>
  <c r="G67" i="10" s="1"/>
  <c r="J738" i="10" s="1"/>
  <c r="J52" i="10"/>
  <c r="J67" i="10" s="1"/>
  <c r="J741" i="10" s="1"/>
  <c r="AL52" i="10"/>
  <c r="AL67" i="10" s="1"/>
  <c r="J769" i="10" s="1"/>
  <c r="BY52" i="10"/>
  <c r="BY67" i="10" s="1"/>
  <c r="J808" i="10" s="1"/>
  <c r="M52" i="10"/>
  <c r="M67" i="10" s="1"/>
  <c r="J744" i="10" s="1"/>
  <c r="BH52" i="10"/>
  <c r="BH67" i="10" s="1"/>
  <c r="J791" i="10" s="1"/>
  <c r="AX52" i="10"/>
  <c r="AX67" i="10" s="1"/>
  <c r="J781" i="10" s="1"/>
  <c r="BW52" i="10"/>
  <c r="BW67" i="10" s="1"/>
  <c r="J806" i="10" s="1"/>
  <c r="K52" i="10"/>
  <c r="K67" i="10" s="1"/>
  <c r="J742" i="10" s="1"/>
  <c r="D367" i="10" l="1"/>
  <c r="E735" i="10"/>
  <c r="D71" i="10"/>
  <c r="E744" i="10"/>
  <c r="M71" i="10"/>
  <c r="E740" i="10"/>
  <c r="I71" i="10"/>
  <c r="E765" i="10"/>
  <c r="AH71" i="10"/>
  <c r="E761" i="10"/>
  <c r="AD71" i="10"/>
  <c r="E778" i="10"/>
  <c r="AU71" i="10"/>
  <c r="E812" i="10"/>
  <c r="CC71" i="10"/>
  <c r="E758" i="10"/>
  <c r="AA71" i="10"/>
  <c r="E776" i="10"/>
  <c r="AS71" i="10"/>
  <c r="E783" i="10"/>
  <c r="AZ71" i="10"/>
  <c r="E769" i="10"/>
  <c r="AL71" i="10"/>
  <c r="E784" i="10"/>
  <c r="BA71" i="10"/>
  <c r="E786" i="10"/>
  <c r="BC71" i="10"/>
  <c r="E771" i="10"/>
  <c r="AN71" i="10"/>
  <c r="E756" i="10"/>
  <c r="Y71" i="10"/>
  <c r="E736" i="10"/>
  <c r="E71" i="10"/>
  <c r="E781" i="10"/>
  <c r="AX71" i="10"/>
  <c r="E766" i="10"/>
  <c r="AI71" i="10"/>
  <c r="E753" i="10"/>
  <c r="V71" i="10"/>
  <c r="E770" i="10"/>
  <c r="AM71" i="10"/>
  <c r="E804" i="10"/>
  <c r="BU71" i="10"/>
  <c r="E775" i="10"/>
  <c r="AR71" i="10"/>
  <c r="E768" i="10"/>
  <c r="AK71" i="10"/>
  <c r="E748" i="10"/>
  <c r="Q71" i="10"/>
  <c r="E773" i="10"/>
  <c r="AP71" i="10"/>
  <c r="E800" i="10"/>
  <c r="BQ71" i="10"/>
  <c r="E791" i="10"/>
  <c r="BH71" i="10"/>
  <c r="E777" i="10"/>
  <c r="AT71" i="10"/>
  <c r="E808" i="10"/>
  <c r="BY71" i="10"/>
  <c r="E794" i="10"/>
  <c r="BK71" i="10"/>
  <c r="E779" i="10"/>
  <c r="AV71" i="10"/>
  <c r="E764" i="10"/>
  <c r="AG71" i="10"/>
  <c r="E760" i="10"/>
  <c r="AC71" i="10"/>
  <c r="E789" i="10"/>
  <c r="BF71" i="10"/>
  <c r="E774" i="10"/>
  <c r="AQ71" i="10"/>
  <c r="E785" i="10"/>
  <c r="BB71" i="10"/>
  <c r="E802" i="10"/>
  <c r="BS71" i="10"/>
  <c r="E797" i="10"/>
  <c r="BN71" i="10"/>
  <c r="E743" i="10"/>
  <c r="L71" i="10"/>
  <c r="E807" i="10"/>
  <c r="BX71" i="10"/>
  <c r="E793" i="10"/>
  <c r="BJ71" i="10"/>
  <c r="E746" i="10"/>
  <c r="O71" i="10"/>
  <c r="E810" i="10"/>
  <c r="CA71" i="10"/>
  <c r="E795" i="10"/>
  <c r="BL71" i="10"/>
  <c r="E780" i="10"/>
  <c r="AW71" i="10"/>
  <c r="E741" i="10"/>
  <c r="J71" i="10"/>
  <c r="E805" i="10"/>
  <c r="BV71" i="10"/>
  <c r="E790" i="10"/>
  <c r="BG71" i="10"/>
  <c r="CE52" i="10"/>
  <c r="C67" i="10"/>
  <c r="E799" i="10"/>
  <c r="BP71" i="10"/>
  <c r="E787" i="10"/>
  <c r="BD71" i="10"/>
  <c r="E792" i="10"/>
  <c r="BI71" i="10"/>
  <c r="N816" i="10"/>
  <c r="K612" i="10"/>
  <c r="C465" i="10"/>
  <c r="E751" i="10"/>
  <c r="T71" i="10"/>
  <c r="E801" i="10"/>
  <c r="BR71" i="10"/>
  <c r="E739" i="10"/>
  <c r="H71" i="10"/>
  <c r="E788" i="10"/>
  <c r="BE71" i="10"/>
  <c r="CE48" i="10"/>
  <c r="C62" i="10"/>
  <c r="E798" i="10"/>
  <c r="BO71" i="10"/>
  <c r="E738" i="10"/>
  <c r="G71" i="10"/>
  <c r="E772" i="10"/>
  <c r="AO71" i="10"/>
  <c r="E782" i="10"/>
  <c r="AY71" i="10"/>
  <c r="E737" i="10"/>
  <c r="F71" i="10"/>
  <c r="E754" i="10"/>
  <c r="W71" i="10"/>
  <c r="E803" i="10"/>
  <c r="BT71" i="10"/>
  <c r="E749" i="10"/>
  <c r="R71" i="10"/>
  <c r="E759" i="10"/>
  <c r="AB71" i="10"/>
  <c r="E745" i="10"/>
  <c r="N71" i="10"/>
  <c r="E809" i="10"/>
  <c r="BZ71" i="10"/>
  <c r="E762" i="10"/>
  <c r="AE71" i="10"/>
  <c r="E747" i="10"/>
  <c r="P71" i="10"/>
  <c r="E811" i="10"/>
  <c r="CB71" i="10"/>
  <c r="E796" i="10"/>
  <c r="BM71" i="10"/>
  <c r="E757" i="10"/>
  <c r="Z71" i="10"/>
  <c r="E742" i="10"/>
  <c r="K71" i="10"/>
  <c r="E806" i="10"/>
  <c r="BW71" i="10"/>
  <c r="E767" i="10"/>
  <c r="AJ71" i="10"/>
  <c r="E755" i="10"/>
  <c r="X71" i="10"/>
  <c r="E750" i="10"/>
  <c r="S71" i="10"/>
  <c r="E752" i="10"/>
  <c r="U71" i="10"/>
  <c r="E763" i="10"/>
  <c r="AF71" i="10"/>
  <c r="D368" i="10" l="1"/>
  <c r="D373" i="10" s="1"/>
  <c r="D391" i="10" s="1"/>
  <c r="D393" i="10" s="1"/>
  <c r="D396" i="10" s="1"/>
  <c r="C448" i="10"/>
  <c r="C680" i="10"/>
  <c r="C508" i="10"/>
  <c r="C623" i="10"/>
  <c r="C562" i="10"/>
  <c r="C628" i="10"/>
  <c r="C545" i="10"/>
  <c r="C573" i="10"/>
  <c r="C622" i="10"/>
  <c r="C554" i="10"/>
  <c r="C634" i="10"/>
  <c r="C547" i="10"/>
  <c r="C632" i="10"/>
  <c r="C510" i="10"/>
  <c r="C682" i="10"/>
  <c r="C546" i="10"/>
  <c r="C630" i="10"/>
  <c r="C692" i="10"/>
  <c r="C520" i="10"/>
  <c r="C676" i="10"/>
  <c r="C504" i="10"/>
  <c r="G504" i="10" s="1"/>
  <c r="C681" i="10"/>
  <c r="C509" i="10"/>
  <c r="C693" i="10"/>
  <c r="C521" i="10"/>
  <c r="C671" i="10"/>
  <c r="C499" i="10"/>
  <c r="G499" i="10" s="1"/>
  <c r="C627" i="10"/>
  <c r="C560" i="10"/>
  <c r="C563" i="10"/>
  <c r="C626" i="10"/>
  <c r="C699" i="10"/>
  <c r="C527" i="10"/>
  <c r="G527" i="10" s="1"/>
  <c r="C619" i="10"/>
  <c r="C559" i="10"/>
  <c r="C709" i="10"/>
  <c r="C537" i="10"/>
  <c r="C705" i="10"/>
  <c r="C533" i="10"/>
  <c r="C525" i="10"/>
  <c r="G525" i="10" s="1"/>
  <c r="C697" i="10"/>
  <c r="C568" i="10"/>
  <c r="C643" i="10"/>
  <c r="C688" i="10"/>
  <c r="C516" i="10"/>
  <c r="G516" i="10" s="1"/>
  <c r="C673" i="10"/>
  <c r="C501" i="10"/>
  <c r="C669" i="10"/>
  <c r="C497" i="10"/>
  <c r="G497" i="10" s="1"/>
  <c r="C552" i="10"/>
  <c r="C618" i="10"/>
  <c r="C569" i="10"/>
  <c r="C644" i="10"/>
  <c r="C539" i="10"/>
  <c r="G539" i="10" s="1"/>
  <c r="C711" i="10"/>
  <c r="C704" i="10"/>
  <c r="C532" i="10"/>
  <c r="G532" i="10" s="1"/>
  <c r="C684" i="10"/>
  <c r="C512" i="10"/>
  <c r="C624" i="10"/>
  <c r="C549" i="10"/>
  <c r="C642" i="10"/>
  <c r="C567" i="10"/>
  <c r="C572" i="10"/>
  <c r="C647" i="10"/>
  <c r="C677" i="10"/>
  <c r="C505" i="10"/>
  <c r="G505" i="10" s="1"/>
  <c r="C708" i="10"/>
  <c r="C536" i="10"/>
  <c r="G536" i="10" s="1"/>
  <c r="C713" i="10"/>
  <c r="C541" i="10"/>
  <c r="C553" i="10"/>
  <c r="C636" i="10"/>
  <c r="C702" i="10"/>
  <c r="C530" i="10"/>
  <c r="C687" i="10"/>
  <c r="C515" i="10"/>
  <c r="C690" i="10"/>
  <c r="C518" i="10"/>
  <c r="C703" i="10"/>
  <c r="C531" i="10"/>
  <c r="C574" i="10"/>
  <c r="C620" i="10"/>
  <c r="C561" i="10"/>
  <c r="C621" i="10"/>
  <c r="C551" i="10"/>
  <c r="C629" i="10"/>
  <c r="C700" i="10"/>
  <c r="C528" i="10"/>
  <c r="C686" i="10"/>
  <c r="C514" i="10"/>
  <c r="C507" i="10"/>
  <c r="G507" i="10" s="1"/>
  <c r="C679" i="10"/>
  <c r="C672" i="10"/>
  <c r="C500" i="10"/>
  <c r="C557" i="10"/>
  <c r="C637" i="10"/>
  <c r="C698" i="10"/>
  <c r="C526" i="10"/>
  <c r="C498" i="10"/>
  <c r="C670" i="10"/>
  <c r="C689" i="10"/>
  <c r="C517" i="10"/>
  <c r="C691" i="10"/>
  <c r="C519" i="10"/>
  <c r="G519" i="10" s="1"/>
  <c r="C696" i="10"/>
  <c r="C524" i="10"/>
  <c r="C683" i="10"/>
  <c r="C511" i="10"/>
  <c r="G511" i="10" s="1"/>
  <c r="C625" i="10"/>
  <c r="C544" i="10"/>
  <c r="G544" i="10" s="1"/>
  <c r="E734" i="10"/>
  <c r="E815" i="10" s="1"/>
  <c r="CE62" i="10"/>
  <c r="C71" i="10"/>
  <c r="C685" i="10"/>
  <c r="C513" i="10"/>
  <c r="C674" i="10"/>
  <c r="C502" i="10"/>
  <c r="G502" i="10" s="1"/>
  <c r="C675" i="10"/>
  <c r="C503" i="10"/>
  <c r="C556" i="10"/>
  <c r="C635" i="10"/>
  <c r="C712" i="10"/>
  <c r="C540" i="10"/>
  <c r="G540" i="10" s="1"/>
  <c r="C701" i="10"/>
  <c r="C529" i="10"/>
  <c r="C638" i="10"/>
  <c r="C558" i="10"/>
  <c r="C646" i="10"/>
  <c r="C571" i="10"/>
  <c r="C565" i="10"/>
  <c r="C640" i="10"/>
  <c r="C706" i="10"/>
  <c r="C534" i="10"/>
  <c r="G534" i="10" s="1"/>
  <c r="C614" i="10"/>
  <c r="C550" i="10"/>
  <c r="C678" i="10"/>
  <c r="C506" i="10"/>
  <c r="G506" i="10" s="1"/>
  <c r="J734" i="10"/>
  <c r="J815" i="10" s="1"/>
  <c r="CE67" i="10"/>
  <c r="C542" i="10"/>
  <c r="C631" i="10"/>
  <c r="C617" i="10"/>
  <c r="C555" i="10"/>
  <c r="C564" i="10"/>
  <c r="C639" i="10"/>
  <c r="C694" i="10"/>
  <c r="C522" i="10"/>
  <c r="C570" i="10"/>
  <c r="C645" i="10"/>
  <c r="C707" i="10"/>
  <c r="C535" i="10"/>
  <c r="C641" i="10"/>
  <c r="C566" i="10"/>
  <c r="C543" i="10"/>
  <c r="C616" i="10"/>
  <c r="C548" i="10"/>
  <c r="C633" i="10"/>
  <c r="C710" i="10"/>
  <c r="C538" i="10"/>
  <c r="G538" i="10" s="1"/>
  <c r="C695" i="10"/>
  <c r="C523" i="10"/>
  <c r="E816" i="10" l="1"/>
  <c r="C428" i="10"/>
  <c r="CE71" i="10"/>
  <c r="C716" i="10" s="1"/>
  <c r="G528" i="10"/>
  <c r="H528" i="10" s="1"/>
  <c r="G531" i="10"/>
  <c r="H531" i="10" s="1"/>
  <c r="G521" i="10"/>
  <c r="H521" i="10" s="1"/>
  <c r="D615" i="10"/>
  <c r="C648" i="10"/>
  <c r="M716" i="10" s="1"/>
  <c r="Y816" i="10" s="1"/>
  <c r="G517" i="10"/>
  <c r="H517" i="10" s="1"/>
  <c r="G529" i="10"/>
  <c r="H529" i="10" s="1"/>
  <c r="G510" i="10"/>
  <c r="H510" i="10" s="1"/>
  <c r="G550" i="10"/>
  <c r="H550" i="10" s="1"/>
  <c r="G500" i="10"/>
  <c r="H500" i="10" s="1"/>
  <c r="G533" i="10"/>
  <c r="H533" i="10"/>
  <c r="G545" i="10"/>
  <c r="H545" i="10" s="1"/>
  <c r="H515" i="10"/>
  <c r="G515" i="10"/>
  <c r="G537" i="10"/>
  <c r="H537" i="10" s="1"/>
  <c r="G535" i="10"/>
  <c r="H535" i="10" s="1"/>
  <c r="G503" i="10"/>
  <c r="H503" i="10" s="1"/>
  <c r="G509" i="10"/>
  <c r="H509" i="10" s="1"/>
  <c r="G522" i="10"/>
  <c r="H522" i="10" s="1"/>
  <c r="J816" i="10"/>
  <c r="C433" i="10"/>
  <c r="G513" i="10"/>
  <c r="H513" i="10" s="1"/>
  <c r="G498" i="10"/>
  <c r="H498" i="10" s="1"/>
  <c r="G546" i="10"/>
  <c r="H546" i="10"/>
  <c r="G518" i="10"/>
  <c r="H518" i="10" s="1"/>
  <c r="G501" i="10"/>
  <c r="H501" i="10" s="1"/>
  <c r="G524" i="10"/>
  <c r="H524" i="10" s="1"/>
  <c r="G526" i="10"/>
  <c r="H526" i="10" s="1"/>
  <c r="G514" i="10"/>
  <c r="H514" i="10" s="1"/>
  <c r="G530" i="10"/>
  <c r="H530" i="10" s="1"/>
  <c r="G512" i="10"/>
  <c r="H512" i="10" s="1"/>
  <c r="G520" i="10"/>
  <c r="H520" i="10" s="1"/>
  <c r="G508" i="10"/>
  <c r="H508" i="10" s="1"/>
  <c r="G523" i="10"/>
  <c r="H523" i="10"/>
  <c r="C668" i="10"/>
  <c r="C715" i="10" s="1"/>
  <c r="C496" i="10"/>
  <c r="G496" i="10" l="1"/>
  <c r="H496" i="10" s="1"/>
  <c r="D716" i="10"/>
  <c r="D707" i="10"/>
  <c r="D699" i="10"/>
  <c r="D691" i="10"/>
  <c r="D683" i="10"/>
  <c r="D675" i="10"/>
  <c r="D713" i="10"/>
  <c r="D704" i="10"/>
  <c r="D696" i="10"/>
  <c r="D688" i="10"/>
  <c r="D680" i="10"/>
  <c r="D712" i="10"/>
  <c r="D709" i="10"/>
  <c r="D701" i="10"/>
  <c r="D693" i="10"/>
  <c r="D685" i="10"/>
  <c r="D677" i="10"/>
  <c r="D706" i="10"/>
  <c r="D698" i="10"/>
  <c r="D690" i="10"/>
  <c r="D682" i="10"/>
  <c r="D674" i="10"/>
  <c r="D705" i="10"/>
  <c r="D689" i="10"/>
  <c r="D673" i="10"/>
  <c r="D623" i="10"/>
  <c r="D619" i="10"/>
  <c r="D702" i="10"/>
  <c r="D686" i="10"/>
  <c r="D671" i="10"/>
  <c r="D625" i="10"/>
  <c r="D703" i="10"/>
  <c r="D687" i="10"/>
  <c r="D668" i="10"/>
  <c r="D628" i="10"/>
  <c r="D622" i="10"/>
  <c r="D618" i="10"/>
  <c r="D700" i="10"/>
  <c r="D684" i="10"/>
  <c r="D681" i="10"/>
  <c r="D646" i="10"/>
  <c r="D617" i="10"/>
  <c r="D710" i="10"/>
  <c r="D678" i="10"/>
  <c r="D644" i="10"/>
  <c r="D642" i="10"/>
  <c r="D640" i="10"/>
  <c r="D638" i="10"/>
  <c r="D636" i="10"/>
  <c r="D634" i="10"/>
  <c r="D632" i="10"/>
  <c r="D630" i="10"/>
  <c r="D624" i="10"/>
  <c r="D695" i="10"/>
  <c r="D616" i="10"/>
  <c r="D692" i="10"/>
  <c r="D672" i="10"/>
  <c r="D669" i="10"/>
  <c r="D627" i="10"/>
  <c r="D697" i="10"/>
  <c r="D670" i="10"/>
  <c r="D647" i="10"/>
  <c r="D645" i="10"/>
  <c r="D629" i="10"/>
  <c r="D626" i="10"/>
  <c r="D621" i="10"/>
  <c r="D694" i="10"/>
  <c r="D643" i="10"/>
  <c r="D641" i="10"/>
  <c r="D639" i="10"/>
  <c r="D637" i="10"/>
  <c r="D635" i="10"/>
  <c r="D633" i="10"/>
  <c r="D631" i="10"/>
  <c r="D711" i="10"/>
  <c r="D679" i="10"/>
  <c r="D620" i="10"/>
  <c r="D708" i="10"/>
  <c r="D676" i="10"/>
  <c r="C441" i="10"/>
  <c r="D715" i="10" l="1"/>
  <c r="E623" i="10"/>
  <c r="E612" i="10"/>
  <c r="E713" i="10" l="1"/>
  <c r="E704" i="10"/>
  <c r="E696" i="10"/>
  <c r="E688" i="10"/>
  <c r="E680" i="10"/>
  <c r="E672" i="10"/>
  <c r="E712" i="10"/>
  <c r="E709" i="10"/>
  <c r="E701" i="10"/>
  <c r="E693" i="10"/>
  <c r="E685" i="10"/>
  <c r="E677" i="10"/>
  <c r="E706" i="10"/>
  <c r="E698" i="10"/>
  <c r="E690" i="10"/>
  <c r="E682" i="10"/>
  <c r="E674" i="10"/>
  <c r="E716" i="10"/>
  <c r="E711" i="10"/>
  <c r="E703" i="10"/>
  <c r="E695" i="10"/>
  <c r="E687" i="10"/>
  <c r="E679" i="10"/>
  <c r="E702" i="10"/>
  <c r="E686" i="10"/>
  <c r="E671" i="10"/>
  <c r="E625" i="10"/>
  <c r="E699" i="10"/>
  <c r="E683" i="10"/>
  <c r="E668" i="10"/>
  <c r="E628" i="10"/>
  <c r="E700" i="10"/>
  <c r="E684" i="10"/>
  <c r="E697" i="10"/>
  <c r="E681" i="10"/>
  <c r="E670" i="10"/>
  <c r="E647" i="10"/>
  <c r="E646" i="10"/>
  <c r="E645" i="10"/>
  <c r="E629" i="10"/>
  <c r="E626" i="10"/>
  <c r="E710" i="10"/>
  <c r="E678" i="10"/>
  <c r="E644" i="10"/>
  <c r="E642" i="10"/>
  <c r="E640" i="10"/>
  <c r="E638" i="10"/>
  <c r="E636" i="10"/>
  <c r="E634" i="10"/>
  <c r="E632" i="10"/>
  <c r="E630" i="10"/>
  <c r="E624" i="10"/>
  <c r="E707" i="10"/>
  <c r="E675" i="10"/>
  <c r="E692" i="10"/>
  <c r="E669" i="10"/>
  <c r="E627" i="10"/>
  <c r="E689" i="10"/>
  <c r="E694" i="10"/>
  <c r="E643" i="10"/>
  <c r="E641" i="10"/>
  <c r="E639" i="10"/>
  <c r="E637" i="10"/>
  <c r="E635" i="10"/>
  <c r="E633" i="10"/>
  <c r="E631" i="10"/>
  <c r="E691" i="10"/>
  <c r="E708" i="10"/>
  <c r="E676" i="10"/>
  <c r="E705" i="10"/>
  <c r="E673" i="10"/>
  <c r="E715" i="10" l="1"/>
  <c r="F624" i="10"/>
  <c r="F713" i="10" l="1"/>
  <c r="F712" i="10"/>
  <c r="F709" i="10"/>
  <c r="F701" i="10"/>
  <c r="F693" i="10"/>
  <c r="F685" i="10"/>
  <c r="F677" i="10"/>
  <c r="F706" i="10"/>
  <c r="F698" i="10"/>
  <c r="F690" i="10"/>
  <c r="F682" i="10"/>
  <c r="F674" i="10"/>
  <c r="F716" i="10"/>
  <c r="F711" i="10"/>
  <c r="F703" i="10"/>
  <c r="F695" i="10"/>
  <c r="F687" i="10"/>
  <c r="F679" i="10"/>
  <c r="F708" i="10"/>
  <c r="F700" i="10"/>
  <c r="F692" i="10"/>
  <c r="F684" i="10"/>
  <c r="F676" i="10"/>
  <c r="F699" i="10"/>
  <c r="F683" i="10"/>
  <c r="F668" i="10"/>
  <c r="F628" i="10"/>
  <c r="F696" i="10"/>
  <c r="F680" i="10"/>
  <c r="F697" i="10"/>
  <c r="F681" i="10"/>
  <c r="F670" i="10"/>
  <c r="F647" i="10"/>
  <c r="F646" i="10"/>
  <c r="F645" i="10"/>
  <c r="F629" i="10"/>
  <c r="F626" i="10"/>
  <c r="F710" i="10"/>
  <c r="F694" i="10"/>
  <c r="F678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7" i="10"/>
  <c r="F675" i="10"/>
  <c r="F704" i="10"/>
  <c r="F669" i="10"/>
  <c r="F627" i="10"/>
  <c r="F689" i="10"/>
  <c r="F672" i="10"/>
  <c r="F686" i="10"/>
  <c r="F691" i="10"/>
  <c r="F688" i="10"/>
  <c r="F705" i="10"/>
  <c r="F673" i="10"/>
  <c r="F702" i="10"/>
  <c r="F671" i="10"/>
  <c r="F625" i="10"/>
  <c r="F715" i="10" l="1"/>
  <c r="G625" i="10"/>
  <c r="G706" i="10" l="1"/>
  <c r="G698" i="10"/>
  <c r="G690" i="10"/>
  <c r="G682" i="10"/>
  <c r="G674" i="10"/>
  <c r="G716" i="10"/>
  <c r="G711" i="10"/>
  <c r="G703" i="10"/>
  <c r="G695" i="10"/>
  <c r="G687" i="10"/>
  <c r="G679" i="10"/>
  <c r="G708" i="10"/>
  <c r="G700" i="10"/>
  <c r="G692" i="10"/>
  <c r="G684" i="10"/>
  <c r="G676" i="10"/>
  <c r="G705" i="10"/>
  <c r="G697" i="10"/>
  <c r="G689" i="10"/>
  <c r="G681" i="10"/>
  <c r="G673" i="10"/>
  <c r="G696" i="10"/>
  <c r="G680" i="10"/>
  <c r="G712" i="10"/>
  <c r="G709" i="10"/>
  <c r="G693" i="10"/>
  <c r="G677" i="10"/>
  <c r="G670" i="10"/>
  <c r="G647" i="10"/>
  <c r="G646" i="10"/>
  <c r="G645" i="10"/>
  <c r="G629" i="10"/>
  <c r="G626" i="10"/>
  <c r="G710" i="10"/>
  <c r="G694" i="10"/>
  <c r="G678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7" i="10"/>
  <c r="G691" i="10"/>
  <c r="G675" i="10"/>
  <c r="G704" i="10"/>
  <c r="G669" i="10"/>
  <c r="G627" i="10"/>
  <c r="G713" i="10"/>
  <c r="G701" i="10"/>
  <c r="G672" i="10"/>
  <c r="G686" i="10"/>
  <c r="G683" i="10"/>
  <c r="G688" i="10"/>
  <c r="G685" i="10"/>
  <c r="G702" i="10"/>
  <c r="G671" i="10"/>
  <c r="G699" i="10"/>
  <c r="G668" i="10"/>
  <c r="G628" i="10"/>
  <c r="H628" i="10" s="1"/>
  <c r="H716" i="10" l="1"/>
  <c r="H711" i="10"/>
  <c r="H703" i="10"/>
  <c r="H695" i="10"/>
  <c r="H687" i="10"/>
  <c r="H679" i="10"/>
  <c r="H708" i="10"/>
  <c r="H700" i="10"/>
  <c r="H692" i="10"/>
  <c r="H684" i="10"/>
  <c r="H676" i="10"/>
  <c r="H705" i="10"/>
  <c r="H697" i="10"/>
  <c r="H689" i="10"/>
  <c r="H681" i="10"/>
  <c r="H673" i="10"/>
  <c r="H710" i="10"/>
  <c r="H702" i="10"/>
  <c r="H694" i="10"/>
  <c r="H686" i="10"/>
  <c r="H678" i="10"/>
  <c r="H712" i="10"/>
  <c r="H709" i="10"/>
  <c r="H693" i="10"/>
  <c r="H677" i="10"/>
  <c r="H670" i="10"/>
  <c r="H647" i="10"/>
  <c r="H646" i="10"/>
  <c r="H645" i="10"/>
  <c r="H629" i="10"/>
  <c r="H706" i="10"/>
  <c r="H690" i="10"/>
  <c r="H674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7" i="10"/>
  <c r="H691" i="10"/>
  <c r="H675" i="10"/>
  <c r="H704" i="10"/>
  <c r="H688" i="10"/>
  <c r="H669" i="10"/>
  <c r="H713" i="10"/>
  <c r="H701" i="10"/>
  <c r="H672" i="10"/>
  <c r="H698" i="10"/>
  <c r="H683" i="10"/>
  <c r="H680" i="10"/>
  <c r="H685" i="10"/>
  <c r="H682" i="10"/>
  <c r="H671" i="10"/>
  <c r="H699" i="10"/>
  <c r="H668" i="10"/>
  <c r="H696" i="10"/>
  <c r="G715" i="10"/>
  <c r="H715" i="10" l="1"/>
  <c r="I629" i="10"/>
  <c r="I713" i="10" l="1"/>
  <c r="I712" i="10"/>
  <c r="I716" i="10"/>
  <c r="I708" i="10"/>
  <c r="I700" i="10"/>
  <c r="I692" i="10"/>
  <c r="I684" i="10"/>
  <c r="I676" i="10"/>
  <c r="I705" i="10"/>
  <c r="I697" i="10"/>
  <c r="I689" i="10"/>
  <c r="I681" i="10"/>
  <c r="I673" i="10"/>
  <c r="I710" i="10"/>
  <c r="I702" i="10"/>
  <c r="I694" i="10"/>
  <c r="I686" i="10"/>
  <c r="I678" i="10"/>
  <c r="I707" i="10"/>
  <c r="I699" i="10"/>
  <c r="I691" i="10"/>
  <c r="I683" i="10"/>
  <c r="I675" i="10"/>
  <c r="I706" i="10"/>
  <c r="I690" i="10"/>
  <c r="I674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3" i="10"/>
  <c r="I687" i="10"/>
  <c r="I704" i="10"/>
  <c r="I688" i="10"/>
  <c r="I669" i="10"/>
  <c r="I701" i="10"/>
  <c r="I685" i="10"/>
  <c r="I672" i="10"/>
  <c r="I698" i="10"/>
  <c r="I695" i="10"/>
  <c r="I680" i="10"/>
  <c r="I709" i="10"/>
  <c r="I677" i="10"/>
  <c r="I670" i="10"/>
  <c r="I647" i="10"/>
  <c r="I645" i="10"/>
  <c r="I682" i="10"/>
  <c r="I671" i="10"/>
  <c r="I711" i="10"/>
  <c r="I679" i="10"/>
  <c r="I668" i="10"/>
  <c r="I696" i="10"/>
  <c r="I693" i="10"/>
  <c r="I646" i="10"/>
  <c r="I715" i="10" l="1"/>
  <c r="J630" i="10"/>
  <c r="J713" i="10" l="1"/>
  <c r="J705" i="10"/>
  <c r="J697" i="10"/>
  <c r="J689" i="10"/>
  <c r="J681" i="10"/>
  <c r="J673" i="10"/>
  <c r="J710" i="10"/>
  <c r="J702" i="10"/>
  <c r="J694" i="10"/>
  <c r="J686" i="10"/>
  <c r="J678" i="10"/>
  <c r="J707" i="10"/>
  <c r="J699" i="10"/>
  <c r="J691" i="10"/>
  <c r="J683" i="10"/>
  <c r="J675" i="10"/>
  <c r="J704" i="10"/>
  <c r="J696" i="10"/>
  <c r="J688" i="10"/>
  <c r="J680" i="10"/>
  <c r="J703" i="10"/>
  <c r="J687" i="10"/>
  <c r="J700" i="10"/>
  <c r="J684" i="10"/>
  <c r="J669" i="10"/>
  <c r="J701" i="10"/>
  <c r="J685" i="10"/>
  <c r="J672" i="10"/>
  <c r="J698" i="10"/>
  <c r="J682" i="10"/>
  <c r="J671" i="10"/>
  <c r="J695" i="10"/>
  <c r="J692" i="10"/>
  <c r="J709" i="10"/>
  <c r="J677" i="10"/>
  <c r="J670" i="10"/>
  <c r="J647" i="10"/>
  <c r="J645" i="10"/>
  <c r="J712" i="10"/>
  <c r="J706" i="10"/>
  <c r="J674" i="10"/>
  <c r="J643" i="10"/>
  <c r="J641" i="10"/>
  <c r="J639" i="10"/>
  <c r="J637" i="10"/>
  <c r="J635" i="10"/>
  <c r="J633" i="10"/>
  <c r="J631" i="10"/>
  <c r="J711" i="10"/>
  <c r="J679" i="10"/>
  <c r="J668" i="10"/>
  <c r="J716" i="10"/>
  <c r="J708" i="10"/>
  <c r="J676" i="10"/>
  <c r="J693" i="10"/>
  <c r="J646" i="10"/>
  <c r="J690" i="10"/>
  <c r="J644" i="10"/>
  <c r="J642" i="10"/>
  <c r="J640" i="10"/>
  <c r="J638" i="10"/>
  <c r="J636" i="10"/>
  <c r="J634" i="10"/>
  <c r="J632" i="10"/>
  <c r="J715" i="10" l="1"/>
  <c r="L647" i="10"/>
  <c r="K644" i="10"/>
  <c r="K716" i="10" l="1"/>
  <c r="K710" i="10"/>
  <c r="K702" i="10"/>
  <c r="K694" i="10"/>
  <c r="K686" i="10"/>
  <c r="K678" i="10"/>
  <c r="K707" i="10"/>
  <c r="K699" i="10"/>
  <c r="K691" i="10"/>
  <c r="K683" i="10"/>
  <c r="K675" i="10"/>
  <c r="K704" i="10"/>
  <c r="K696" i="10"/>
  <c r="K688" i="10"/>
  <c r="K680" i="10"/>
  <c r="K672" i="10"/>
  <c r="K709" i="10"/>
  <c r="K701" i="10"/>
  <c r="K693" i="10"/>
  <c r="K685" i="10"/>
  <c r="K677" i="10"/>
  <c r="K700" i="10"/>
  <c r="K684" i="10"/>
  <c r="K669" i="10"/>
  <c r="K697" i="10"/>
  <c r="K681" i="10"/>
  <c r="K698" i="10"/>
  <c r="K682" i="10"/>
  <c r="K671" i="10"/>
  <c r="K713" i="10"/>
  <c r="K711" i="10"/>
  <c r="K695" i="10"/>
  <c r="K679" i="10"/>
  <c r="K668" i="10"/>
  <c r="K692" i="10"/>
  <c r="K689" i="10"/>
  <c r="K670" i="10"/>
  <c r="K712" i="10"/>
  <c r="K706" i="10"/>
  <c r="K674" i="10"/>
  <c r="K703" i="10"/>
  <c r="K708" i="10"/>
  <c r="K676" i="10"/>
  <c r="K705" i="10"/>
  <c r="K673" i="10"/>
  <c r="K690" i="10"/>
  <c r="K687" i="10"/>
  <c r="L716" i="10"/>
  <c r="L712" i="10"/>
  <c r="L711" i="10"/>
  <c r="L707" i="10"/>
  <c r="L699" i="10"/>
  <c r="M699" i="10" s="1"/>
  <c r="Y765" i="10" s="1"/>
  <c r="L691" i="10"/>
  <c r="M691" i="10" s="1"/>
  <c r="Y757" i="10" s="1"/>
  <c r="L683" i="10"/>
  <c r="M683" i="10" s="1"/>
  <c r="Y749" i="10" s="1"/>
  <c r="L675" i="10"/>
  <c r="M675" i="10" s="1"/>
  <c r="Y741" i="10" s="1"/>
  <c r="L704" i="10"/>
  <c r="M704" i="10" s="1"/>
  <c r="Y770" i="10" s="1"/>
  <c r="L696" i="10"/>
  <c r="L688" i="10"/>
  <c r="L680" i="10"/>
  <c r="L672" i="10"/>
  <c r="M672" i="10" s="1"/>
  <c r="Y738" i="10" s="1"/>
  <c r="L709" i="10"/>
  <c r="M709" i="10" s="1"/>
  <c r="Y775" i="10" s="1"/>
  <c r="L701" i="10"/>
  <c r="M701" i="10" s="1"/>
  <c r="Y767" i="10" s="1"/>
  <c r="L693" i="10"/>
  <c r="M693" i="10" s="1"/>
  <c r="Y759" i="10" s="1"/>
  <c r="L685" i="10"/>
  <c r="M685" i="10" s="1"/>
  <c r="Y751" i="10" s="1"/>
  <c r="L677" i="10"/>
  <c r="M677" i="10" s="1"/>
  <c r="Y743" i="10" s="1"/>
  <c r="L706" i="10"/>
  <c r="L698" i="10"/>
  <c r="M698" i="10" s="1"/>
  <c r="Y764" i="10" s="1"/>
  <c r="L690" i="10"/>
  <c r="M690" i="10" s="1"/>
  <c r="Y756" i="10" s="1"/>
  <c r="L682" i="10"/>
  <c r="L674" i="10"/>
  <c r="M674" i="10" s="1"/>
  <c r="Y740" i="10" s="1"/>
  <c r="L697" i="10"/>
  <c r="M697" i="10" s="1"/>
  <c r="Y763" i="10" s="1"/>
  <c r="L681" i="10"/>
  <c r="M681" i="10" s="1"/>
  <c r="Y747" i="10" s="1"/>
  <c r="L710" i="10"/>
  <c r="L694" i="10"/>
  <c r="M694" i="10" s="1"/>
  <c r="Y760" i="10" s="1"/>
  <c r="L678" i="10"/>
  <c r="L671" i="10"/>
  <c r="L713" i="10"/>
  <c r="L695" i="10"/>
  <c r="M695" i="10" s="1"/>
  <c r="Y761" i="10" s="1"/>
  <c r="L679" i="10"/>
  <c r="M679" i="10" s="1"/>
  <c r="Y745" i="10" s="1"/>
  <c r="L668" i="10"/>
  <c r="L708" i="10"/>
  <c r="L692" i="10"/>
  <c r="L676" i="10"/>
  <c r="M676" i="10" s="1"/>
  <c r="Y742" i="10" s="1"/>
  <c r="L689" i="10"/>
  <c r="M689" i="10" s="1"/>
  <c r="Y755" i="10" s="1"/>
  <c r="L670" i="10"/>
  <c r="M670" i="10" s="1"/>
  <c r="Y736" i="10" s="1"/>
  <c r="L686" i="10"/>
  <c r="L703" i="10"/>
  <c r="M703" i="10" s="1"/>
  <c r="Y769" i="10" s="1"/>
  <c r="L700" i="10"/>
  <c r="M700" i="10" s="1"/>
  <c r="Y766" i="10" s="1"/>
  <c r="L705" i="10"/>
  <c r="L673" i="10"/>
  <c r="L702" i="10"/>
  <c r="M702" i="10" s="1"/>
  <c r="Y768" i="10" s="1"/>
  <c r="L687" i="10"/>
  <c r="L684" i="10"/>
  <c r="M684" i="10" s="1"/>
  <c r="Y750" i="10" s="1"/>
  <c r="L669" i="10"/>
  <c r="M669" i="10" s="1"/>
  <c r="Y735" i="10" s="1"/>
  <c r="M687" i="10" l="1"/>
  <c r="Y753" i="10" s="1"/>
  <c r="M673" i="10"/>
  <c r="Y739" i="10" s="1"/>
  <c r="M686" i="10"/>
  <c r="Y752" i="10" s="1"/>
  <c r="M692" i="10"/>
  <c r="Y758" i="10" s="1"/>
  <c r="M671" i="10"/>
  <c r="Y737" i="10" s="1"/>
  <c r="M705" i="10"/>
  <c r="Y771" i="10" s="1"/>
  <c r="M708" i="10"/>
  <c r="Y774" i="10" s="1"/>
  <c r="M713" i="10"/>
  <c r="Y779" i="10" s="1"/>
  <c r="M678" i="10"/>
  <c r="Y744" i="10" s="1"/>
  <c r="M710" i="10"/>
  <c r="Y776" i="10" s="1"/>
  <c r="M682" i="10"/>
  <c r="Y748" i="10" s="1"/>
  <c r="L715" i="10"/>
  <c r="M668" i="10"/>
  <c r="M680" i="10"/>
  <c r="Y746" i="10" s="1"/>
  <c r="M707" i="10"/>
  <c r="Y773" i="10" s="1"/>
  <c r="M706" i="10"/>
  <c r="Y772" i="10" s="1"/>
  <c r="M688" i="10"/>
  <c r="Y754" i="10" s="1"/>
  <c r="M711" i="10"/>
  <c r="Y777" i="10" s="1"/>
  <c r="K715" i="10"/>
  <c r="M696" i="10"/>
  <c r="Y762" i="10" s="1"/>
  <c r="M712" i="10"/>
  <c r="Y778" i="10" s="1"/>
  <c r="Y734" i="10" l="1"/>
  <c r="Y815" i="10" s="1"/>
  <c r="M715" i="10"/>
  <c r="F493" i="1" l="1"/>
  <c r="D493" i="1"/>
  <c r="B493" i="1"/>
  <c r="B575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V75" i="1"/>
  <c r="H90" i="9" s="1"/>
  <c r="T75" i="1"/>
  <c r="R75" i="1"/>
  <c r="Q75" i="1"/>
  <c r="P75" i="1"/>
  <c r="O75" i="1"/>
  <c r="N75" i="1"/>
  <c r="M75" i="1"/>
  <c r="F58" i="9" s="1"/>
  <c r="L75" i="1"/>
  <c r="I75" i="1"/>
  <c r="H75" i="1"/>
  <c r="H26" i="9" s="1"/>
  <c r="G75" i="1"/>
  <c r="F75" i="1"/>
  <c r="AV75" i="1"/>
  <c r="AP75" i="1"/>
  <c r="G186" i="9" s="1"/>
  <c r="AJ75" i="1"/>
  <c r="AL75" i="1"/>
  <c r="AK75" i="1"/>
  <c r="AG75" i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C470" i="1" s="1"/>
  <c r="E198" i="1"/>
  <c r="E199" i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G28" i="4" s="1"/>
  <c r="E153" i="1"/>
  <c r="E152" i="1"/>
  <c r="D28" i="4" s="1"/>
  <c r="E151" i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 s="1"/>
  <c r="E139" i="1"/>
  <c r="C415" i="1" s="1"/>
  <c r="E127" i="1"/>
  <c r="G34" i="3" s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D366" i="9"/>
  <c r="CE64" i="1"/>
  <c r="I366" i="9" s="1"/>
  <c r="D368" i="9"/>
  <c r="C276" i="9"/>
  <c r="CE70" i="1"/>
  <c r="I372" i="9" s="1"/>
  <c r="CE76" i="1"/>
  <c r="CF76" i="1" s="1"/>
  <c r="CE77" i="1"/>
  <c r="I29" i="9"/>
  <c r="C95" i="9"/>
  <c r="CE79" i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E372" i="9"/>
  <c r="F8" i="6" l="1"/>
  <c r="I381" i="9"/>
  <c r="CF77" i="1"/>
  <c r="C472" i="1"/>
  <c r="F15" i="6"/>
  <c r="D52" i="1"/>
  <c r="D67" i="1" s="1"/>
  <c r="I52" i="1"/>
  <c r="I67" i="1" s="1"/>
  <c r="K52" i="1"/>
  <c r="K67" i="1" s="1"/>
  <c r="M52" i="1"/>
  <c r="M67" i="1" s="1"/>
  <c r="O52" i="1"/>
  <c r="O67" i="1" s="1"/>
  <c r="Q52" i="1"/>
  <c r="Q67" i="1" s="1"/>
  <c r="S52" i="1"/>
  <c r="S67" i="1" s="1"/>
  <c r="U52" i="1"/>
  <c r="U67" i="1" s="1"/>
  <c r="W52" i="1"/>
  <c r="W67" i="1" s="1"/>
  <c r="Y52" i="1"/>
  <c r="Y67" i="1" s="1"/>
  <c r="AA52" i="1"/>
  <c r="AA67" i="1" s="1"/>
  <c r="AC52" i="1"/>
  <c r="AC67" i="1" s="1"/>
  <c r="AE52" i="1"/>
  <c r="AE67" i="1" s="1"/>
  <c r="AG52" i="1"/>
  <c r="AG67" i="1" s="1"/>
  <c r="AI52" i="1"/>
  <c r="AI67" i="1" s="1"/>
  <c r="AK52" i="1"/>
  <c r="AK67" i="1" s="1"/>
  <c r="AM52" i="1"/>
  <c r="AM67" i="1" s="1"/>
  <c r="AO52" i="1"/>
  <c r="AO67" i="1" s="1"/>
  <c r="AQ52" i="1"/>
  <c r="AQ67" i="1" s="1"/>
  <c r="AS52" i="1"/>
  <c r="AS67" i="1" s="1"/>
  <c r="AU52" i="1"/>
  <c r="AU67" i="1" s="1"/>
  <c r="AW52" i="1"/>
  <c r="AW67" i="1" s="1"/>
  <c r="AY52" i="1"/>
  <c r="AY67" i="1" s="1"/>
  <c r="BA52" i="1"/>
  <c r="BA67" i="1" s="1"/>
  <c r="BC52" i="1"/>
  <c r="BC67" i="1" s="1"/>
  <c r="BE52" i="1"/>
  <c r="BE67" i="1" s="1"/>
  <c r="BG52" i="1"/>
  <c r="BG67" i="1" s="1"/>
  <c r="BI52" i="1"/>
  <c r="BI67" i="1" s="1"/>
  <c r="BK52" i="1"/>
  <c r="BK67" i="1" s="1"/>
  <c r="BM52" i="1"/>
  <c r="BM67" i="1" s="1"/>
  <c r="BO52" i="1"/>
  <c r="BO67" i="1" s="1"/>
  <c r="BQ52" i="1"/>
  <c r="BQ67" i="1" s="1"/>
  <c r="BS52" i="1"/>
  <c r="BS67" i="1" s="1"/>
  <c r="BU52" i="1"/>
  <c r="BU67" i="1" s="1"/>
  <c r="BW52" i="1"/>
  <c r="BW67" i="1" s="1"/>
  <c r="BY52" i="1"/>
  <c r="BY67" i="1" s="1"/>
  <c r="CA52" i="1"/>
  <c r="CA67" i="1" s="1"/>
  <c r="CC52" i="1"/>
  <c r="CC67" i="1" s="1"/>
  <c r="CB52" i="1"/>
  <c r="CB67" i="1" s="1"/>
  <c r="C52" i="1"/>
  <c r="C67" i="1" s="1"/>
  <c r="E52" i="1"/>
  <c r="E67" i="1" s="1"/>
  <c r="F52" i="1"/>
  <c r="F67" i="1" s="1"/>
  <c r="H52" i="1"/>
  <c r="H67" i="1" s="1"/>
  <c r="J52" i="1"/>
  <c r="J67" i="1" s="1"/>
  <c r="L52" i="1"/>
  <c r="L67" i="1" s="1"/>
  <c r="N52" i="1"/>
  <c r="N67" i="1" s="1"/>
  <c r="P52" i="1"/>
  <c r="P67" i="1" s="1"/>
  <c r="R52" i="1"/>
  <c r="R67" i="1" s="1"/>
  <c r="T52" i="1"/>
  <c r="T67" i="1" s="1"/>
  <c r="V52" i="1"/>
  <c r="V67" i="1" s="1"/>
  <c r="X52" i="1"/>
  <c r="X67" i="1" s="1"/>
  <c r="Z52" i="1"/>
  <c r="Z67" i="1" s="1"/>
  <c r="AB52" i="1"/>
  <c r="AB67" i="1" s="1"/>
  <c r="AD52" i="1"/>
  <c r="AD67" i="1" s="1"/>
  <c r="AF52" i="1"/>
  <c r="AF67" i="1" s="1"/>
  <c r="AH52" i="1"/>
  <c r="AH67" i="1" s="1"/>
  <c r="AJ52" i="1"/>
  <c r="AJ67" i="1" s="1"/>
  <c r="AL52" i="1"/>
  <c r="AL67" i="1" s="1"/>
  <c r="AN52" i="1"/>
  <c r="AN67" i="1" s="1"/>
  <c r="AP52" i="1"/>
  <c r="AP67" i="1" s="1"/>
  <c r="AR52" i="1"/>
  <c r="AR67" i="1" s="1"/>
  <c r="AT52" i="1"/>
  <c r="AT67" i="1" s="1"/>
  <c r="AV52" i="1"/>
  <c r="AV67" i="1" s="1"/>
  <c r="AX52" i="1"/>
  <c r="AX67" i="1" s="1"/>
  <c r="AZ52" i="1"/>
  <c r="AZ67" i="1" s="1"/>
  <c r="BB52" i="1"/>
  <c r="BB67" i="1" s="1"/>
  <c r="BD52" i="1"/>
  <c r="BD67" i="1" s="1"/>
  <c r="BF52" i="1"/>
  <c r="BF67" i="1" s="1"/>
  <c r="BH52" i="1"/>
  <c r="BH67" i="1" s="1"/>
  <c r="BJ52" i="1"/>
  <c r="BJ67" i="1" s="1"/>
  <c r="BL52" i="1"/>
  <c r="BL67" i="1" s="1"/>
  <c r="BN52" i="1"/>
  <c r="BN67" i="1" s="1"/>
  <c r="BP52" i="1"/>
  <c r="BP67" i="1" s="1"/>
  <c r="BR52" i="1"/>
  <c r="BR67" i="1" s="1"/>
  <c r="BT52" i="1"/>
  <c r="BT67" i="1" s="1"/>
  <c r="BV52" i="1"/>
  <c r="BV67" i="1" s="1"/>
  <c r="BX52" i="1"/>
  <c r="BX67" i="1" s="1"/>
  <c r="BZ52" i="1"/>
  <c r="BZ67" i="1" s="1"/>
  <c r="BK62" i="1"/>
  <c r="G268" i="9" s="1"/>
  <c r="D472" i="1"/>
  <c r="F9" i="6"/>
  <c r="C33" i="8"/>
  <c r="D433" i="1"/>
  <c r="F10" i="4"/>
  <c r="G10" i="4"/>
  <c r="D32" i="6"/>
  <c r="F90" i="9"/>
  <c r="I26" i="9"/>
  <c r="C218" i="9"/>
  <c r="H58" i="9"/>
  <c r="G122" i="9"/>
  <c r="B441" i="1"/>
  <c r="E154" i="9"/>
  <c r="E26" i="9"/>
  <c r="I122" i="9"/>
  <c r="AF48" i="1"/>
  <c r="AY48" i="1"/>
  <c r="D436" i="1"/>
  <c r="BL48" i="1"/>
  <c r="AK48" i="1"/>
  <c r="AM48" i="1"/>
  <c r="T48" i="1"/>
  <c r="D368" i="1"/>
  <c r="C120" i="8" s="1"/>
  <c r="D612" i="1"/>
  <c r="J612" i="1"/>
  <c r="CF79" i="1"/>
  <c r="I612" i="1"/>
  <c r="C141" i="8"/>
  <c r="D5" i="7"/>
  <c r="C14" i="5"/>
  <c r="B10" i="4"/>
  <c r="I377" i="9"/>
  <c r="I90" i="9"/>
  <c r="D186" i="9"/>
  <c r="G90" i="9"/>
  <c r="C186" i="9"/>
  <c r="F26" i="9"/>
  <c r="E58" i="9"/>
  <c r="C90" i="9"/>
  <c r="C575" i="1"/>
  <c r="AV48" i="1"/>
  <c r="CA48" i="1"/>
  <c r="AG48" i="1"/>
  <c r="G48" i="1"/>
  <c r="C429" i="1"/>
  <c r="C432" i="1"/>
  <c r="R48" i="1"/>
  <c r="AN48" i="1"/>
  <c r="BD48" i="1"/>
  <c r="BT48" i="1"/>
  <c r="CB48" i="1"/>
  <c r="S48" i="1"/>
  <c r="CC48" i="1"/>
  <c r="BM48" i="1"/>
  <c r="M48" i="1"/>
  <c r="D48" i="1"/>
  <c r="C440" i="1"/>
  <c r="I370" i="9"/>
  <c r="J48" i="1"/>
  <c r="Z48" i="1"/>
  <c r="AJ48" i="1"/>
  <c r="AR48" i="1"/>
  <c r="AZ48" i="1"/>
  <c r="BH48" i="1"/>
  <c r="BH62" i="1" s="1"/>
  <c r="BP48" i="1"/>
  <c r="BX48" i="1"/>
  <c r="AI48" i="1"/>
  <c r="BO48" i="1"/>
  <c r="Q48" i="1"/>
  <c r="Q62" i="1" s="1"/>
  <c r="AW48" i="1"/>
  <c r="E48" i="1"/>
  <c r="BQ48" i="1"/>
  <c r="C427" i="1"/>
  <c r="BC48" i="1"/>
  <c r="AU48" i="1"/>
  <c r="L48" i="1"/>
  <c r="L62" i="1" s="1"/>
  <c r="AB48" i="1"/>
  <c r="AS48" i="1"/>
  <c r="F48" i="1"/>
  <c r="N48" i="1"/>
  <c r="V48" i="1"/>
  <c r="AD48" i="1"/>
  <c r="AH48" i="1"/>
  <c r="AL48" i="1"/>
  <c r="AP48" i="1"/>
  <c r="AT48" i="1"/>
  <c r="AX48" i="1"/>
  <c r="BB48" i="1"/>
  <c r="BF48" i="1"/>
  <c r="BJ48" i="1"/>
  <c r="BN48" i="1"/>
  <c r="BR48" i="1"/>
  <c r="BV48" i="1"/>
  <c r="BY48" i="1"/>
  <c r="C48" i="1"/>
  <c r="K48" i="1"/>
  <c r="AA48" i="1"/>
  <c r="AQ48" i="1"/>
  <c r="BG48" i="1"/>
  <c r="BW48" i="1"/>
  <c r="I48" i="1"/>
  <c r="I62" i="1" s="1"/>
  <c r="Y48" i="1"/>
  <c r="AO48" i="1"/>
  <c r="BE48" i="1"/>
  <c r="BU48" i="1"/>
  <c r="U48" i="1"/>
  <c r="BA48" i="1"/>
  <c r="BA62" i="1" s="1"/>
  <c r="BI48" i="1"/>
  <c r="O48" i="1"/>
  <c r="AE48" i="1"/>
  <c r="BS48" i="1"/>
  <c r="BS62" i="1" s="1"/>
  <c r="AC48" i="1"/>
  <c r="BZ48" i="1"/>
  <c r="H48" i="1"/>
  <c r="H62" i="1" s="1"/>
  <c r="P48" i="1"/>
  <c r="P62" i="1" s="1"/>
  <c r="X48" i="1"/>
  <c r="I363" i="9"/>
  <c r="W48" i="1"/>
  <c r="I362" i="9"/>
  <c r="I380" i="9"/>
  <c r="G612" i="1"/>
  <c r="B440" i="1"/>
  <c r="D463" i="1"/>
  <c r="C473" i="1"/>
  <c r="C28" i="4"/>
  <c r="C421" i="1"/>
  <c r="C434" i="1"/>
  <c r="C458" i="1"/>
  <c r="F612" i="1"/>
  <c r="C430" i="1"/>
  <c r="B465" i="1"/>
  <c r="I154" i="9"/>
  <c r="G58" i="9"/>
  <c r="I58" i="9"/>
  <c r="C122" i="9"/>
  <c r="G154" i="9"/>
  <c r="D218" i="9"/>
  <c r="B476" i="1"/>
  <c r="C85" i="8"/>
  <c r="D330" i="1"/>
  <c r="C86" i="8" s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G52" i="1" l="1"/>
  <c r="G67" i="1" s="1"/>
  <c r="G17" i="9" s="1"/>
  <c r="X62" i="1"/>
  <c r="AC62" i="1"/>
  <c r="H108" i="9" s="1"/>
  <c r="AE62" i="1"/>
  <c r="C140" i="9" s="1"/>
  <c r="BI62" i="1"/>
  <c r="U62" i="1"/>
  <c r="G76" i="9" s="1"/>
  <c r="BE62" i="1"/>
  <c r="H236" i="9" s="1"/>
  <c r="Y62" i="1"/>
  <c r="BW62" i="1"/>
  <c r="E332" i="9" s="1"/>
  <c r="AQ62" i="1"/>
  <c r="K62" i="1"/>
  <c r="C62" i="1"/>
  <c r="BV62" i="1"/>
  <c r="D332" i="9" s="1"/>
  <c r="BN62" i="1"/>
  <c r="BF62" i="1"/>
  <c r="I236" i="9" s="1"/>
  <c r="AX62" i="1"/>
  <c r="AP62" i="1"/>
  <c r="G172" i="9" s="1"/>
  <c r="AH62" i="1"/>
  <c r="V62" i="1"/>
  <c r="F62" i="1"/>
  <c r="AB62" i="1"/>
  <c r="AB71" i="1" s="1"/>
  <c r="AU62" i="1"/>
  <c r="E62" i="1"/>
  <c r="AI62" i="1"/>
  <c r="AI71" i="1" s="1"/>
  <c r="C528" i="1" s="1"/>
  <c r="G528" i="1" s="1"/>
  <c r="BP62" i="1"/>
  <c r="E300" i="9" s="1"/>
  <c r="AZ62" i="1"/>
  <c r="C236" i="9" s="1"/>
  <c r="AJ62" i="1"/>
  <c r="H140" i="9" s="1"/>
  <c r="J62" i="1"/>
  <c r="M62" i="1"/>
  <c r="CC62" i="1"/>
  <c r="CB62" i="1"/>
  <c r="C364" i="9" s="1"/>
  <c r="BD62" i="1"/>
  <c r="R62" i="1"/>
  <c r="D76" i="9" s="1"/>
  <c r="AG62" i="1"/>
  <c r="AV62" i="1"/>
  <c r="AV71" i="1" s="1"/>
  <c r="F213" i="9" s="1"/>
  <c r="T62" i="1"/>
  <c r="AM62" i="1"/>
  <c r="D172" i="9" s="1"/>
  <c r="AY62" i="1"/>
  <c r="W62" i="1"/>
  <c r="W71" i="1" s="1"/>
  <c r="I85" i="9" s="1"/>
  <c r="BZ62" i="1"/>
  <c r="H332" i="9" s="1"/>
  <c r="O62" i="1"/>
  <c r="H44" i="9" s="1"/>
  <c r="BU62" i="1"/>
  <c r="AO62" i="1"/>
  <c r="BG62" i="1"/>
  <c r="C268" i="9" s="1"/>
  <c r="AA62" i="1"/>
  <c r="F108" i="9" s="1"/>
  <c r="BY62" i="1"/>
  <c r="G332" i="9" s="1"/>
  <c r="BR62" i="1"/>
  <c r="BJ62" i="1"/>
  <c r="F268" i="9" s="1"/>
  <c r="BB62" i="1"/>
  <c r="AT62" i="1"/>
  <c r="AT71" i="1" s="1"/>
  <c r="C711" i="1" s="1"/>
  <c r="AL62" i="1"/>
  <c r="AD62" i="1"/>
  <c r="I108" i="9" s="1"/>
  <c r="N62" i="1"/>
  <c r="AS62" i="1"/>
  <c r="BC62" i="1"/>
  <c r="BQ62" i="1"/>
  <c r="AW62" i="1"/>
  <c r="AW71" i="1" s="1"/>
  <c r="BO62" i="1"/>
  <c r="D300" i="9" s="1"/>
  <c r="BX62" i="1"/>
  <c r="AR62" i="1"/>
  <c r="Z62" i="1"/>
  <c r="D62" i="1"/>
  <c r="BM62" i="1"/>
  <c r="BM71" i="1" s="1"/>
  <c r="C558" i="1" s="1"/>
  <c r="S62" i="1"/>
  <c r="E76" i="9" s="1"/>
  <c r="BT62" i="1"/>
  <c r="AN62" i="1"/>
  <c r="G62" i="1"/>
  <c r="CA62" i="1"/>
  <c r="CA71" i="1" s="1"/>
  <c r="I341" i="9" s="1"/>
  <c r="AK62" i="1"/>
  <c r="BL62" i="1"/>
  <c r="AF62" i="1"/>
  <c r="D373" i="1"/>
  <c r="C172" i="9"/>
  <c r="I177" i="9"/>
  <c r="P71" i="1"/>
  <c r="C681" i="1" s="1"/>
  <c r="C76" i="9"/>
  <c r="H76" i="9"/>
  <c r="CE48" i="1"/>
  <c r="E44" i="9"/>
  <c r="D268" i="9"/>
  <c r="C108" i="9"/>
  <c r="I12" i="9"/>
  <c r="I44" i="9"/>
  <c r="H12" i="9"/>
  <c r="H300" i="9"/>
  <c r="D236" i="9"/>
  <c r="D369" i="9"/>
  <c r="F209" i="9"/>
  <c r="I49" i="9"/>
  <c r="H273" i="9"/>
  <c r="G49" i="9"/>
  <c r="G145" i="9"/>
  <c r="D465" i="1"/>
  <c r="H241" i="9"/>
  <c r="D177" i="9"/>
  <c r="AQ71" i="1"/>
  <c r="C536" i="1" s="1"/>
  <c r="G536" i="1" s="1"/>
  <c r="BA71" i="1"/>
  <c r="BO71" i="1"/>
  <c r="C627" i="1" s="1"/>
  <c r="V71" i="1"/>
  <c r="I71" i="1"/>
  <c r="AE71" i="1"/>
  <c r="C524" i="1" s="1"/>
  <c r="G524" i="1" s="1"/>
  <c r="L71" i="1"/>
  <c r="E53" i="9" s="1"/>
  <c r="AS71" i="1"/>
  <c r="BI71" i="1"/>
  <c r="C554" i="1" s="1"/>
  <c r="G305" i="9"/>
  <c r="F81" i="9"/>
  <c r="I209" i="9"/>
  <c r="J71" i="1"/>
  <c r="BH71" i="1"/>
  <c r="D277" i="9" s="1"/>
  <c r="F145" i="9"/>
  <c r="E241" i="9"/>
  <c r="Z71" i="1"/>
  <c r="E117" i="9" s="1"/>
  <c r="X71" i="1"/>
  <c r="AL71" i="1"/>
  <c r="C703" i="1" s="1"/>
  <c r="S71" i="1"/>
  <c r="E85" i="9" s="1"/>
  <c r="F177" i="9"/>
  <c r="H71" i="1"/>
  <c r="AG71" i="1"/>
  <c r="C526" i="1" s="1"/>
  <c r="G526" i="1" s="1"/>
  <c r="Q71" i="1"/>
  <c r="D339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D27" i="7"/>
  <c r="B448" i="1"/>
  <c r="D341" i="1"/>
  <c r="C50" i="8"/>
  <c r="I378" i="9"/>
  <c r="K612" i="1"/>
  <c r="C465" i="1"/>
  <c r="C126" i="8"/>
  <c r="F32" i="6"/>
  <c r="C478" i="1"/>
  <c r="C305" i="9"/>
  <c r="C476" i="1"/>
  <c r="D476" i="1" s="1"/>
  <c r="F16" i="6"/>
  <c r="F305" i="9"/>
  <c r="G236" i="9" l="1"/>
  <c r="G71" i="1"/>
  <c r="C672" i="1" s="1"/>
  <c r="D140" i="9"/>
  <c r="AZ71" i="1"/>
  <c r="C245" i="9" s="1"/>
  <c r="BG71" i="1"/>
  <c r="C277" i="9" s="1"/>
  <c r="AU71" i="1"/>
  <c r="C540" i="1" s="1"/>
  <c r="G540" i="1" s="1"/>
  <c r="C300" i="9"/>
  <c r="I172" i="9"/>
  <c r="G140" i="9"/>
  <c r="E172" i="9"/>
  <c r="C332" i="9"/>
  <c r="AJ71" i="1"/>
  <c r="H149" i="9" s="1"/>
  <c r="BX71" i="1"/>
  <c r="C569" i="1" s="1"/>
  <c r="K71" i="1"/>
  <c r="C676" i="1" s="1"/>
  <c r="BP71" i="1"/>
  <c r="C561" i="1" s="1"/>
  <c r="F172" i="9"/>
  <c r="F332" i="9"/>
  <c r="E12" i="9"/>
  <c r="BW71" i="1"/>
  <c r="C643" i="1" s="1"/>
  <c r="R71" i="1"/>
  <c r="C511" i="1" s="1"/>
  <c r="G511" i="1" s="1"/>
  <c r="AP71" i="1"/>
  <c r="C707" i="1" s="1"/>
  <c r="BT71" i="1"/>
  <c r="I309" i="9" s="1"/>
  <c r="AC71" i="1"/>
  <c r="C694" i="1" s="1"/>
  <c r="BF71" i="1"/>
  <c r="C551" i="1" s="1"/>
  <c r="BV71" i="1"/>
  <c r="D341" i="9" s="1"/>
  <c r="E71" i="1"/>
  <c r="C498" i="1" s="1"/>
  <c r="G498" i="1" s="1"/>
  <c r="I300" i="9"/>
  <c r="D44" i="9"/>
  <c r="E268" i="9"/>
  <c r="H268" i="9"/>
  <c r="I332" i="9"/>
  <c r="F300" i="9"/>
  <c r="BQ71" i="1"/>
  <c r="C562" i="1" s="1"/>
  <c r="D204" i="9"/>
  <c r="F76" i="9"/>
  <c r="E140" i="9"/>
  <c r="CC71" i="1"/>
  <c r="C620" i="1" s="1"/>
  <c r="C44" i="9"/>
  <c r="C12" i="9"/>
  <c r="H172" i="9"/>
  <c r="D108" i="9"/>
  <c r="Y71" i="1"/>
  <c r="D117" i="9" s="1"/>
  <c r="BJ71" i="1"/>
  <c r="C555" i="1" s="1"/>
  <c r="C71" i="1"/>
  <c r="C21" i="9" s="1"/>
  <c r="AN71" i="1"/>
  <c r="C533" i="1" s="1"/>
  <c r="G533" i="1" s="1"/>
  <c r="BU71" i="1"/>
  <c r="C341" i="9" s="1"/>
  <c r="BZ71" i="1"/>
  <c r="C571" i="1" s="1"/>
  <c r="AD71" i="1"/>
  <c r="C695" i="1" s="1"/>
  <c r="D71" i="1"/>
  <c r="C669" i="1" s="1"/>
  <c r="F140" i="9"/>
  <c r="F12" i="9"/>
  <c r="AR71" i="1"/>
  <c r="I181" i="9" s="1"/>
  <c r="C204" i="9"/>
  <c r="BN71" i="1"/>
  <c r="C619" i="1" s="1"/>
  <c r="H204" i="9"/>
  <c r="E204" i="9"/>
  <c r="CE62" i="1"/>
  <c r="I364" i="9" s="1"/>
  <c r="D364" i="9"/>
  <c r="I204" i="9"/>
  <c r="D12" i="9"/>
  <c r="I140" i="9"/>
  <c r="G12" i="9"/>
  <c r="I268" i="9"/>
  <c r="E108" i="9"/>
  <c r="G204" i="9"/>
  <c r="F236" i="9"/>
  <c r="G44" i="9"/>
  <c r="N71" i="1"/>
  <c r="G53" i="9" s="1"/>
  <c r="E236" i="9"/>
  <c r="G300" i="9"/>
  <c r="I76" i="9"/>
  <c r="F204" i="9"/>
  <c r="F44" i="9"/>
  <c r="G108" i="9"/>
  <c r="D391" i="1"/>
  <c r="C142" i="8" s="1"/>
  <c r="D478" i="1"/>
  <c r="C481" i="1"/>
  <c r="C482" i="1"/>
  <c r="I53" i="9"/>
  <c r="C553" i="1"/>
  <c r="G21" i="9"/>
  <c r="I273" i="9"/>
  <c r="C500" i="1"/>
  <c r="G500" i="1" s="1"/>
  <c r="C684" i="1"/>
  <c r="C531" i="1"/>
  <c r="G531" i="1" s="1"/>
  <c r="C523" i="1"/>
  <c r="G523" i="1" s="1"/>
  <c r="H181" i="9"/>
  <c r="G149" i="9"/>
  <c r="I117" i="9"/>
  <c r="C700" i="1"/>
  <c r="C560" i="1"/>
  <c r="C516" i="1"/>
  <c r="G516" i="1" s="1"/>
  <c r="G209" i="9"/>
  <c r="I241" i="9"/>
  <c r="D337" i="9"/>
  <c r="C102" i="8"/>
  <c r="I113" i="9"/>
  <c r="C181" i="9"/>
  <c r="D213" i="9"/>
  <c r="C688" i="1"/>
  <c r="C691" i="1"/>
  <c r="D53" i="9"/>
  <c r="D309" i="9"/>
  <c r="C509" i="1"/>
  <c r="G509" i="1" s="1"/>
  <c r="C647" i="1"/>
  <c r="C541" i="1"/>
  <c r="F17" i="9"/>
  <c r="C708" i="1"/>
  <c r="C572" i="1"/>
  <c r="C519" i="1"/>
  <c r="G519" i="1" s="1"/>
  <c r="D17" i="9"/>
  <c r="C539" i="1"/>
  <c r="G539" i="1" s="1"/>
  <c r="H209" i="9"/>
  <c r="C713" i="1"/>
  <c r="C512" i="1"/>
  <c r="G512" i="1" s="1"/>
  <c r="C636" i="1"/>
  <c r="C696" i="1"/>
  <c r="C518" i="1"/>
  <c r="G518" i="1" s="1"/>
  <c r="H21" i="9"/>
  <c r="C501" i="1"/>
  <c r="G501" i="1" s="1"/>
  <c r="C673" i="1"/>
  <c r="C117" i="9"/>
  <c r="C517" i="1"/>
  <c r="G517" i="1" s="1"/>
  <c r="C689" i="1"/>
  <c r="C53" i="9"/>
  <c r="C503" i="1"/>
  <c r="G503" i="1" s="1"/>
  <c r="C629" i="1"/>
  <c r="I21" i="9"/>
  <c r="C502" i="1"/>
  <c r="G502" i="1" s="1"/>
  <c r="C674" i="1"/>
  <c r="C521" i="1"/>
  <c r="G521" i="1" s="1"/>
  <c r="G117" i="9"/>
  <c r="D245" i="9"/>
  <c r="C630" i="1"/>
  <c r="C546" i="1"/>
  <c r="G546" i="1" s="1"/>
  <c r="C566" i="1"/>
  <c r="C687" i="1"/>
  <c r="H85" i="9"/>
  <c r="C515" i="1"/>
  <c r="G515" i="1" s="1"/>
  <c r="E21" i="9"/>
  <c r="BC71" i="1"/>
  <c r="BB71" i="1"/>
  <c r="BD71" i="1"/>
  <c r="CB71" i="1"/>
  <c r="M71" i="1"/>
  <c r="BR71" i="1"/>
  <c r="U71" i="1"/>
  <c r="AM71" i="1"/>
  <c r="G213" i="9"/>
  <c r="C631" i="1"/>
  <c r="C542" i="1"/>
  <c r="BE71" i="1"/>
  <c r="C505" i="1"/>
  <c r="G505" i="1" s="1"/>
  <c r="C677" i="1"/>
  <c r="E277" i="9"/>
  <c r="C698" i="1"/>
  <c r="O71" i="1"/>
  <c r="G273" i="9"/>
  <c r="BK71" i="1"/>
  <c r="D145" i="9"/>
  <c r="AF71" i="1"/>
  <c r="AO71" i="1"/>
  <c r="F181" i="9" s="1"/>
  <c r="C149" i="9"/>
  <c r="F71" i="1"/>
  <c r="AX71" i="1"/>
  <c r="AY71" i="1"/>
  <c r="T71" i="1"/>
  <c r="BY71" i="1"/>
  <c r="AK71" i="1"/>
  <c r="C634" i="1"/>
  <c r="E149" i="9"/>
  <c r="BL71" i="1"/>
  <c r="C638" i="1"/>
  <c r="I277" i="9"/>
  <c r="BS71" i="1"/>
  <c r="C639" i="1" s="1"/>
  <c r="AA71" i="1"/>
  <c r="F117" i="9" s="1"/>
  <c r="AH71" i="1"/>
  <c r="F149" i="9" s="1"/>
  <c r="C693" i="1"/>
  <c r="C710" i="1"/>
  <c r="C213" i="9"/>
  <c r="C538" i="1"/>
  <c r="G538" i="1" s="1"/>
  <c r="C675" i="1"/>
  <c r="C682" i="1"/>
  <c r="C85" i="9"/>
  <c r="C510" i="1"/>
  <c r="G510" i="1" s="1"/>
  <c r="H49" i="9"/>
  <c r="H305" i="9"/>
  <c r="E17" i="9"/>
  <c r="F49" i="9"/>
  <c r="I145" i="9"/>
  <c r="G81" i="9"/>
  <c r="E145" i="9"/>
  <c r="I337" i="9"/>
  <c r="C177" i="9"/>
  <c r="E113" i="9"/>
  <c r="F337" i="9"/>
  <c r="E177" i="9"/>
  <c r="E273" i="9"/>
  <c r="C337" i="9"/>
  <c r="E49" i="9"/>
  <c r="H81" i="9"/>
  <c r="D49" i="9"/>
  <c r="D305" i="9"/>
  <c r="H177" i="9"/>
  <c r="G241" i="9"/>
  <c r="C369" i="9"/>
  <c r="F113" i="9"/>
  <c r="G337" i="9"/>
  <c r="F241" i="9"/>
  <c r="E337" i="9"/>
  <c r="I81" i="9"/>
  <c r="D81" i="9"/>
  <c r="C81" i="9"/>
  <c r="F273" i="9"/>
  <c r="H17" i="9"/>
  <c r="G177" i="9"/>
  <c r="E81" i="9"/>
  <c r="C113" i="9"/>
  <c r="I305" i="9"/>
  <c r="H113" i="9"/>
  <c r="C241" i="9"/>
  <c r="D273" i="9"/>
  <c r="C49" i="9"/>
  <c r="C273" i="9"/>
  <c r="D209" i="9"/>
  <c r="C209" i="9"/>
  <c r="I17" i="9"/>
  <c r="G113" i="9"/>
  <c r="E209" i="9"/>
  <c r="E305" i="9"/>
  <c r="D241" i="9"/>
  <c r="CE67" i="1"/>
  <c r="C17" i="9"/>
  <c r="CE52" i="1"/>
  <c r="C145" i="9"/>
  <c r="D113" i="9"/>
  <c r="H145" i="9"/>
  <c r="H337" i="9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F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B528" i="1"/>
  <c r="B514" i="1"/>
  <c r="F514" i="1" s="1"/>
  <c r="B497" i="1"/>
  <c r="F513" i="1"/>
  <c r="D393" i="1"/>
  <c r="F534" i="1"/>
  <c r="H534" i="1"/>
  <c r="H502" i="1"/>
  <c r="F502" i="1"/>
  <c r="F512" i="1"/>
  <c r="F526" i="1"/>
  <c r="H526" i="1" s="1"/>
  <c r="F518" i="1"/>
  <c r="F506" i="1"/>
  <c r="H506" i="1"/>
  <c r="F509" i="1"/>
  <c r="E341" i="9" l="1"/>
  <c r="C679" i="1"/>
  <c r="F341" i="9"/>
  <c r="C683" i="1"/>
  <c r="C309" i="9"/>
  <c r="C644" i="1"/>
  <c r="C709" i="1"/>
  <c r="C496" i="1"/>
  <c r="G496" i="1" s="1"/>
  <c r="E309" i="9"/>
  <c r="C670" i="1"/>
  <c r="C618" i="1"/>
  <c r="I245" i="9"/>
  <c r="C640" i="1"/>
  <c r="C641" i="1"/>
  <c r="C537" i="1"/>
  <c r="G537" i="1" s="1"/>
  <c r="C552" i="1"/>
  <c r="D85" i="9"/>
  <c r="C621" i="1"/>
  <c r="C668" i="1"/>
  <c r="C690" i="1"/>
  <c r="C565" i="1"/>
  <c r="C507" i="1"/>
  <c r="G507" i="1" s="1"/>
  <c r="C559" i="1"/>
  <c r="C567" i="1"/>
  <c r="C701" i="1"/>
  <c r="E213" i="9"/>
  <c r="G181" i="9"/>
  <c r="C545" i="1"/>
  <c r="G545" i="1" s="1"/>
  <c r="C529" i="1"/>
  <c r="G529" i="1" s="1"/>
  <c r="C712" i="1"/>
  <c r="C642" i="1"/>
  <c r="C628" i="1"/>
  <c r="F277" i="9"/>
  <c r="C522" i="1"/>
  <c r="G522" i="1" s="1"/>
  <c r="C646" i="1"/>
  <c r="C535" i="1"/>
  <c r="G535" i="1" s="1"/>
  <c r="D373" i="9"/>
  <c r="C428" i="1"/>
  <c r="C504" i="1"/>
  <c r="G504" i="1" s="1"/>
  <c r="H117" i="9"/>
  <c r="C568" i="1"/>
  <c r="H341" i="9"/>
  <c r="E181" i="9"/>
  <c r="C705" i="1"/>
  <c r="F309" i="9"/>
  <c r="C623" i="1"/>
  <c r="C574" i="1"/>
  <c r="D21" i="9"/>
  <c r="C617" i="1"/>
  <c r="C497" i="1"/>
  <c r="G497" i="1" s="1"/>
  <c r="H518" i="1"/>
  <c r="H498" i="1"/>
  <c r="H509" i="1"/>
  <c r="H503" i="1"/>
  <c r="H512" i="1"/>
  <c r="H501" i="1"/>
  <c r="H515" i="1"/>
  <c r="H309" i="9"/>
  <c r="C564" i="1"/>
  <c r="C520" i="1"/>
  <c r="G520" i="1" s="1"/>
  <c r="C692" i="1"/>
  <c r="H277" i="9"/>
  <c r="C557" i="1"/>
  <c r="C637" i="1"/>
  <c r="C685" i="1"/>
  <c r="C513" i="1"/>
  <c r="F85" i="9"/>
  <c r="I213" i="9"/>
  <c r="C544" i="1"/>
  <c r="G544" i="1" s="1"/>
  <c r="C625" i="1"/>
  <c r="F21" i="9"/>
  <c r="C499" i="1"/>
  <c r="G499" i="1" s="1"/>
  <c r="C671" i="1"/>
  <c r="C706" i="1"/>
  <c r="C534" i="1"/>
  <c r="G534" i="1" s="1"/>
  <c r="H245" i="9"/>
  <c r="C614" i="1"/>
  <c r="C550" i="1"/>
  <c r="G550" i="1" s="1"/>
  <c r="G309" i="9"/>
  <c r="C563" i="1"/>
  <c r="C626" i="1"/>
  <c r="C506" i="1"/>
  <c r="G506" i="1" s="1"/>
  <c r="F53" i="9"/>
  <c r="C678" i="1"/>
  <c r="C373" i="9"/>
  <c r="C622" i="1"/>
  <c r="C573" i="1"/>
  <c r="G245" i="9"/>
  <c r="C549" i="1"/>
  <c r="C624" i="1"/>
  <c r="E245" i="9"/>
  <c r="C547" i="1"/>
  <c r="C632" i="1"/>
  <c r="F245" i="9"/>
  <c r="C548" i="1"/>
  <c r="C633" i="1"/>
  <c r="C433" i="1"/>
  <c r="C441" i="1" s="1"/>
  <c r="CE71" i="1"/>
  <c r="C699" i="1"/>
  <c r="C527" i="1"/>
  <c r="G527" i="1" s="1"/>
  <c r="C530" i="1"/>
  <c r="G530" i="1" s="1"/>
  <c r="I149" i="9"/>
  <c r="C702" i="1"/>
  <c r="C570" i="1"/>
  <c r="G341" i="9"/>
  <c r="C645" i="1"/>
  <c r="C616" i="1"/>
  <c r="H213" i="9"/>
  <c r="C543" i="1"/>
  <c r="C697" i="1"/>
  <c r="D149" i="9"/>
  <c r="C525" i="1"/>
  <c r="G525" i="1" s="1"/>
  <c r="C635" i="1"/>
  <c r="C556" i="1"/>
  <c r="G277" i="9"/>
  <c r="H53" i="9"/>
  <c r="C508" i="1"/>
  <c r="G508" i="1" s="1"/>
  <c r="C680" i="1"/>
  <c r="D181" i="9"/>
  <c r="C704" i="1"/>
  <c r="C532" i="1"/>
  <c r="G532" i="1" s="1"/>
  <c r="G85" i="9"/>
  <c r="C686" i="1"/>
  <c r="C514" i="1"/>
  <c r="G514" i="1" s="1"/>
  <c r="I369" i="9"/>
  <c r="H500" i="1"/>
  <c r="F507" i="1"/>
  <c r="H538" i="1"/>
  <c r="H510" i="1"/>
  <c r="H546" i="1"/>
  <c r="H504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7" i="1" s="1"/>
  <c r="F530" i="1"/>
  <c r="F524" i="1"/>
  <c r="H524" i="1" s="1"/>
  <c r="H497" i="1"/>
  <c r="F497" i="1"/>
  <c r="F528" i="1"/>
  <c r="H528" i="1" s="1"/>
  <c r="H532" i="1"/>
  <c r="F532" i="1"/>
  <c r="F520" i="1"/>
  <c r="F550" i="1"/>
  <c r="F544" i="1"/>
  <c r="H544" i="1"/>
  <c r="F545" i="1"/>
  <c r="H525" i="1"/>
  <c r="F525" i="1"/>
  <c r="F529" i="1"/>
  <c r="H529" i="1" s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 s="1"/>
  <c r="H537" i="1" l="1"/>
  <c r="H545" i="1"/>
  <c r="H520" i="1"/>
  <c r="H535" i="1"/>
  <c r="H522" i="1"/>
  <c r="H550" i="1"/>
  <c r="C715" i="1"/>
  <c r="H514" i="1"/>
  <c r="H508" i="1"/>
  <c r="D615" i="1"/>
  <c r="C648" i="1"/>
  <c r="M716" i="1" s="1"/>
  <c r="C716" i="1"/>
  <c r="I373" i="9"/>
  <c r="G513" i="1"/>
  <c r="H513" i="1"/>
  <c r="H530" i="1"/>
  <c r="F496" i="1"/>
  <c r="H496" i="1" s="1"/>
  <c r="D704" i="1" l="1"/>
  <c r="D644" i="1"/>
  <c r="D706" i="1"/>
  <c r="D631" i="1"/>
  <c r="D639" i="1"/>
  <c r="D682" i="1"/>
  <c r="D675" i="1"/>
  <c r="D686" i="1"/>
  <c r="D700" i="1"/>
  <c r="D692" i="1"/>
  <c r="D678" i="1"/>
  <c r="D712" i="1"/>
  <c r="D621" i="1"/>
  <c r="D627" i="1"/>
  <c r="D670" i="1"/>
  <c r="D703" i="1"/>
  <c r="D638" i="1"/>
  <c r="D634" i="1"/>
  <c r="D671" i="1"/>
  <c r="D635" i="1"/>
  <c r="D616" i="1"/>
  <c r="D647" i="1"/>
  <c r="D698" i="1"/>
  <c r="D694" i="1"/>
  <c r="D713" i="1"/>
  <c r="D637" i="1"/>
  <c r="D702" i="1"/>
  <c r="D707" i="1"/>
  <c r="D636" i="1"/>
  <c r="D709" i="1"/>
  <c r="D685" i="1"/>
  <c r="D674" i="1"/>
  <c r="D642" i="1"/>
  <c r="D672" i="1"/>
  <c r="D711" i="1"/>
  <c r="D628" i="1"/>
  <c r="D676" i="1"/>
  <c r="D705" i="1"/>
  <c r="D645" i="1"/>
  <c r="D630" i="1"/>
  <c r="D699" i="1"/>
  <c r="D623" i="1"/>
  <c r="D622" i="1"/>
  <c r="D687" i="1"/>
  <c r="D696" i="1"/>
  <c r="D701" i="1"/>
  <c r="D689" i="1"/>
  <c r="D640" i="1"/>
  <c r="D677" i="1"/>
  <c r="D673" i="1"/>
  <c r="D691" i="1"/>
  <c r="D669" i="1"/>
  <c r="D620" i="1"/>
  <c r="D629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90" i="1"/>
  <c r="D716" i="1"/>
  <c r="D697" i="1"/>
  <c r="D617" i="1"/>
  <c r="D632" i="1"/>
  <c r="D684" i="1"/>
  <c r="E612" i="1" l="1"/>
  <c r="E623" i="1"/>
  <c r="D715" i="1"/>
  <c r="E716" i="1" l="1"/>
  <c r="E710" i="1"/>
  <c r="E671" i="1"/>
  <c r="E676" i="1"/>
  <c r="E684" i="1"/>
  <c r="E629" i="1"/>
  <c r="E691" i="1"/>
  <c r="E640" i="1"/>
  <c r="E679" i="1"/>
  <c r="E673" i="1"/>
  <c r="E694" i="1"/>
  <c r="E672" i="1"/>
  <c r="E644" i="1"/>
  <c r="E696" i="1"/>
  <c r="E680" i="1"/>
  <c r="E677" i="1"/>
  <c r="E709" i="1"/>
  <c r="E707" i="1"/>
  <c r="E639" i="1"/>
  <c r="E689" i="1"/>
  <c r="E702" i="1"/>
  <c r="E638" i="1"/>
  <c r="E631" i="1"/>
  <c r="E678" i="1"/>
  <c r="E701" i="1"/>
  <c r="E642" i="1"/>
  <c r="E624" i="1"/>
  <c r="E695" i="1"/>
  <c r="E703" i="1"/>
  <c r="E692" i="1"/>
  <c r="E708" i="1"/>
  <c r="E682" i="1"/>
  <c r="E685" i="1"/>
  <c r="E698" i="1"/>
  <c r="E641" i="1"/>
  <c r="E683" i="1"/>
  <c r="E706" i="1"/>
  <c r="E688" i="1"/>
  <c r="E713" i="1"/>
  <c r="E693" i="1"/>
  <c r="E705" i="1"/>
  <c r="E628" i="1"/>
  <c r="E635" i="1"/>
  <c r="E686" i="1"/>
  <c r="E699" i="1"/>
  <c r="E704" i="1"/>
  <c r="E632" i="1"/>
  <c r="E633" i="1"/>
  <c r="E712" i="1"/>
  <c r="E646" i="1"/>
  <c r="E625" i="1"/>
  <c r="E669" i="1"/>
  <c r="E681" i="1"/>
  <c r="E697" i="1"/>
  <c r="E645" i="1"/>
  <c r="E630" i="1"/>
  <c r="E711" i="1"/>
  <c r="E643" i="1"/>
  <c r="E627" i="1"/>
  <c r="E636" i="1"/>
  <c r="E668" i="1"/>
  <c r="E670" i="1"/>
  <c r="E690" i="1"/>
  <c r="E634" i="1"/>
  <c r="E675" i="1"/>
  <c r="E687" i="1"/>
  <c r="E647" i="1"/>
  <c r="E674" i="1"/>
  <c r="E626" i="1"/>
  <c r="E700" i="1"/>
  <c r="E637" i="1"/>
  <c r="F624" i="1" l="1"/>
  <c r="E715" i="1"/>
  <c r="F716" i="1" l="1"/>
  <c r="F680" i="1"/>
  <c r="F645" i="1"/>
  <c r="F703" i="1"/>
  <c r="F637" i="1"/>
  <c r="F693" i="1"/>
  <c r="F682" i="1"/>
  <c r="F708" i="1"/>
  <c r="F633" i="1"/>
  <c r="F699" i="1"/>
  <c r="F627" i="1"/>
  <c r="F671" i="1"/>
  <c r="F643" i="1"/>
  <c r="F677" i="1"/>
  <c r="F631" i="1"/>
  <c r="F640" i="1"/>
  <c r="F691" i="1"/>
  <c r="F706" i="1"/>
  <c r="F681" i="1"/>
  <c r="F702" i="1"/>
  <c r="F694" i="1"/>
  <c r="F685" i="1"/>
  <c r="F683" i="1"/>
  <c r="F641" i="1"/>
  <c r="F676" i="1"/>
  <c r="F711" i="1"/>
  <c r="F639" i="1"/>
  <c r="F705" i="1"/>
  <c r="F630" i="1"/>
  <c r="F707" i="1"/>
  <c r="F635" i="1"/>
  <c r="F638" i="1"/>
  <c r="F626" i="1"/>
  <c r="F629" i="1"/>
  <c r="F674" i="1"/>
  <c r="F710" i="1"/>
  <c r="F670" i="1"/>
  <c r="F700" i="1"/>
  <c r="F695" i="1"/>
  <c r="F675" i="1"/>
  <c r="F669" i="1"/>
  <c r="F686" i="1"/>
  <c r="F632" i="1"/>
  <c r="F679" i="1"/>
  <c r="F692" i="1"/>
  <c r="F636" i="1"/>
  <c r="F697" i="1"/>
  <c r="F678" i="1"/>
  <c r="F647" i="1"/>
  <c r="F698" i="1"/>
  <c r="F690" i="1"/>
  <c r="F646" i="1"/>
  <c r="F696" i="1"/>
  <c r="F644" i="1"/>
  <c r="F673" i="1"/>
  <c r="F628" i="1"/>
  <c r="F672" i="1"/>
  <c r="F689" i="1"/>
  <c r="F668" i="1"/>
  <c r="F709" i="1"/>
  <c r="F704" i="1"/>
  <c r="F634" i="1"/>
  <c r="F625" i="1"/>
  <c r="F713" i="1"/>
  <c r="F701" i="1"/>
  <c r="F688" i="1"/>
  <c r="F684" i="1"/>
  <c r="F687" i="1"/>
  <c r="F642" i="1"/>
  <c r="F712" i="1"/>
  <c r="F715" i="1" l="1"/>
  <c r="G625" i="1"/>
  <c r="G647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702" i="1"/>
  <c r="G669" i="1"/>
  <c r="G646" i="1"/>
  <c r="G626" i="1"/>
  <c r="G689" i="1"/>
  <c r="G628" i="1"/>
  <c r="G712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695" i="1"/>
  <c r="G710" i="1"/>
  <c r="G645" i="1"/>
  <c r="G640" i="1"/>
  <c r="G636" i="1"/>
  <c r="G634" i="1"/>
  <c r="G706" i="1"/>
  <c r="G715" i="1" l="1"/>
  <c r="H628" i="1"/>
  <c r="H683" i="1" l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2" i="1"/>
  <c r="H639" i="1"/>
  <c r="H697" i="1"/>
  <c r="H688" i="1"/>
  <c r="H694" i="1"/>
  <c r="H702" i="1"/>
  <c r="H687" i="1"/>
  <c r="H711" i="1"/>
  <c r="H674" i="1"/>
  <c r="H631" i="1"/>
  <c r="H710" i="1"/>
  <c r="H691" i="1"/>
  <c r="H642" i="1"/>
  <c r="H696" i="1"/>
  <c r="H684" i="1"/>
  <c r="H699" i="1"/>
  <c r="H705" i="1"/>
  <c r="H701" i="1"/>
  <c r="H690" i="1"/>
  <c r="H670" i="1"/>
  <c r="H637" i="1"/>
  <c r="H629" i="1"/>
  <c r="I629" i="1" s="1"/>
  <c r="H695" i="1"/>
  <c r="H704" i="1"/>
  <c r="H644" i="1"/>
  <c r="H635" i="1"/>
  <c r="H709" i="1"/>
  <c r="H673" i="1"/>
  <c r="H645" i="1"/>
  <c r="H643" i="1"/>
  <c r="H678" i="1"/>
  <c r="H681" i="1"/>
  <c r="H679" i="1"/>
  <c r="H708" i="1"/>
  <c r="H686" i="1"/>
  <c r="H693" i="1"/>
  <c r="H632" i="1"/>
  <c r="H692" i="1"/>
  <c r="H676" i="1"/>
  <c r="H716" i="1"/>
  <c r="H668" i="1"/>
  <c r="H640" i="1"/>
  <c r="H669" i="1"/>
  <c r="H700" i="1"/>
  <c r="H646" i="1"/>
  <c r="H677" i="1"/>
  <c r="H630" i="1"/>
  <c r="H713" i="1"/>
  <c r="H641" i="1"/>
  <c r="H671" i="1"/>
  <c r="I646" i="1" l="1"/>
  <c r="I685" i="1"/>
  <c r="I675" i="1"/>
  <c r="I690" i="1"/>
  <c r="I669" i="1"/>
  <c r="I705" i="1"/>
  <c r="I674" i="1"/>
  <c r="I689" i="1"/>
  <c r="I641" i="1"/>
  <c r="I694" i="1"/>
  <c r="I673" i="1"/>
  <c r="I711" i="1"/>
  <c r="I630" i="1"/>
  <c r="I637" i="1"/>
  <c r="I692" i="1"/>
  <c r="I647" i="1"/>
  <c r="I635" i="1"/>
  <c r="I696" i="1"/>
  <c r="I700" i="1"/>
  <c r="I699" i="1"/>
  <c r="I691" i="1"/>
  <c r="I636" i="1"/>
  <c r="I716" i="1"/>
  <c r="I677" i="1"/>
  <c r="I683" i="1"/>
  <c r="I697" i="1"/>
  <c r="I704" i="1"/>
  <c r="I712" i="1"/>
  <c r="I684" i="1"/>
  <c r="I693" i="1"/>
  <c r="I645" i="1"/>
  <c r="I670" i="1"/>
  <c r="I642" i="1"/>
  <c r="I681" i="1"/>
  <c r="I668" i="1"/>
  <c r="I703" i="1"/>
  <c r="I682" i="1"/>
  <c r="I687" i="1"/>
  <c r="I644" i="1"/>
  <c r="I695" i="1"/>
  <c r="I713" i="1"/>
  <c r="I643" i="1"/>
  <c r="I678" i="1"/>
  <c r="I633" i="1"/>
  <c r="I686" i="1"/>
  <c r="I639" i="1"/>
  <c r="I631" i="1"/>
  <c r="I638" i="1"/>
  <c r="I702" i="1"/>
  <c r="I676" i="1"/>
  <c r="I640" i="1"/>
  <c r="I634" i="1"/>
  <c r="I680" i="1"/>
  <c r="I710" i="1"/>
  <c r="I671" i="1"/>
  <c r="I706" i="1"/>
  <c r="I707" i="1"/>
  <c r="I688" i="1"/>
  <c r="I698" i="1"/>
  <c r="I701" i="1"/>
  <c r="I679" i="1"/>
  <c r="I632" i="1"/>
  <c r="I708" i="1"/>
  <c r="I672" i="1"/>
  <c r="I709" i="1"/>
  <c r="H715" i="1"/>
  <c r="I715" i="1" l="1"/>
  <c r="J630" i="1"/>
  <c r="J701" i="1" l="1"/>
  <c r="J688" i="1"/>
  <c r="J711" i="1"/>
  <c r="J676" i="1"/>
  <c r="J683" i="1"/>
  <c r="J709" i="1"/>
  <c r="J716" i="1"/>
  <c r="J703" i="1"/>
  <c r="J672" i="1"/>
  <c r="J707" i="1"/>
  <c r="J644" i="1"/>
  <c r="J681" i="1"/>
  <c r="J710" i="1"/>
  <c r="J669" i="1"/>
  <c r="J692" i="1"/>
  <c r="J635" i="1"/>
  <c r="J646" i="1"/>
  <c r="J693" i="1"/>
  <c r="J638" i="1"/>
  <c r="J706" i="1"/>
  <c r="J647" i="1"/>
  <c r="J680" i="1"/>
  <c r="J696" i="1"/>
  <c r="J631" i="1"/>
  <c r="J677" i="1"/>
  <c r="J668" i="1"/>
  <c r="J643" i="1"/>
  <c r="J697" i="1"/>
  <c r="J641" i="1"/>
  <c r="J674" i="1"/>
  <c r="J682" i="1"/>
  <c r="J713" i="1"/>
  <c r="J690" i="1"/>
  <c r="J685" i="1"/>
  <c r="J694" i="1"/>
  <c r="J705" i="1"/>
  <c r="J639" i="1"/>
  <c r="J684" i="1"/>
  <c r="J632" i="1"/>
  <c r="J678" i="1"/>
  <c r="J675" i="1"/>
  <c r="J671" i="1"/>
  <c r="J636" i="1"/>
  <c r="J700" i="1"/>
  <c r="J673" i="1"/>
  <c r="J642" i="1"/>
  <c r="J687" i="1"/>
  <c r="J670" i="1"/>
  <c r="J645" i="1"/>
  <c r="J691" i="1"/>
  <c r="J689" i="1"/>
  <c r="J634" i="1"/>
  <c r="J679" i="1"/>
  <c r="J698" i="1"/>
  <c r="J637" i="1"/>
  <c r="J702" i="1"/>
  <c r="J699" i="1"/>
  <c r="J695" i="1"/>
  <c r="J704" i="1"/>
  <c r="J633" i="1"/>
  <c r="J686" i="1"/>
  <c r="J708" i="1"/>
  <c r="J712" i="1"/>
  <c r="J640" i="1"/>
  <c r="J715" i="1" l="1"/>
  <c r="L647" i="1"/>
  <c r="K644" i="1"/>
  <c r="L705" i="1" l="1"/>
  <c r="L679" i="1"/>
  <c r="L716" i="1"/>
  <c r="L673" i="1"/>
  <c r="L702" i="1"/>
  <c r="L711" i="1"/>
  <c r="L688" i="1"/>
  <c r="L674" i="1"/>
  <c r="L709" i="1"/>
  <c r="L676" i="1"/>
  <c r="L689" i="1"/>
  <c r="L692" i="1"/>
  <c r="L672" i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84" i="1"/>
  <c r="L698" i="1"/>
  <c r="L694" i="1"/>
  <c r="L668" i="1"/>
  <c r="L700" i="1"/>
  <c r="L690" i="1"/>
  <c r="L707" i="1"/>
  <c r="L682" i="1"/>
  <c r="L703" i="1"/>
  <c r="L699" i="1"/>
  <c r="L675" i="1"/>
  <c r="L710" i="1"/>
  <c r="L680" i="1"/>
  <c r="L678" i="1"/>
  <c r="L693" i="1"/>
  <c r="L691" i="1"/>
  <c r="L713" i="1"/>
  <c r="L669" i="1"/>
  <c r="L670" i="1"/>
  <c r="L683" i="1"/>
  <c r="L695" i="1"/>
  <c r="K687" i="1"/>
  <c r="K685" i="1"/>
  <c r="K676" i="1"/>
  <c r="K701" i="1"/>
  <c r="K689" i="1"/>
  <c r="K706" i="1"/>
  <c r="M706" i="1" s="1"/>
  <c r="K696" i="1"/>
  <c r="M696" i="1" s="1"/>
  <c r="K673" i="1"/>
  <c r="K677" i="1"/>
  <c r="K709" i="1"/>
  <c r="K698" i="1"/>
  <c r="M698" i="1" s="1"/>
  <c r="K671" i="1"/>
  <c r="K670" i="1"/>
  <c r="K680" i="1"/>
  <c r="K690" i="1"/>
  <c r="K707" i="1"/>
  <c r="K674" i="1"/>
  <c r="K678" i="1"/>
  <c r="K672" i="1"/>
  <c r="K711" i="1"/>
  <c r="K700" i="1"/>
  <c r="K699" i="1"/>
  <c r="K694" i="1"/>
  <c r="K703" i="1"/>
  <c r="K708" i="1"/>
  <c r="K716" i="1"/>
  <c r="K688" i="1"/>
  <c r="K686" i="1"/>
  <c r="K704" i="1"/>
  <c r="K702" i="1"/>
  <c r="M702" i="1" s="1"/>
  <c r="K684" i="1"/>
  <c r="K712" i="1"/>
  <c r="K675" i="1"/>
  <c r="K691" i="1"/>
  <c r="K669" i="1"/>
  <c r="K692" i="1"/>
  <c r="K682" i="1"/>
  <c r="K693" i="1"/>
  <c r="K668" i="1"/>
  <c r="K705" i="1"/>
  <c r="K710" i="1"/>
  <c r="K697" i="1"/>
  <c r="K683" i="1"/>
  <c r="K695" i="1"/>
  <c r="K679" i="1"/>
  <c r="K713" i="1"/>
  <c r="K681" i="1"/>
  <c r="M707" i="1" l="1"/>
  <c r="M688" i="1"/>
  <c r="I87" i="9" s="1"/>
  <c r="M670" i="1"/>
  <c r="M689" i="1"/>
  <c r="M691" i="1"/>
  <c r="E119" i="9" s="1"/>
  <c r="M712" i="1"/>
  <c r="M699" i="1"/>
  <c r="F151" i="9" s="1"/>
  <c r="M711" i="1"/>
  <c r="M701" i="1"/>
  <c r="M685" i="1"/>
  <c r="F87" i="9" s="1"/>
  <c r="K715" i="1"/>
  <c r="E151" i="9"/>
  <c r="C151" i="9"/>
  <c r="M683" i="1"/>
  <c r="M669" i="1"/>
  <c r="D23" i="9" s="1"/>
  <c r="M678" i="1"/>
  <c r="M710" i="1"/>
  <c r="C215" i="9" s="1"/>
  <c r="M682" i="1"/>
  <c r="M690" i="1"/>
  <c r="M708" i="1"/>
  <c r="H183" i="9" s="1"/>
  <c r="M671" i="1"/>
  <c r="M681" i="1"/>
  <c r="M692" i="1"/>
  <c r="M676" i="1"/>
  <c r="M674" i="1"/>
  <c r="M673" i="1"/>
  <c r="H23" i="9" s="1"/>
  <c r="M679" i="1"/>
  <c r="I151" i="9"/>
  <c r="G183" i="9"/>
  <c r="F183" i="9"/>
  <c r="M695" i="1"/>
  <c r="I119" i="9" s="1"/>
  <c r="M713" i="1"/>
  <c r="F215" i="9" s="1"/>
  <c r="M693" i="1"/>
  <c r="M680" i="1"/>
  <c r="M675" i="1"/>
  <c r="C55" i="9" s="1"/>
  <c r="M703" i="1"/>
  <c r="M700" i="1"/>
  <c r="G151" i="9" s="1"/>
  <c r="M694" i="1"/>
  <c r="M684" i="1"/>
  <c r="E87" i="9" s="1"/>
  <c r="M704" i="1"/>
  <c r="D183" i="9" s="1"/>
  <c r="M677" i="1"/>
  <c r="E55" i="9" s="1"/>
  <c r="M687" i="1"/>
  <c r="M697" i="1"/>
  <c r="M686" i="1"/>
  <c r="G87" i="9" s="1"/>
  <c r="M672" i="1"/>
  <c r="M709" i="1"/>
  <c r="I183" i="9" s="1"/>
  <c r="M705" i="1"/>
  <c r="E183" i="9" s="1"/>
  <c r="L715" i="1"/>
  <c r="M668" i="1"/>
  <c r="D119" i="9" l="1"/>
  <c r="F119" i="9"/>
  <c r="C119" i="9"/>
  <c r="C183" i="9"/>
  <c r="G55" i="9"/>
  <c r="I23" i="9"/>
  <c r="F23" i="9"/>
  <c r="H87" i="9"/>
  <c r="H119" i="9"/>
  <c r="H55" i="9"/>
  <c r="E215" i="9"/>
  <c r="C87" i="9"/>
  <c r="H151" i="9"/>
  <c r="E23" i="9"/>
  <c r="G23" i="9"/>
  <c r="D151" i="9"/>
  <c r="G119" i="9"/>
  <c r="I55" i="9"/>
  <c r="D87" i="9"/>
  <c r="D55" i="9"/>
  <c r="F55" i="9"/>
  <c r="D215" i="9"/>
  <c r="C23" i="9"/>
  <c r="M715" i="1"/>
</calcChain>
</file>

<file path=xl/sharedStrings.xml><?xml version="1.0" encoding="utf-8"?>
<sst xmlns="http://schemas.openxmlformats.org/spreadsheetml/2006/main" count="4788" uniqueCount="1341">
  <si>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</si>
  <si>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</si>
  <si>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</si>
  <si>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</si>
  <si>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</si>
  <si>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</si>
  <si>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</si>
  <si>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</si>
  <si>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</si>
  <si>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</si>
  <si>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</si>
  <si>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</si>
  <si>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</si>
  <si>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</si>
  <si>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</si>
  <si>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</si>
  <si>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</si>
  <si>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</si>
  <si>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</si>
  <si>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</si>
  <si>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</si>
  <si>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</si>
  <si>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</si>
  <si>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</si>
  <si>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</si>
  <si>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</si>
  <si>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</si>
  <si>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</si>
  <si>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</si>
  <si>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</si>
  <si>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</si>
  <si>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</si>
  <si>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</si>
  <si>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</si>
  <si>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</si>
  <si>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</si>
  <si>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</si>
  <si>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</si>
  <si>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</si>
  <si>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</si>
  <si>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</si>
  <si>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</si>
  <si>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</si>
  <si>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</si>
  <si>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</si>
  <si>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</si>
  <si>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</si>
  <si>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</si>
  <si>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</si>
  <si>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</si>
  <si>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</si>
  <si>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</si>
  <si>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</si>
  <si>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</si>
  <si>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</si>
  <si>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</si>
  <si>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</si>
  <si>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</si>
  <si>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</si>
  <si>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</si>
  <si>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</si>
  <si>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</si>
  <si>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</si>
  <si>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</si>
  <si>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</si>
  <si>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</si>
  <si>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</si>
  <si>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</si>
  <si>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</si>
  <si>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</si>
  <si>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</si>
  <si>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</si>
  <si>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</si>
  <si>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</si>
  <si>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</si>
  <si>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</si>
  <si>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</si>
  <si>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</si>
  <si>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</si>
  <si>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</si>
  <si>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</si>
  <si>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</si>
  <si>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</si>
  <si>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</si>
  <si>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</si>
  <si>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</si>
  <si>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</si>
  <si>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</si>
  <si>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</si>
  <si>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</si>
  <si>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</si>
  <si>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</si>
  <si>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</si>
  <si>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</si>
  <si>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</si>
  <si>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</si>
  <si>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</si>
  <si>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</si>
  <si>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</si>
  <si>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</si>
  <si>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</si>
  <si>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</si>
  <si>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</si>
  <si>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</si>
  <si>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</si>
  <si>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</si>
  <si>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</si>
  <si>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</si>
  <si>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</si>
  <si>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</si>
  <si>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</si>
  <si>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</si>
  <si>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</si>
  <si>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</si>
  <si>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</si>
  <si>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</si>
  <si>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</si>
  <si>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</si>
  <si>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</si>
  <si>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</si>
  <si>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</si>
  <si>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</si>
  <si>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</si>
  <si>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</si>
  <si>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</si>
  <si>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</si>
  <si>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</si>
  <si>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</si>
  <si>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</si>
  <si>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</si>
  <si>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</si>
  <si>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</si>
  <si>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</si>
  <si>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</si>
  <si>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</si>
  <si>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</si>
  <si>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</si>
  <si>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</si>
  <si>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</si>
  <si>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</si>
  <si>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</si>
  <si>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</si>
  <si>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</si>
  <si>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</si>
  <si>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</si>
  <si>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</si>
  <si>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</si>
  <si>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</si>
  <si>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</si>
  <si>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</si>
  <si>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</si>
  <si>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</si>
  <si>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</si>
  <si>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</si>
  <si>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</si>
  <si>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</si>
  <si>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</si>
  <si>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</si>
  <si>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</si>
  <si>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</si>
  <si>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</si>
  <si>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</si>
  <si>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</si>
  <si>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</si>
  <si>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</si>
  <si>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</si>
  <si>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</si>
  <si>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</si>
  <si>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</si>
  <si>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</si>
  <si>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</si>
  <si>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</si>
  <si>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</si>
  <si>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</si>
  <si>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</si>
  <si>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</si>
  <si>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</si>
  <si>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</si>
  <si>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</si>
  <si>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</si>
  <si>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</si>
  <si>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</si>
  <si>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</si>
  <si>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</si>
  <si>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</si>
  <si>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</si>
  <si>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</si>
  <si>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</si>
  <si>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</si>
  <si>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</si>
  <si>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</si>
  <si>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</si>
  <si>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</si>
  <si>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</si>
  <si>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</si>
  <si>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</si>
  <si>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</si>
  <si>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</si>
  <si>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</si>
  <si>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</si>
  <si>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</si>
  <si>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</si>
  <si>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</si>
  <si>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</si>
  <si>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</si>
  <si>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</si>
  <si>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</si>
  <si>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</si>
  <si>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</si>
  <si>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</si>
  <si>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</si>
  <si>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</si>
  <si>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</si>
  <si>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</si>
  <si>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</si>
  <si>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</si>
  <si>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</si>
  <si>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</si>
  <si>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</si>
  <si>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</si>
  <si>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</si>
  <si>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</si>
  <si>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</si>
  <si>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</si>
  <si>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</si>
  <si>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</si>
  <si>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</si>
  <si>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</si>
  <si>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</si>
  <si>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</si>
  <si>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</si>
  <si>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</si>
  <si>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</si>
  <si>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</si>
  <si>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</si>
  <si>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</si>
  <si>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</si>
  <si>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</si>
  <si>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</si>
  <si>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</si>
  <si>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</si>
  <si>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</si>
  <si>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</si>
  <si>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</si>
  <si>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</si>
  <si>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</si>
  <si>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</si>
  <si>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</si>
  <si>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</si>
  <si>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</si>
  <si>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</si>
  <si>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</si>
  <si>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</si>
  <si>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</si>
  <si>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</si>
  <si>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</si>
  <si>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</si>
  <si>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</si>
  <si>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</si>
  <si>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</si>
  <si>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</si>
  <si>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</si>
  <si>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</si>
  <si>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</si>
  <si>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</si>
  <si>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</si>
  <si>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</si>
  <si>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</si>
  <si>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</si>
  <si>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</si>
  <si>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</si>
  <si>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</si>
  <si>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</si>
  <si>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</si>
  <si>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</si>
  <si>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</si>
  <si>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</si>
  <si>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</si>
  <si>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</si>
  <si>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</si>
  <si>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</si>
  <si>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</si>
  <si>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</si>
  <si>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</si>
  <si>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</si>
  <si>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</si>
  <si>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</si>
  <si>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</si>
  <si>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</si>
  <si>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</si>
  <si>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</si>
  <si>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</si>
  <si>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</si>
  <si>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</si>
  <si>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</si>
  <si>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</si>
  <si>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</si>
  <si>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</si>
  <si>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</si>
  <si>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</si>
  <si>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</si>
  <si>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</si>
  <si>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</si>
  <si>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</si>
  <si>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</si>
  <si>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</si>
  <si>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</si>
  <si>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</si>
  <si>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</si>
  <si>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</si>
  <si>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</si>
  <si>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</si>
  <si>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</si>
  <si>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</si>
  <si>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</si>
  <si>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</si>
  <si>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</si>
  <si>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</si>
  <si>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</si>
  <si>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</si>
  <si>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</si>
  <si>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</si>
  <si>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</si>
  <si>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</si>
  <si>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</si>
  <si>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</si>
  <si>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</si>
  <si>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</si>
  <si>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</si>
  <si>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</si>
  <si>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</si>
  <si>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</si>
  <si>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</si>
  <si>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</si>
  <si>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</si>
  <si>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</si>
  <si>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</si>
  <si>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</si>
  <si>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</si>
  <si>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</si>
  <si>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</si>
  <si>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</si>
  <si>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</si>
  <si>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</si>
  <si>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</si>
  <si>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</si>
  <si>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</si>
  <si>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</si>
  <si>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</si>
  <si>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</si>
  <si>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</si>
  <si>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</si>
  <si>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</si>
  <si>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</si>
  <si>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</si>
  <si>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</si>
  <si>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</si>
  <si>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</si>
  <si>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</si>
  <si>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</si>
  <si>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</si>
  <si>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</si>
  <si>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</si>
  <si>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</si>
  <si>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</si>
  <si>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</si>
  <si>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</si>
  <si>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</si>
  <si>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</si>
  <si>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</si>
  <si>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</si>
  <si>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</si>
  <si>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</si>
  <si>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</si>
  <si>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</si>
  <si>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</si>
  <si>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</si>
  <si>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</si>
  <si>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</si>
  <si>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</si>
  <si>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</si>
  <si>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</si>
  <si>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</si>
  <si>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</si>
  <si>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</si>
  <si>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</si>
  <si>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</si>
  <si>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</si>
  <si>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</si>
  <si>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</si>
  <si>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</si>
  <si>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</si>
  <si>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</si>
  <si>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</si>
  <si>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</si>
  <si>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</si>
  <si>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</si>
  <si>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</si>
  <si>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</si>
  <si>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</si>
  <si>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</si>
  <si>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</si>
  <si>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</si>
  <si>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</si>
  <si>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</si>
  <si>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</si>
  <si>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</si>
  <si>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</si>
  <si>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</si>
  <si>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</si>
  <si>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</si>
  <si>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</si>
  <si>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</si>
  <si>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</si>
  <si>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</si>
  <si>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</si>
  <si>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</si>
  <si>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</si>
  <si>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</si>
  <si>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</si>
  <si>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</si>
  <si>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</si>
  <si>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</si>
  <si>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</si>
  <si>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</si>
  <si>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</si>
  <si>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</si>
  <si>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</si>
  <si>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</si>
  <si>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</si>
  <si>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</si>
  <si>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</si>
  <si>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</si>
  <si>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</si>
  <si>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</si>
  <si>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</si>
  <si>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</si>
  <si>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</si>
  <si>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</si>
  <si>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</si>
  <si>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</si>
  <si>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</si>
  <si>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</si>
  <si>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</si>
  <si>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</si>
  <si>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</si>
  <si>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</si>
  <si>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</si>
  <si>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</si>
  <si>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</si>
  <si>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</si>
  <si>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</si>
  <si>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</si>
  <si>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</si>
  <si>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</si>
  <si>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</si>
  <si>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</si>
  <si>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</si>
  <si>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</si>
  <si>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</si>
  <si>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</si>
  <si>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</si>
  <si>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</si>
  <si>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</si>
  <si>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</si>
  <si>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</si>
  <si>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</si>
  <si>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</si>
  <si>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</si>
  <si>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</si>
  <si>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</si>
  <si>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</si>
  <si>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</si>
  <si>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</si>
  <si>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</si>
  <si>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</si>
  <si>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</si>
  <si>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</si>
  <si>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</si>
  <si>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</si>
  <si>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</si>
  <si>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</si>
  <si>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</si>
  <si>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</si>
  <si>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</si>
  <si>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</si>
  <si>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</si>
  <si>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</si>
  <si>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</si>
  <si>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</si>
  <si>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</si>
  <si>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</si>
  <si>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</si>
  <si>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</si>
  <si>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</si>
  <si>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</si>
  <si>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</si>
  <si>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</si>
  <si>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</si>
  <si>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</si>
  <si>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</si>
  <si>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</si>
  <si>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</si>
  <si>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</si>
  <si>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</si>
  <si>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</si>
  <si>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</si>
  <si>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</si>
  <si>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</si>
  <si>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</si>
  <si>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</si>
  <si>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</si>
  <si>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</si>
  <si>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</si>
  <si>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</si>
  <si>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</si>
  <si>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</si>
  <si>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</si>
  <si>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</si>
  <si>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</si>
  <si>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</si>
  <si>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</si>
  <si>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</si>
  <si>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</si>
  <si>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</si>
  <si>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</si>
  <si>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</si>
  <si>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</si>
  <si>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</si>
  <si>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</si>
  <si>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</si>
  <si>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</si>
  <si>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</si>
  <si>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</si>
  <si>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</si>
  <si>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</si>
  <si>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</si>
  <si>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</si>
  <si>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</si>
  <si>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</si>
  <si>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</si>
  <si>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</si>
  <si>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</si>
  <si>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</si>
  <si>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</si>
  <si>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</si>
  <si>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</si>
  <si>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</si>
  <si>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</si>
  <si>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</si>
  <si>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</si>
  <si>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</si>
  <si>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</si>
  <si>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</si>
  <si>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</si>
  <si>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</si>
  <si>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</si>
  <si>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</si>
  <si>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</si>
  <si>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</si>
  <si>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</si>
  <si>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</si>
  <si>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</si>
  <si>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</si>
  <si>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</si>
  <si>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</si>
  <si>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</si>
  <si>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</si>
  <si>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</si>
  <si>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</si>
  <si>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</si>
  <si>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</si>
  <si>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</si>
  <si>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</si>
  <si>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</si>
  <si>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</si>
  <si>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</si>
  <si>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</si>
  <si>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</si>
  <si>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</si>
  <si>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</si>
  <si>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</si>
  <si>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</si>
  <si>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</si>
  <si>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</si>
  <si>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</si>
  <si>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</si>
  <si>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</si>
  <si>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</si>
  <si>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</si>
  <si>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</si>
  <si>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</si>
  <si>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</si>
  <si>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</si>
  <si>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</si>
  <si>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</si>
  <si>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</si>
  <si>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</si>
  <si>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</si>
  <si>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</si>
  <si>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</si>
  <si>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</si>
  <si>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</si>
  <si>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</si>
  <si>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</si>
  <si>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</si>
  <si>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</si>
  <si>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</si>
  <si>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</si>
  <si>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</si>
  <si>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</si>
  <si>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</si>
  <si>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</si>
  <si>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</si>
  <si>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</si>
  <si>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</si>
  <si>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</si>
  <si>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</si>
  <si>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</si>
  <si>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</si>
  <si>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</si>
  <si>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</si>
  <si>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</si>
  <si>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</si>
  <si>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</si>
  <si>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</si>
  <si>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</si>
  <si>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</si>
  <si>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</si>
  <si>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</si>
  <si>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</si>
  <si>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</si>
  <si>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</si>
  <si>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</si>
  <si>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</si>
  <si>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</si>
  <si>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</si>
  <si>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</si>
  <si>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</si>
  <si>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</si>
  <si>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</si>
  <si>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</si>
  <si>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</si>
  <si>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</si>
  <si>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</si>
  <si>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</si>
  <si>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</si>
  <si>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</si>
  <si>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</si>
  <si>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</si>
  <si>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</si>
  <si>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</si>
  <si>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</si>
  <si>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</si>
  <si>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</si>
  <si>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</si>
  <si>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</si>
  <si>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</si>
  <si>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</si>
  <si>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</si>
  <si>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</si>
  <si>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</si>
  <si>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</si>
  <si>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</si>
  <si>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</si>
  <si>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</si>
  <si>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</si>
  <si>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</si>
  <si>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</si>
  <si>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</si>
  <si>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</si>
  <si>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</si>
  <si>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</si>
  <si>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</si>
  <si>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</si>
  <si>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</si>
  <si>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</si>
  <si>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</si>
  <si>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</si>
  <si>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</si>
  <si>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</si>
  <si>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</si>
  <si>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</si>
  <si>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</si>
  <si>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</si>
  <si>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</si>
  <si>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</si>
  <si>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</si>
  <si>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</si>
  <si>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</si>
  <si>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</si>
  <si>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</si>
  <si>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</si>
  <si>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</si>
  <si>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</si>
  <si>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</si>
  <si>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</si>
  <si>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</si>
  <si>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</si>
  <si>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</si>
  <si>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</si>
  <si>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</si>
  <si>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</si>
  <si>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</si>
  <si>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</si>
  <si>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</si>
  <si>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</si>
  <si>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</si>
  <si>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</si>
  <si>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</si>
  <si>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</si>
  <si>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</si>
  <si>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</si>
  <si>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</si>
  <si>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</si>
  <si>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</si>
  <si>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</si>
  <si>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</si>
  <si>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</si>
  <si>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</si>
  <si>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</si>
  <si>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</si>
  <si>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</si>
  <si>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</si>
  <si>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</si>
  <si>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</si>
  <si>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</si>
  <si>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</si>
  <si>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</si>
  <si>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</si>
  <si>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</si>
  <si>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</si>
  <si>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</si>
  <si>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</si>
  <si>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</si>
  <si>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</si>
  <si>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</si>
  <si>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</si>
  <si>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</si>
  <si>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</si>
  <si>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</si>
  <si>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</si>
  <si>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</si>
  <si>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</si>
  <si>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</si>
  <si>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</si>
  <si>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</si>
  <si>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</si>
  <si>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</si>
  <si>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</si>
  <si>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</si>
  <si>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</si>
  <si>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</si>
  <si>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</si>
  <si>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</si>
  <si>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</si>
  <si>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</si>
  <si>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</si>
  <si>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</si>
  <si>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</si>
  <si>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</si>
  <si>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</si>
  <si>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</si>
  <si>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</si>
  <si>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</si>
  <si>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</si>
  <si>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</si>
  <si>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</si>
  <si>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</si>
  <si>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</si>
  <si>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</si>
  <si>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</si>
  <si>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</si>
  <si>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</si>
  <si>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</si>
  <si>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</si>
  <si>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</si>
  <si>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</si>
  <si>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</si>
  <si>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</si>
  <si>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</si>
  <si>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</si>
  <si>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</si>
  <si>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</si>
  <si>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</si>
  <si>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</si>
  <si>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</si>
  <si>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</si>
  <si>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</si>
  <si>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</si>
  <si>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</si>
  <si>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</si>
  <si>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</si>
  <si>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</si>
  <si>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</si>
  <si>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</si>
  <si>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</si>
  <si>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</si>
  <si>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</si>
  <si>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</si>
  <si>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</si>
  <si>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</si>
  <si>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</si>
  <si>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</si>
  <si>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</si>
  <si>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</si>
  <si>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</si>
  <si>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</si>
  <si>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</si>
  <si>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</si>
  <si>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</si>
  <si>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</si>
  <si>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</si>
  <si>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</si>
  <si>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</si>
  <si>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</si>
  <si>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</si>
  <si>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</si>
  <si>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</si>
  <si>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</si>
  <si>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</si>
  <si>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</si>
  <si>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</si>
  <si>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</si>
  <si>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</si>
  <si>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</si>
  <si>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</si>
  <si>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</si>
  <si>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</si>
  <si>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</si>
  <si>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</si>
  <si>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</si>
  <si>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</si>
  <si>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</si>
  <si>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</si>
  <si>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</si>
  <si>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</si>
  <si>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</si>
  <si>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</si>
  <si>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</si>
  <si>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</si>
  <si>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</si>
  <si>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</si>
  <si>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</si>
  <si>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</si>
  <si>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</si>
  <si>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</si>
  <si>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</si>
  <si>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</si>
  <si>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</si>
  <si>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</si>
  <si>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</si>
  <si>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</si>
  <si>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</si>
  <si>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</si>
  <si>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</si>
  <si>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</si>
  <si>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</si>
  <si>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</si>
  <si>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</si>
  <si>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</si>
  <si>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</si>
  <si>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</si>
  <si>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</si>
  <si>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</si>
  <si>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</si>
  <si>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</si>
  <si>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</si>
  <si>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</si>
  <si>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</si>
  <si>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</si>
  <si>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</si>
  <si>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</si>
  <si>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</si>
  <si>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</si>
  <si>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</si>
  <si>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</si>
  <si>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</si>
  <si>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</si>
  <si>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</si>
  <si>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</si>
  <si>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</si>
  <si>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</si>
  <si>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</si>
  <si>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</si>
  <si>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</si>
  <si>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</si>
  <si>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</si>
  <si>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</si>
  <si>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</si>
  <si>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</si>
  <si>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</si>
  <si>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</si>
  <si>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</si>
  <si>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</si>
  <si>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</si>
  <si>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</si>
  <si>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</si>
  <si>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</si>
  <si>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</si>
  <si>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</si>
  <si>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</si>
  <si>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</si>
  <si>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</si>
  <si>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</si>
  <si>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</si>
  <si>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</si>
  <si>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</si>
  <si>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</si>
  <si>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</si>
  <si>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</si>
  <si>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</si>
  <si>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</si>
  <si>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</si>
  <si>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</si>
  <si>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</si>
  <si>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</si>
  <si>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</si>
  <si>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</si>
  <si>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</si>
  <si>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</si>
  <si>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</si>
  <si>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</si>
  <si>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</si>
  <si>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</si>
  <si>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</si>
  <si>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</si>
  <si>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</si>
  <si>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</si>
  <si>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</si>
  <si>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</si>
  <si>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</si>
  <si>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</si>
  <si>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</si>
  <si>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</si>
  <si>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</si>
  <si>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</si>
  <si>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</si>
  <si>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</si>
  <si>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</si>
  <si>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</si>
  <si>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</si>
  <si>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</si>
  <si>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</si>
  <si>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</si>
  <si>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</si>
  <si>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</si>
  <si>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</si>
  <si>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</si>
  <si>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</si>
  <si>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</si>
  <si>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</si>
  <si>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</si>
  <si>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</si>
  <si>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</si>
  <si>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</si>
  <si>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</si>
  <si>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</si>
  <si>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</si>
  <si>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</si>
  <si>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</si>
  <si>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</si>
  <si>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</si>
  <si>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</si>
  <si>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</si>
  <si>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</si>
  <si>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</si>
  <si>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</si>
  <si>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</si>
  <si>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</si>
  <si>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</si>
  <si>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</si>
  <si>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</si>
  <si>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</si>
  <si>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</si>
  <si>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</si>
  <si>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</si>
  <si>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</si>
  <si>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</si>
  <si>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</si>
  <si>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</si>
  <si>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</si>
  <si>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</si>
  <si>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</si>
  <si>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</si>
  <si>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</si>
  <si>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</si>
  <si>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</si>
  <si>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</si>
  <si>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</si>
  <si>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</si>
  <si>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</si>
  <si>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</si>
  <si>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</si>
  <si>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</si>
  <si>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</si>
  <si>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</si>
  <si>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</si>
  <si>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</si>
  <si>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</si>
  <si>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</si>
  <si>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</si>
  <si>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</si>
  <si>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</si>
  <si>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</si>
  <si>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</si>
  <si>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</si>
  <si>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</si>
  <si>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</si>
  <si>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</si>
  <si>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</si>
  <si>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</si>
  <si>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</si>
  <si>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</si>
  <si>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</si>
  <si>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</si>
  <si>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</si>
  <si>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</si>
  <si>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</si>
  <si>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</si>
  <si>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</si>
  <si>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</si>
  <si>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</si>
  <si>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</si>
  <si>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</si>
  <si>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</si>
  <si>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</si>
  <si>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</si>
  <si>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</si>
  <si>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</si>
  <si>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</si>
  <si>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</si>
  <si>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</si>
  <si>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</si>
  <si>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</si>
  <si>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</si>
  <si>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</si>
  <si>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</si>
  <si>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</si>
  <si>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</si>
  <si>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</si>
  <si>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</si>
  <si>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</si>
  <si>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</si>
  <si>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</si>
  <si>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</si>
  <si>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</si>
  <si>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</si>
  <si>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</si>
  <si>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</si>
  <si>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</si>
  <si>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</si>
  <si>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</si>
  <si>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</si>
  <si>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</si>
  <si>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</si>
  <si>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</si>
  <si>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</si>
  <si>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</si>
  <si>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</si>
  <si>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</si>
  <si>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</si>
  <si>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</si>
  <si>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</si>
  <si>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</si>
  <si>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</si>
  <si>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</si>
  <si>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</si>
  <si>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</si>
  <si>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</si>
  <si>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</si>
  <si>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</si>
  <si>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</si>
  <si>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</si>
  <si>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</si>
  <si>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</si>
  <si>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</si>
  <si>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</si>
  <si>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</si>
  <si>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</si>
  <si>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</si>
  <si>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</si>
  <si>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</si>
  <si>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</si>
  <si>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</si>
  <si>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</si>
  <si>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</si>
  <si>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</si>
  <si>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</si>
  <si>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</si>
  <si>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</si>
  <si>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</si>
  <si>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</si>
  <si>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</si>
  <si>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</si>
  <si>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</si>
  <si>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</si>
  <si>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</si>
  <si>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</si>
  <si>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</si>
  <si>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</si>
  <si>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</si>
  <si>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</si>
  <si>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</si>
  <si>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</si>
  <si>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</si>
  <si>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</si>
  <si>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</si>
  <si>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</si>
  <si>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</si>
  <si>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</si>
  <si>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</si>
  <si>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</si>
  <si>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</si>
  <si>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</si>
  <si>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</si>
  <si>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</si>
  <si>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</si>
  <si>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</si>
  <si>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</si>
  <si>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</si>
  <si>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</si>
  <si>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</si>
  <si>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</si>
  <si>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</si>
  <si>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</si>
  <si>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</si>
  <si>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</si>
  <si>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</si>
  <si>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</si>
  <si>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</si>
  <si>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</si>
  <si>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</si>
  <si>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</si>
  <si>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</si>
  <si>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</si>
  <si>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</si>
  <si>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</si>
  <si>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</si>
  <si>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</si>
  <si>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</si>
  <si>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</si>
  <si>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</si>
  <si>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</si>
  <si>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</si>
  <si>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</si>
  <si>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</si>
  <si>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</si>
  <si>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</si>
  <si>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</si>
  <si>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</si>
  <si>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</si>
  <si>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</si>
  <si>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</si>
  <si>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</si>
  <si>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</si>
  <si>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</si>
  <si>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</si>
  <si>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</si>
  <si>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</si>
  <si>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</si>
  <si>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</si>
  <si>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</si>
  <si>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</si>
  <si>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</si>
  <si>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</si>
  <si>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</si>
  <si>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</si>
  <si>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</si>
  <si>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</si>
  <si>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</si>
  <si>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</si>
  <si>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</si>
  <si>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</si>
  <si>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</si>
  <si>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</si>
  <si>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</si>
  <si>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</si>
  <si>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</si>
  <si>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</si>
  <si>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</si>
  <si>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</si>
  <si>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</si>
  <si>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</si>
  <si>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</si>
  <si>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</si>
  <si>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</si>
  <si>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</si>
  <si>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</si>
  <si>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</si>
  <si>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</si>
  <si>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</si>
  <si>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</si>
  <si>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</si>
  <si>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</si>
  <si>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</si>
  <si>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</si>
  <si>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</si>
  <si>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</si>
  <si>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</si>
  <si>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</si>
  <si>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</si>
  <si>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</si>
  <si>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</si>
  <si>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</si>
  <si>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</si>
  <si>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</si>
  <si>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</si>
  <si>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</si>
  <si>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</si>
  <si>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</si>
  <si>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</si>
  <si>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</si>
  <si>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</si>
  <si>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</si>
  <si>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</si>
  <si>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</si>
  <si>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</si>
  <si>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</si>
  <si>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</si>
  <si>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</si>
  <si>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</si>
  <si>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</si>
  <si>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</si>
  <si>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</si>
  <si>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</si>
  <si>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</si>
  <si>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</si>
  <si>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</si>
  <si>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</si>
  <si>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</si>
  <si>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</si>
  <si>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</si>
  <si>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</si>
  <si>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</si>
  <si>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</si>
  <si>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</si>
  <si>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</si>
  <si>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</si>
  <si>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</si>
  <si>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</si>
  <si>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</si>
  <si>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</si>
  <si>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</si>
  <si>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</si>
  <si>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</si>
  <si>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</si>
  <si>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</si>
  <si>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</si>
  <si>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</si>
  <si>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</si>
  <si>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</si>
  <si>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</si>
  <si>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</si>
  <si>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</si>
  <si>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</si>
  <si>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</si>
  <si>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</si>
  <si>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</si>
  <si>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</si>
  <si>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</si>
  <si>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</si>
  <si>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</si>
  <si>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</si>
  <si>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</si>
  <si>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</si>
  <si>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2017</t>
  </si>
  <si>
    <t>06/30/2019</t>
  </si>
  <si>
    <t>032</t>
  </si>
  <si>
    <t>St.Joseph Medical Center</t>
  </si>
  <si>
    <t>1717 South J Street</t>
  </si>
  <si>
    <t>Tacoma, WA 98401</t>
  </si>
  <si>
    <t>Pierce</t>
  </si>
  <si>
    <t>Ketul Patel</t>
  </si>
  <si>
    <t>Mike Fitzgerald</t>
  </si>
  <si>
    <t>Roy Brooks</t>
  </si>
  <si>
    <t>253-426-4101</t>
  </si>
  <si>
    <t>Change in STAT source in FY18</t>
  </si>
  <si>
    <t>reduction in Cafeteria meals</t>
  </si>
  <si>
    <t>Row Labels</t>
  </si>
  <si>
    <t>Sum of Inpatient services gross revenue</t>
  </si>
  <si>
    <t>Sum of Gross patient services revenue</t>
  </si>
  <si>
    <t>Sum of Total nonpatient revenues</t>
  </si>
  <si>
    <t>Sum of Salaries and wages</t>
  </si>
  <si>
    <t>Sum of Employee benefits</t>
  </si>
  <si>
    <t>Sum of Medical professional fees</t>
  </si>
  <si>
    <t>Sum of Utilities expense</t>
  </si>
  <si>
    <t>Sum of Rentals and leases</t>
  </si>
  <si>
    <t>Sum of Supplies expense</t>
  </si>
  <si>
    <t>Sum of Depreciation and amortization</t>
  </si>
  <si>
    <t>Sum of Total operating expenses</t>
  </si>
  <si>
    <t>6010  ICU</t>
  </si>
  <si>
    <t>6120  Physical Rehab</t>
  </si>
  <si>
    <t>6140 Psychiatric Care</t>
  </si>
  <si>
    <t>7010  L&amp;D</t>
  </si>
  <si>
    <t>7020  Surgery</t>
  </si>
  <si>
    <t>7030  Recovery</t>
  </si>
  <si>
    <t>7050  Medical Supplies</t>
  </si>
  <si>
    <t>7060  IVT</t>
  </si>
  <si>
    <t>7070  Lab</t>
  </si>
  <si>
    <t>7130 CT Scan</t>
  </si>
  <si>
    <t>7140  Radiology</t>
  </si>
  <si>
    <t>7160  Nuclear Med</t>
  </si>
  <si>
    <t>7180  Resp Therapy</t>
  </si>
  <si>
    <t>7190  Renal</t>
  </si>
  <si>
    <t>7230  Emergency</t>
  </si>
  <si>
    <t>7310  Occup Therapy</t>
  </si>
  <si>
    <t>7320  Speech</t>
  </si>
  <si>
    <t>7380  Free Stand. Clinics</t>
  </si>
  <si>
    <t>7400  Home Health</t>
  </si>
  <si>
    <t>7490  Other Ancilliary</t>
  </si>
  <si>
    <t>8310  Printing</t>
  </si>
  <si>
    <t>8350  Laundry</t>
  </si>
  <si>
    <t>8370  Central Transp</t>
  </si>
  <si>
    <t>8470  Communications</t>
  </si>
  <si>
    <t>8490  Other General</t>
  </si>
  <si>
    <t>8530  Patient Acctg</t>
  </si>
  <si>
    <t>8610  Administration</t>
  </si>
  <si>
    <t>8630  Marketing</t>
  </si>
  <si>
    <t>8660  Auxilliary</t>
  </si>
  <si>
    <t>8670  Chaplaincy</t>
  </si>
  <si>
    <t>8710  Utilization Review</t>
  </si>
  <si>
    <t>8720  Nursing Admin</t>
  </si>
  <si>
    <t>8740  Education</t>
  </si>
  <si>
    <t>8770  Comm Health</t>
  </si>
  <si>
    <t>8790  Other Admin</t>
  </si>
  <si>
    <t>8900  Unassigned</t>
  </si>
  <si>
    <t>9999  Bad Debt</t>
  </si>
  <si>
    <t>7110 Electro- diagnosis</t>
  </si>
  <si>
    <t>Grand Total</t>
  </si>
  <si>
    <t>DOH Account</t>
  </si>
  <si>
    <t>Sum of Total Outpatient Revenue</t>
  </si>
  <si>
    <t>Sum of Total operating revenue</t>
  </si>
  <si>
    <t>Sum of Total Purchase Service</t>
  </si>
  <si>
    <t>Sum of Other expenses</t>
  </si>
  <si>
    <t>Sum of Income Statement</t>
  </si>
  <si>
    <t/>
  </si>
  <si>
    <t>Absorb more losses from physician business.</t>
  </si>
  <si>
    <t>Laboratory services for clinics transitioned to LabCorp in May 2018.</t>
  </si>
  <si>
    <t>$400K of these expenses are for dialysis services and will be reimbursed by Fresenius in FY20.</t>
  </si>
  <si>
    <t>Decrease in surgical volume while many expenses are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</si>
</sst>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_);[Red]\(#,##0.00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2"/>
      <color rgb="FF0000FF"/>
      <name val="Courier"/>
    </font>
    <font>
      <b/>
      <sz val="10"/>
      <name val="Tahoma"/>
      <family val="2"/>
    </font>
    <font>
      <b/>
      <sz val="12"/>
      <name val="Courie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8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4" fillId="3" borderId="0" xfId="0" applyFont="1" applyFill="1" applyProtection="1">
      <protection locked="0"/>
    </xf>
    <xf numFmtId="0" fontId="0" fillId="0" borderId="0" xfId="0" applyNumberFormat="1"/>
    <xf numFmtId="0" fontId="16" fillId="8" borderId="0" xfId="0" applyNumberFormat="1" applyFont="1" applyFill="1"/>
    <xf numFmtId="0" fontId="16" fillId="8" borderId="0" xfId="0" applyNumberFormat="1" applyFont="1" applyFill="1" applyAlignment="1">
      <alignment wrapText="1"/>
    </xf>
    <xf numFmtId="0" fontId="17" fillId="0" borderId="0" xfId="4" applyFont="1"/>
    <xf numFmtId="0" fontId="18" fillId="0" borderId="0" xfId="0" applyNumberFormat="1" applyFont="1"/>
    <xf numFmtId="37" fontId="18" fillId="0" borderId="0" xfId="0" applyFont="1"/>
    <xf numFmtId="37" fontId="10" fillId="0" borderId="1" xfId="0" quotePrefix="1" applyNumberFormat="1" applyFont="1" applyFill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4" fillId="0" borderId="0" xfId="0" quotePrefix="1" applyFont="1" applyFill="1" applyAlignment="1" applyProtection="1"/>
    <xf numFmtId="2" fontId="4" fillId="0" borderId="0" xfId="0" applyNumberFormat="1" applyFont="1" applyFill="1" applyProtection="1"/>
    <xf numFmtId="10" fontId="4" fillId="0" borderId="0" xfId="0" applyNumberFormat="1" applyFont="1" applyFill="1" applyProtection="1"/>
    <xf numFmtId="9" fontId="4" fillId="0" borderId="0" xfId="3" applyFont="1" applyProtection="1"/>
    <xf numFmtId="37" fontId="0" fillId="0" borderId="0" xfId="0" quotePrefix="1"/>
    <xf numFmtId="37" fontId="18" fillId="9" borderId="0" xfId="0" applyFont="1" applyFill="1"/>
    <xf numFmtId="37" fontId="4" fillId="0" borderId="0" xfId="0" applyFont="1" applyFill="1" applyProtection="1">
      <protection locked="0"/>
    </xf>
    <xf numFmtId="1" fontId="4" fillId="0" borderId="0" xfId="0" applyNumberFormat="1" applyFont="1" applyFill="1" applyAlignment="1" applyProtection="1">
      <alignment horizontal="center"/>
    </xf>
    <xf numFmtId="2" fontId="4" fillId="0" borderId="0" xfId="0" applyNumberFormat="1" applyFont="1" applyFill="1" applyAlignment="1" applyProtection="1"/>
    <xf numFmtId="43" fontId="4" fillId="0" borderId="0" xfId="1" applyFont="1" applyProtection="1"/>
    <xf numFmtId="2" fontId="17" fillId="0" borderId="0" xfId="4" applyNumberFormat="1" applyFont="1"/>
    <xf numFmtId="2" fontId="16" fillId="8" borderId="0" xfId="0" applyNumberFormat="1" applyFont="1" applyFill="1" applyAlignment="1">
      <alignment wrapText="1"/>
    </xf>
    <xf numFmtId="2" fontId="0" fillId="0" borderId="0" xfId="0" applyNumberFormat="1"/>
    <xf numFmtId="38" fontId="10" fillId="0" borderId="1" xfId="0" applyNumberFormat="1" applyFont="1" applyFill="1" applyBorder="1" applyProtection="1">
      <protection locked="0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Protection="1">
      <protection locked="0"/>
    </xf>
    <xf numFmtId="38" fontId="10" fillId="4" borderId="1" xfId="0" quotePrefix="1" applyNumberFormat="1" applyFont="1" applyFill="1" applyBorder="1" applyProtection="1">
      <protection locked="0"/>
    </xf>
    <xf numFmtId="43" fontId="0" fillId="0" borderId="0" xfId="1" applyFont="1"/>
    <xf numFmtId="43" fontId="0" fillId="0" borderId="0" xfId="1" applyFont="1" applyProtection="1"/>
    <xf numFmtId="39" fontId="10" fillId="0" borderId="1" xfId="3" quotePrefix="1" applyNumberFormat="1" applyFont="1" applyFill="1" applyBorder="1" applyProtection="1">
      <protection locked="0"/>
    </xf>
    <xf numFmtId="39" fontId="10" fillId="0" borderId="1" xfId="0" quotePrefix="1" applyNumberFormat="1" applyFont="1" applyFill="1" applyBorder="1" applyProtection="1">
      <protection locked="0"/>
    </xf>
    <xf numFmtId="43" fontId="18" fillId="9" borderId="0" xfId="1" applyFont="1" applyFill="1"/>
    <xf numFmtId="167" fontId="10" fillId="4" borderId="1" xfId="0" applyNumberFormat="1" applyFont="1" applyFill="1" applyBorder="1" applyProtection="1">
      <protection locked="0"/>
    </xf>
    <xf numFmtId="167" fontId="4" fillId="3" borderId="0" xfId="0" applyNumberFormat="1" applyFont="1" applyFill="1" applyProtection="1"/>
    <xf numFmtId="167" fontId="10" fillId="3" borderId="0" xfId="0" applyNumberFormat="1" applyFont="1" applyFill="1" applyAlignment="1" applyProtection="1">
      <alignment horizontal="centerContinuous"/>
    </xf>
    <xf numFmtId="167" fontId="10" fillId="4" borderId="1" xfId="0" applyNumberFormat="1" applyFont="1" applyFill="1" applyBorder="1" applyAlignment="1" applyProtection="1">
      <alignment horizontal="center"/>
      <protection locked="0"/>
    </xf>
    <xf numFmtId="167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Protection="1"/>
    <xf numFmtId="37" fontId="4" fillId="8" borderId="0" xfId="0" applyNumberFormat="1" applyFont="1" applyFill="1" applyProtection="1"/>
    <xf numFmtId="37" fontId="4" fillId="7" borderId="0" xfId="0" applyNumberFormat="1" applyFont="1" applyFill="1" applyProtection="1"/>
    <xf numFmtId="37" fontId="4" fillId="0" borderId="0" xfId="0" applyNumberFormat="1" applyFont="1" applyAlignment="1" applyProtection="1"/>
    <xf numFmtId="37" fontId="4" fillId="3" borderId="0" xfId="0" applyNumberFormat="1" applyFont="1" applyFill="1" applyAlignment="1" applyProtection="1">
      <alignment horizontal="center"/>
    </xf>
    <xf numFmtId="37" fontId="10" fillId="0" borderId="1" xfId="3" quotePrefix="1" applyNumberFormat="1" applyFont="1" applyBorder="1" applyProtection="1">
      <protection locked="0"/>
    </xf>
    <xf numFmtId="37" fontId="4" fillId="3" borderId="0" xfId="0" applyNumberFormat="1" applyFont="1" applyFill="1" applyAlignment="1" applyProtection="1">
      <alignment horizontal="centerContinuous"/>
    </xf>
    <xf numFmtId="37" fontId="11" fillId="3" borderId="0" xfId="0" applyNumberFormat="1" applyFont="1" applyFill="1" applyProtection="1"/>
    <xf numFmtId="37" fontId="10" fillId="4" borderId="8" xfId="0" applyNumberFormat="1" applyFont="1" applyFill="1" applyBorder="1" applyProtection="1">
      <protection locked="0"/>
    </xf>
    <xf numFmtId="37" fontId="10" fillId="3" borderId="0" xfId="0" applyNumberFormat="1" applyFont="1" applyFill="1" applyAlignment="1" applyProtection="1">
      <alignment horizontal="centerContinuous"/>
    </xf>
    <xf numFmtId="37" fontId="10" fillId="4" borderId="1" xfId="0" applyNumberFormat="1" applyFont="1" applyFill="1" applyBorder="1" applyProtection="1">
      <protection locked="0"/>
    </xf>
    <xf numFmtId="37" fontId="10" fillId="0" borderId="1" xfId="0" applyNumberFormat="1" applyFont="1" applyFill="1" applyBorder="1" applyProtection="1">
      <protection locked="0"/>
    </xf>
    <xf numFmtId="37" fontId="4" fillId="3" borderId="0" xfId="0" quotePrefix="1" applyNumberFormat="1" applyFont="1" applyFill="1" applyAlignment="1" applyProtection="1">
      <alignment horizontal="centerContinuous"/>
    </xf>
    <xf numFmtId="37" fontId="10" fillId="3" borderId="0" xfId="0" applyNumberFormat="1" applyFont="1" applyFill="1" applyAlignment="1" applyProtection="1">
      <alignment horizontal="center"/>
    </xf>
    <xf numFmtId="37" fontId="10" fillId="3" borderId="0" xfId="0" applyNumberFormat="1" applyFont="1" applyFill="1" applyProtection="1"/>
    <xf numFmtId="37" fontId="4" fillId="3" borderId="0" xfId="0" applyNumberFormat="1" applyFont="1" applyFill="1" applyAlignment="1" applyProtection="1">
      <alignment horizontal="right"/>
    </xf>
    <xf numFmtId="37" fontId="4" fillId="0" borderId="0" xfId="0" applyNumberFormat="1" applyFont="1" applyAlignment="1" applyProtection="1">
      <alignment horizontal="center"/>
    </xf>
    <xf numFmtId="37" fontId="4" fillId="0" borderId="0" xfId="0" applyNumberFormat="1" applyFont="1" applyFill="1" applyAlignment="1" applyProtection="1"/>
    <xf numFmtId="37" fontId="4" fillId="0" borderId="0" xfId="0" quotePrefix="1" applyNumberFormat="1" applyFont="1" applyAlignment="1" applyProtection="1">
      <alignment horizontal="fill"/>
    </xf>
    <xf numFmtId="37" fontId="4" fillId="0" borderId="0" xfId="1" applyNumberFormat="1" applyFont="1" applyFill="1" applyAlignment="1" applyProtection="1"/>
    <xf numFmtId="37" fontId="4" fillId="0" borderId="0" xfId="0" quotePrefix="1" applyNumberFormat="1" applyFont="1" applyAlignment="1" applyProtection="1">
      <alignment horizontal="center"/>
    </xf>
    <xf numFmtId="37" fontId="4" fillId="0" borderId="0" xfId="0" quotePrefix="1" applyNumberFormat="1" applyFont="1" applyFill="1" applyAlignment="1" applyProtection="1"/>
    <xf numFmtId="37" fontId="4" fillId="0" borderId="0" xfId="0" quotePrefix="1" applyNumberFormat="1" applyFont="1" applyAlignment="1" applyProtection="1"/>
    <xf numFmtId="37" fontId="4" fillId="0" borderId="0" xfId="0" applyNumberFormat="1" applyFont="1" applyFill="1" applyAlignment="1" applyProtection="1">
      <alignment horizontal="center"/>
    </xf>
    <xf numFmtId="37" fontId="10" fillId="0" borderId="0" xfId="0" applyNumberFormat="1" applyFont="1" applyProtection="1"/>
    <xf numFmtId="37" fontId="10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Comma 8 2" xfId="5"/>
    <cellStyle name="Comma 8 3 2" xfId="6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E725" sqref="E72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5.58203125" style="252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322"/>
      <c r="E1" s="234"/>
      <c r="F1" s="234"/>
    </row>
    <row r="2" spans="1:6" ht="12.75" customHeight="1" x14ac:dyDescent="0.25">
      <c r="A2" s="234" t="s">
        <v>1233</v>
      </c>
      <c r="B2" s="234"/>
      <c r="C2" s="235"/>
      <c r="D2" s="322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32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324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B41" s="197"/>
      <c r="C41" s="241"/>
      <c r="D41" s="325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325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326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326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326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'SJ data'!$I$64</f>
        <v>72957136.220000014</v>
      </c>
      <c r="C47" s="184">
        <f>IF(ISERR(VLOOKUP((C$44),'SJ data'!$A$4:$AD$64,9,0)="TRUE"),0,VLOOKUP((C$44),'SJ data'!$A$4:$AD$64,9,0))</f>
        <v>4184646.1199999996</v>
      </c>
      <c r="D47" s="184">
        <f>IF(ISERR(VLOOKUP((D$44),'SJ data'!$A$4:$AD$64,9,0)="TRUE"),0,VLOOKUP((D$44),'SJ data'!$A$4:$AD$64,9,0))</f>
        <v>0</v>
      </c>
      <c r="E47" s="184">
        <f>IF(ISERR(VLOOKUP((E$44),'SJ data'!$A$4:$AD$64,9,0)="TRUE"),0,VLOOKUP((E$44),'SJ data'!$A$4:$AD$64,9,0))</f>
        <v>9340558.8800000027</v>
      </c>
      <c r="F47" s="184">
        <f>IF(ISERR(VLOOKUP((F$44),'SJ data'!$A$4:$AD$64,9,0)="TRUE"),0,VLOOKUP((F$44),'SJ data'!$A$4:$AD$64,9,0))</f>
        <v>0</v>
      </c>
      <c r="G47" s="184">
        <f>IF(ISERR(VLOOKUP((G$44),'SJ data'!$A$4:$AD$64,9,0)="TRUE"),0,VLOOKUP((G$44),'SJ data'!$A$4:$AD$64,9,0))</f>
        <v>0</v>
      </c>
      <c r="H47" s="184">
        <f>IF(ISERR(VLOOKUP((H$44),'SJ data'!$A$4:$AD$64,9,0)="TRUE"),0,VLOOKUP((H$44),'SJ data'!$A$4:$AD$64,9,0))</f>
        <v>1046706.2100000002</v>
      </c>
      <c r="I47" s="184">
        <f>IF(ISERR(VLOOKUP((I$44),'SJ data'!$A$4:$AD$64,9,0)="TRUE"),0,VLOOKUP((I$44),'SJ data'!$A$4:$AD$64,9,0))</f>
        <v>0</v>
      </c>
      <c r="J47" s="184">
        <f>IF(ISERR(VLOOKUP((J$44),'SJ data'!$A$4:$AD$64,9,0)="TRUE"),0,VLOOKUP((J$44),'SJ data'!$A$4:$AD$64,9,0))</f>
        <v>1299250.28</v>
      </c>
      <c r="K47" s="184">
        <f>IF(ISERR(VLOOKUP((K$44),'SJ data'!$A$4:$AD$64,9,0)="TRUE"),0,VLOOKUP((K$44),'SJ data'!$A$4:$AD$64,9,0))</f>
        <v>0</v>
      </c>
      <c r="L47" s="184">
        <f>IF(ISERR(VLOOKUP((L$44),'SJ data'!$A$4:$AD$64,9,0)="TRUE"),0,VLOOKUP((L$44),'SJ data'!$A$4:$AD$64,9,0))</f>
        <v>0</v>
      </c>
      <c r="M47" s="184">
        <f>IF(ISERR(VLOOKUP((M$44),'SJ data'!$A$4:$AD$64,9,0)="TRUE"),0,VLOOKUP((M$44),'SJ data'!$A$4:$AD$64,9,0))</f>
        <v>0</v>
      </c>
      <c r="N47" s="184">
        <f>IF(ISERR(VLOOKUP((N$44),'SJ data'!$A$4:$AD$64,9,0)="TRUE"),0,VLOOKUP((N$44),'SJ data'!$A$4:$AD$64,9,0))</f>
        <v>0</v>
      </c>
      <c r="O47" s="184">
        <f>IF(ISERR(VLOOKUP((O$44),'SJ data'!$A$4:$AD$64,9,0)="TRUE"),0,VLOOKUP((O$44),'SJ data'!$A$4:$AD$64,9,0))</f>
        <v>3409815.2700000005</v>
      </c>
      <c r="P47" s="184">
        <f>IF(ISERR(VLOOKUP((P$44),'SJ data'!$A$4:$AD$64,9,0)="TRUE"),0,VLOOKUP((P$44),'SJ data'!$A$4:$AD$64,9,0))</f>
        <v>4612561.21</v>
      </c>
      <c r="Q47" s="184">
        <f>IF(ISERR(VLOOKUP((Q$44),'SJ data'!$A$4:$AD$64,9,0)="TRUE"),0,VLOOKUP((Q$44),'SJ data'!$A$4:$AD$64,9,0))</f>
        <v>485552.95000000007</v>
      </c>
      <c r="R47" s="184">
        <f>IF(ISERR(VLOOKUP((R$44),'SJ data'!$A$4:$AD$64,9,0)="TRUE"),0,VLOOKUP((R$44),'SJ data'!$A$4:$AD$64,9,0))</f>
        <v>0</v>
      </c>
      <c r="S47" s="184">
        <f>IF(ISERR(VLOOKUP((S$44),'SJ data'!$A$4:$AD$64,9,0)="TRUE"),0,VLOOKUP((S$44),'SJ data'!$A$4:$AD$64,9,0))</f>
        <v>1148598.0500000003</v>
      </c>
      <c r="T47" s="184">
        <f>IF(ISERR(VLOOKUP((T$44),'SJ data'!$A$4:$AD$64,9,0)="TRUE"),0,VLOOKUP((T$44),'SJ data'!$A$4:$AD$64,9,0))</f>
        <v>372786.55</v>
      </c>
      <c r="U47" s="184">
        <f>IF(ISERR(VLOOKUP((U$44),'SJ data'!$A$4:$AD$64,9,0)="TRUE"),0,VLOOKUP((U$44),'SJ data'!$A$4:$AD$64,9,0))</f>
        <v>2283358.16</v>
      </c>
      <c r="V47" s="184">
        <f>IF(ISERR(VLOOKUP((V$44),'SJ data'!$A$4:$AD$64,9,0)="TRUE"),0,VLOOKUP((V$44),'SJ data'!$A$4:$AD$64,9,0))</f>
        <v>225848.06</v>
      </c>
      <c r="W47" s="184">
        <f>IF(ISERR(VLOOKUP((W$44),'SJ data'!$A$4:$AD$64,9,0)="TRUE"),0,VLOOKUP((W$44),'SJ data'!$A$4:$AD$64,9,0))</f>
        <v>0</v>
      </c>
      <c r="X47" s="184">
        <f>IF(ISERR(VLOOKUP((X$44),'SJ data'!$A$4:$AD$64,9,0)="TRUE"),0,VLOOKUP((X$44),'SJ data'!$A$4:$AD$64,9,0))</f>
        <v>257826.36</v>
      </c>
      <c r="Y47" s="184">
        <f>IF(ISERR(VLOOKUP((Y$44),'SJ data'!$A$4:$AD$64,9,0)="TRUE"),0,VLOOKUP((Y$44),'SJ data'!$A$4:$AD$64,9,0))</f>
        <v>1561992.5199999998</v>
      </c>
      <c r="Z47" s="184">
        <f>IF(ISERR(VLOOKUP((Z$44),'SJ data'!$A$4:$AD$64,9,0)="TRUE"),0,VLOOKUP((Z$44),'SJ data'!$A$4:$AD$64,9,0))</f>
        <v>0</v>
      </c>
      <c r="AA47" s="184">
        <f>IF(ISERR(VLOOKUP((AA$44),'SJ data'!$A$4:$AD$64,9,0)="TRUE"),0,VLOOKUP((AA$44),'SJ data'!$A$4:$AD$64,9,0))</f>
        <v>166095.84999999998</v>
      </c>
      <c r="AB47" s="184">
        <f>IF(ISERR(VLOOKUP((AB$44),'SJ data'!$A$4:$AD$64,9,0)="TRUE"),0,VLOOKUP((AB$44),'SJ data'!$A$4:$AD$64,9,0))</f>
        <v>2364282.8899999997</v>
      </c>
      <c r="AC47" s="184">
        <f>IF(ISERR(VLOOKUP((AC$44),'SJ data'!$A$4:$AD$64,9,0)="TRUE"),0,VLOOKUP((AC$44),'SJ data'!$A$4:$AD$64,9,0))</f>
        <v>663572.39999999991</v>
      </c>
      <c r="AD47" s="184">
        <f>IF(ISERR(VLOOKUP((AD$44),'SJ data'!$A$4:$AD$64,9,0)="TRUE"),0,VLOOKUP((AD$44),'SJ data'!$A$4:$AD$64,9,0))</f>
        <v>35956.869999999995</v>
      </c>
      <c r="AE47" s="184">
        <f>IF(ISERR(VLOOKUP((AE$44),'SJ data'!$A$4:$AD$64,9,0)="TRUE"),0,VLOOKUP((AE$44),'SJ data'!$A$4:$AD$64,9,0))</f>
        <v>873207.86</v>
      </c>
      <c r="AF47" s="184">
        <f>IF(ISERR(VLOOKUP((AF$44),'SJ data'!$A$4:$AD$64,9,0)="TRUE"),0,VLOOKUP((AF$44),'SJ data'!$A$4:$AD$64,9,0))</f>
        <v>0</v>
      </c>
      <c r="AG47" s="184">
        <f>IF(ISERR(VLOOKUP((AG$44),'SJ data'!$A$4:$AD$64,9,0)="TRUE"),0,VLOOKUP((AG$44),'SJ data'!$A$4:$AD$64,9,0))</f>
        <v>2010299.3899999997</v>
      </c>
      <c r="AH47" s="184">
        <f>IF(ISERR(VLOOKUP((AH$44),'SJ data'!$A$4:$AD$64,9,0)="TRUE"),0,VLOOKUP((AH$44),'SJ data'!$A$4:$AD$64,9,0))</f>
        <v>0</v>
      </c>
      <c r="AI47" s="184">
        <f>IF(ISERR(VLOOKUP((AI$44),'SJ data'!$A$4:$AD$64,9,0)="TRUE"),0,VLOOKUP((AI$44),'SJ data'!$A$4:$AD$64,9,0))</f>
        <v>3109381.26</v>
      </c>
      <c r="AJ47" s="184">
        <f>IF(ISERR(VLOOKUP((AJ$44),'SJ data'!$A$4:$AD$64,9,0)="TRUE"),0,VLOOKUP((AJ$44),'SJ data'!$A$4:$AD$64,9,0))</f>
        <v>16896915.050000001</v>
      </c>
      <c r="AK47" s="184">
        <f>IF(ISERR(VLOOKUP((AK$44),'SJ data'!$A$4:$AD$64,9,0)="TRUE"),0,VLOOKUP((AK$44),'SJ data'!$A$4:$AD$64,9,0))</f>
        <v>350358.42999999993</v>
      </c>
      <c r="AL47" s="184">
        <f>IF(ISERR(VLOOKUP((AL$44),'SJ data'!$A$4:$AD$64,9,0)="TRUE"),0,VLOOKUP((AL$44),'SJ data'!$A$4:$AD$64,9,0))</f>
        <v>110781.09999999998</v>
      </c>
      <c r="AM47" s="184">
        <f>IF(ISERR(VLOOKUP((AM$44),'SJ data'!$A$4:$AD$64,9,0)="TRUE"),0,VLOOKUP((AM$44),'SJ data'!$A$4:$AD$64,9,0))</f>
        <v>0</v>
      </c>
      <c r="AN47" s="184">
        <f>IF(ISERR(VLOOKUP((AN$44),'SJ data'!$A$4:$AD$64,9,0)="TRUE"),0,VLOOKUP((AN$44),'SJ data'!$A$4:$AD$64,9,0))</f>
        <v>0</v>
      </c>
      <c r="AO47" s="184">
        <f>IF(ISERR(VLOOKUP((AO$44),'SJ data'!$A$4:$AD$64,9,0)="TRUE"),0,VLOOKUP((AO$44),'SJ data'!$A$4:$AD$64,9,0))</f>
        <v>0</v>
      </c>
      <c r="AP47" s="184">
        <f>IF(ISERR(VLOOKUP((AP$44),'SJ data'!$A$4:$AD$64,9,0)="TRUE"),0,VLOOKUP((AP$44),'SJ data'!$A$4:$AD$64,9,0))</f>
        <v>52768.27</v>
      </c>
      <c r="AQ47" s="184">
        <f>IF(ISERR(VLOOKUP((AQ$44),'SJ data'!$A$4:$AD$64,9,0)="TRUE"),0,VLOOKUP((AQ$44),'SJ data'!$A$4:$AD$64,9,0))</f>
        <v>0</v>
      </c>
      <c r="AR47" s="184">
        <f>IF(ISERR(VLOOKUP((AR$44),'SJ data'!$A$4:$AD$64,9,0)="TRUE"),0,VLOOKUP((AR$44),'SJ data'!$A$4:$AD$64,9,0))</f>
        <v>8137459.4400000013</v>
      </c>
      <c r="AS47" s="184">
        <f>IF(ISERR(VLOOKUP((AS$44),'SJ data'!$A$4:$AD$64,9,0)="TRUE"),0,VLOOKUP((AS$44),'SJ data'!$A$4:$AD$64,9,0))</f>
        <v>0</v>
      </c>
      <c r="AT47" s="184">
        <f>IF(ISERR(VLOOKUP((AT$44),'SJ data'!$A$4:$AD$64,9,0)="TRUE"),0,VLOOKUP((AT$44),'SJ data'!$A$4:$AD$64,9,0))</f>
        <v>0</v>
      </c>
      <c r="AU47" s="184">
        <f>IF(ISERR(VLOOKUP((AU$44),'SJ data'!$A$4:$AD$64,9,0)="TRUE"),0,VLOOKUP((AU$44),'SJ data'!$A$4:$AD$64,9,0))</f>
        <v>0</v>
      </c>
      <c r="AV47" s="184">
        <f>IF(ISERR(VLOOKUP((AV$44),'SJ data'!$A$4:$AD$64,9,0)="TRUE"),0,VLOOKUP((AV$44),'SJ data'!$A$4:$AD$64,9,0))</f>
        <v>471128.52</v>
      </c>
      <c r="AW47" s="184">
        <f>IF(ISERR(VLOOKUP((AW$44),'SJ data'!$A$4:$AD$64,9,0)="TRUE"),0,VLOOKUP((AW$44),'SJ data'!$A$4:$AD$64,9,0))</f>
        <v>0</v>
      </c>
      <c r="AX47" s="184">
        <f>IF(ISERR(VLOOKUP((AX$44),'SJ data'!$A$4:$AD$64,9,0)="TRUE"),0,VLOOKUP((AX$44),'SJ data'!$A$4:$AD$64,9,0))</f>
        <v>0</v>
      </c>
      <c r="AY47" s="184">
        <f>IF(ISERR(VLOOKUP((AY$44),'SJ data'!$A$4:$AD$64,9,0)="TRUE"),0,VLOOKUP((AY$44),'SJ data'!$A$4:$AD$64,9,0))</f>
        <v>0</v>
      </c>
      <c r="AZ47" s="184">
        <f>IF(ISERR(VLOOKUP((AZ$44),'SJ data'!$A$4:$AD$64,9,0)="TRUE"),0,VLOOKUP((AZ$44),'SJ data'!$A$4:$AD$64,9,0))</f>
        <v>2083014.04</v>
      </c>
      <c r="BA47" s="184">
        <f>IF(ISERR(VLOOKUP((BA$44),'SJ data'!$A$4:$AD$64,9,0)="TRUE"),0,VLOOKUP((BA$44),'SJ data'!$A$4:$AD$64,9,0))</f>
        <v>103901.68000000001</v>
      </c>
      <c r="BB47" s="184">
        <f>IF(ISERR(VLOOKUP((BB$44),'SJ data'!$A$4:$AD$64,9,0)="TRUE"),0,VLOOKUP((BB$44),'SJ data'!$A$4:$AD$64,9,0))</f>
        <v>0</v>
      </c>
      <c r="BC47" s="184">
        <f>IF(ISERR(VLOOKUP((BC$44),'SJ data'!$A$4:$AD$64,9,0)="TRUE"),0,VLOOKUP((BC$44),'SJ data'!$A$4:$AD$64,9,0))</f>
        <v>204360.47999999998</v>
      </c>
      <c r="BD47" s="184">
        <f>IF(ISERR(VLOOKUP((BD$44),'SJ data'!$A$4:$AD$64,9,0)="TRUE"),0,VLOOKUP((BD$44),'SJ data'!$A$4:$AD$64,9,0))</f>
        <v>0</v>
      </c>
      <c r="BE47" s="184">
        <f>IF(ISERR(VLOOKUP((BE$44),'SJ data'!$A$4:$AD$64,9,0)="TRUE"),0,VLOOKUP((BE$44),'SJ data'!$A$4:$AD$64,9,0))</f>
        <v>411137.51</v>
      </c>
      <c r="BF47" s="184">
        <f>IF(ISERR(VLOOKUP((BF$44),'SJ data'!$A$4:$AD$64,9,0)="TRUE"),0,VLOOKUP((BF$44),'SJ data'!$A$4:$AD$64,9,0))</f>
        <v>1498020.54</v>
      </c>
      <c r="BG47" s="184">
        <f>IF(ISERR(VLOOKUP((BG$44),'SJ data'!$A$4:$AD$64,9,0)="TRUE"),0,VLOOKUP((BG$44),'SJ data'!$A$4:$AD$64,9,0))</f>
        <v>0</v>
      </c>
      <c r="BH47" s="184">
        <f>IF(ISERR(VLOOKUP((BH$44),'SJ data'!$A$4:$AD$64,9,0)="TRUE"),0,VLOOKUP((BH$44),'SJ data'!$A$4:$AD$64,9,0))</f>
        <v>0</v>
      </c>
      <c r="BI47" s="184">
        <f>IF(ISERR(VLOOKUP((BI$44),'SJ data'!$A$4:$AD$64,9,0)="TRUE"),0,VLOOKUP((BI$44),'SJ data'!$A$4:$AD$64,9,0))</f>
        <v>17547.150000000001</v>
      </c>
      <c r="BJ47" s="184">
        <f>IF(ISERR(VLOOKUP((BJ$44),'SJ data'!$A$4:$AD$64,9,0)="TRUE"),0,VLOOKUP((BJ$44),'SJ data'!$A$4:$AD$64,9,0))</f>
        <v>0</v>
      </c>
      <c r="BK47" s="184">
        <f>IF(ISERR(VLOOKUP((BK$44),'SJ data'!$A$4:$AD$64,9,0)="TRUE"),0,VLOOKUP((BK$44),'SJ data'!$A$4:$AD$64,9,0))</f>
        <v>0</v>
      </c>
      <c r="BL47" s="184">
        <f>IF(ISERR(VLOOKUP((BL$44),'SJ data'!$A$4:$AD$64,9,0)="TRUE"),0,VLOOKUP((BL$44),'SJ data'!$A$4:$AD$64,9,0))</f>
        <v>0</v>
      </c>
      <c r="BM47" s="184">
        <f>IF(ISERR(VLOOKUP((BM$44),'SJ data'!$A$4:$AD$64,9,0)="TRUE"),0,VLOOKUP((BM$44),'SJ data'!$A$4:$AD$64,9,0))</f>
        <v>0</v>
      </c>
      <c r="BN47" s="184">
        <f>IF(ISERR(VLOOKUP((BN$44),'SJ data'!$A$4:$AD$64,9,0)="TRUE"),0,VLOOKUP((BN$44),'SJ data'!$A$4:$AD$64,9,0))</f>
        <v>1640668.02</v>
      </c>
      <c r="BO47" s="184">
        <f>IF(ISERR(VLOOKUP((BO$44),'SJ data'!$A$4:$AD$64,9,0)="TRUE"),0,VLOOKUP((BO$44),'SJ data'!$A$4:$AD$64,9,0))</f>
        <v>0</v>
      </c>
      <c r="BP47" s="184">
        <f>IF(ISERR(VLOOKUP((BP$44),'SJ data'!$A$4:$AD$64,9,0)="TRUE"),0,VLOOKUP((BP$44),'SJ data'!$A$4:$AD$64,9,0))</f>
        <v>0</v>
      </c>
      <c r="BQ47" s="184">
        <f>IF(ISERR(VLOOKUP((BQ$44),'SJ data'!$A$4:$AD$64,9,0)="TRUE"),0,VLOOKUP((BQ$44),'SJ data'!$A$4:$AD$64,9,0))</f>
        <v>0</v>
      </c>
      <c r="BR47" s="184">
        <f>IF(ISERR(VLOOKUP((BR$44),'SJ data'!$A$4:$AD$64,9,0)="TRUE"),0,VLOOKUP((BR$44),'SJ data'!$A$4:$AD$64,9,0))</f>
        <v>2458.3700000059684</v>
      </c>
      <c r="BS47" s="184">
        <f>IF(ISERR(VLOOKUP((BS$44),'SJ data'!$A$4:$AD$64,9,0)="TRUE"),0,VLOOKUP((BS$44),'SJ data'!$A$4:$AD$64,9,0))</f>
        <v>0</v>
      </c>
      <c r="BT47" s="184">
        <f>IF(ISERR(VLOOKUP((BT$44),'SJ data'!$A$4:$AD$64,9,0)="TRUE"),0,VLOOKUP((BT$44),'SJ data'!$A$4:$AD$64,9,0))</f>
        <v>75612.740000000005</v>
      </c>
      <c r="BU47" s="184">
        <f>IF(ISERR(VLOOKUP((BU$44),'SJ data'!$A$4:$AD$64,9,0)="TRUE"),0,VLOOKUP((BU$44),'SJ data'!$A$4:$AD$64,9,0))</f>
        <v>0</v>
      </c>
      <c r="BV47" s="184">
        <f>IF(ISERR(VLOOKUP((BV$44),'SJ data'!$A$4:$AD$64,9,0)="TRUE"),0,VLOOKUP((BV$44),'SJ data'!$A$4:$AD$64,9,0))</f>
        <v>0</v>
      </c>
      <c r="BW47" s="184">
        <f>IF(ISERR(VLOOKUP((BW$44),'SJ data'!$A$4:$AD$64,9,0)="TRUE"),0,VLOOKUP((BW$44),'SJ data'!$A$4:$AD$64,9,0))</f>
        <v>0</v>
      </c>
      <c r="BX47" s="184">
        <f>IF(ISERR(VLOOKUP((BX$44),'SJ data'!$A$4:$AD$64,9,0)="TRUE"),0,VLOOKUP((BX$44),'SJ data'!$A$4:$AD$64,9,0))</f>
        <v>0</v>
      </c>
      <c r="BY47" s="184">
        <f>IF(ISERR(VLOOKUP((BY$44),'SJ data'!$A$4:$AD$64,9,0)="TRUE"),0,VLOOKUP((BY$44),'SJ data'!$A$4:$AD$64,9,0))</f>
        <v>1114728.1000000001</v>
      </c>
      <c r="BZ47" s="184">
        <f>IF(ISERR(VLOOKUP((BZ$44),'SJ data'!$A$4:$AD$64,9,0)="TRUE"),0,VLOOKUP((BZ$44),'SJ data'!$A$4:$AD$64,9,0))</f>
        <v>0</v>
      </c>
      <c r="CA47" s="184">
        <f>IF(ISERR(VLOOKUP((CA$44),'SJ data'!$A$4:$AD$64,9,0)="TRUE"),0,VLOOKUP((CA$44),'SJ data'!$A$4:$AD$64,9,0))</f>
        <v>160198.82</v>
      </c>
      <c r="CB47" s="184">
        <f>IF(ISERR(VLOOKUP((CB$44),'SJ data'!$A$4:$AD$64,9,0)="TRUE"),0,VLOOKUP((CB$44),'SJ data'!$A$4:$AD$64,9,0))</f>
        <v>22849.369999999995</v>
      </c>
      <c r="CC47" s="184">
        <f>IF(ISERR(VLOOKUP((CC$44),'SJ data'!$A$4:$AD$64,9,0)="TRUE"),0,VLOOKUP((CC$44),'SJ data'!$A$4:$AD$64,9,0))+'SJ data'!I57</f>
        <v>150931.45000000001</v>
      </c>
      <c r="CD47" s="195"/>
      <c r="CE47" s="195">
        <f>SUM(C47:CC47)</f>
        <v>72957136.220000029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72957136.220000014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'SJ data'!O64-12494394.88</f>
        <v>21368435.399999999</v>
      </c>
      <c r="C51" s="184">
        <f>IF(ISERR(VLOOKUP((C$44),'SJ data'!$A$4:$AD$58,15,0)="TRUE"),0,VLOOKUP((C$44),'SJ data'!$A$4:$AD$58,15,0))</f>
        <v>999665.71999999986</v>
      </c>
      <c r="D51" s="184">
        <f>IF(ISERR(VLOOKUP((D$44),'SJ data'!$A$4:$AD$58,15,0)="TRUE"),0,VLOOKUP((D$44),'SJ data'!$A$4:$AD$58,15,0))</f>
        <v>0</v>
      </c>
      <c r="E51" s="184">
        <f>IF(ISERR(VLOOKUP((E$44),'SJ data'!$A$4:$AD$58,15,0)="TRUE"),0,VLOOKUP((E$44),'SJ data'!$A$4:$AD$58,15,0))</f>
        <v>1359911.7000000002</v>
      </c>
      <c r="F51" s="184">
        <f>IF(ISERR(VLOOKUP((F$44),'SJ data'!$A$4:$AD$58,15,0)="TRUE"),0,VLOOKUP((F$44),'SJ data'!$A$4:$AD$58,15,0))</f>
        <v>0</v>
      </c>
      <c r="G51" s="184">
        <f>IF(ISERR(VLOOKUP((G$44),'SJ data'!$A$4:$AD$58,15,0)="TRUE"),0,VLOOKUP((G$44),'SJ data'!$A$4:$AD$58,15,0))</f>
        <v>0</v>
      </c>
      <c r="H51" s="184">
        <f>IF(ISERR(VLOOKUP((H$44),'SJ data'!$A$4:$AD$58,15,0)="TRUE"),0,VLOOKUP((H$44),'SJ data'!$A$4:$AD$58,15,0))</f>
        <v>155966.25</v>
      </c>
      <c r="I51" s="184">
        <f>IF(ISERR(VLOOKUP((I$44),'SJ data'!$A$4:$AD$58,15,0)="TRUE"),0,VLOOKUP((I$44),'SJ data'!$A$4:$AD$58,15,0))</f>
        <v>0</v>
      </c>
      <c r="J51" s="184">
        <f>IF(ISERR(VLOOKUP((J$44),'SJ data'!$A$4:$AD$58,15,0)="TRUE"),0,VLOOKUP((J$44),'SJ data'!$A$4:$AD$58,15,0))</f>
        <v>172689.15999999997</v>
      </c>
      <c r="K51" s="184">
        <f>IF(ISERR(VLOOKUP((K$44),'SJ data'!$A$4:$AD$58,15,0)="TRUE"),0,VLOOKUP((K$44),'SJ data'!$A$4:$AD$58,15,0))</f>
        <v>0</v>
      </c>
      <c r="L51" s="184">
        <f>IF(ISERR(VLOOKUP((L$44),'SJ data'!$A$4:$AD$58,15,0)="TRUE"),0,VLOOKUP((L$44),'SJ data'!$A$4:$AD$58,15,0))</f>
        <v>0</v>
      </c>
      <c r="M51" s="184">
        <f>IF(ISERR(VLOOKUP((M$44),'SJ data'!$A$4:$AD$58,15,0)="TRUE"),0,VLOOKUP((M$44),'SJ data'!$A$4:$AD$58,15,0))</f>
        <v>0</v>
      </c>
      <c r="N51" s="184">
        <f>IF(ISERR(VLOOKUP((N$44),'SJ data'!$A$4:$AD$58,15,0)="TRUE"),0,VLOOKUP((N$44),'SJ data'!$A$4:$AD$58,15,0))</f>
        <v>0</v>
      </c>
      <c r="O51" s="184">
        <f>IF(ISERR(VLOOKUP((O$44),'SJ data'!$A$4:$AD$58,15,0)="TRUE"),0,VLOOKUP((O$44),'SJ data'!$A$4:$AD$58,15,0))</f>
        <v>489897.88000000006</v>
      </c>
      <c r="P51" s="184">
        <f>IF(ISERR(VLOOKUP((P$44),'SJ data'!$A$4:$AD$58,15,0)="TRUE"),0,VLOOKUP((P$44),'SJ data'!$A$4:$AD$58,15,0))</f>
        <v>8662401.3500000015</v>
      </c>
      <c r="Q51" s="184">
        <f>IF(ISERR(VLOOKUP((Q$44),'SJ data'!$A$4:$AD$58,15,0)="TRUE"),0,VLOOKUP((Q$44),'SJ data'!$A$4:$AD$58,15,0))</f>
        <v>17866.759999999998</v>
      </c>
      <c r="R51" s="184">
        <f>IF(ISERR(VLOOKUP((R$44),'SJ data'!$A$4:$AD$58,15,0)="TRUE"),0,VLOOKUP((R$44),'SJ data'!$A$4:$AD$58,15,0))</f>
        <v>0</v>
      </c>
      <c r="S51" s="184">
        <f>IF(ISERR(VLOOKUP((S$44),'SJ data'!$A$4:$AD$58,15,0)="TRUE"),0,VLOOKUP((S$44),'SJ data'!$A$4:$AD$58,15,0))</f>
        <v>76650.45</v>
      </c>
      <c r="T51" s="184">
        <f>IF(ISERR(VLOOKUP((T$44),'SJ data'!$A$4:$AD$58,15,0)="TRUE"),0,VLOOKUP((T$44),'SJ data'!$A$4:$AD$58,15,0))</f>
        <v>28955.43</v>
      </c>
      <c r="U51" s="184">
        <f>IF(ISERR(VLOOKUP((U$44),'SJ data'!$A$4:$AD$58,15,0)="TRUE"),0,VLOOKUP((U$44),'SJ data'!$A$4:$AD$58,15,0))</f>
        <v>506103.95000000013</v>
      </c>
      <c r="V51" s="184">
        <f>IF(ISERR(VLOOKUP((V$44),'SJ data'!$A$4:$AD$58,15,0)="TRUE"),0,VLOOKUP((V$44),'SJ data'!$A$4:$AD$58,15,0))</f>
        <v>350623.56000000006</v>
      </c>
      <c r="W51" s="184">
        <f>IF(ISERR(VLOOKUP((W$44),'SJ data'!$A$4:$AD$58,15,0)="TRUE"),0,VLOOKUP((W$44),'SJ data'!$A$4:$AD$58,15,0))</f>
        <v>0</v>
      </c>
      <c r="X51" s="184">
        <f>IF(ISERR(VLOOKUP((X$44),'SJ data'!$A$4:$AD$58,15,0)="TRUE"),0,VLOOKUP((X$44),'SJ data'!$A$4:$AD$58,15,0))</f>
        <v>14032.36</v>
      </c>
      <c r="Y51" s="184">
        <f>IF(ISERR(VLOOKUP((Y$44),'SJ data'!$A$4:$AD$58,15,0)="TRUE"),0,VLOOKUP((Y$44),'SJ data'!$A$4:$AD$58,15,0))</f>
        <v>471193.47</v>
      </c>
      <c r="Z51" s="184">
        <f>IF(ISERR(VLOOKUP((Z$44),'SJ data'!$A$4:$AD$58,15,0)="TRUE"),0,VLOOKUP((Z$44),'SJ data'!$A$4:$AD$58,15,0))</f>
        <v>0</v>
      </c>
      <c r="AA51" s="184">
        <f>IF(ISERR(VLOOKUP((AA$44),'SJ data'!$A$4:$AD$58,15,0)="TRUE"),0,VLOOKUP((AA$44),'SJ data'!$A$4:$AD$58,15,0))</f>
        <v>5425.81</v>
      </c>
      <c r="AB51" s="184">
        <f>IF(ISERR(VLOOKUP((AB$44),'SJ data'!$A$4:$AD$58,15,0)="TRUE"),0,VLOOKUP((AB$44),'SJ data'!$A$4:$AD$58,15,0))</f>
        <v>536995.03</v>
      </c>
      <c r="AC51" s="184">
        <f>IF(ISERR(VLOOKUP((AC$44),'SJ data'!$A$4:$AD$58,15,0)="TRUE"),0,VLOOKUP((AC$44),'SJ data'!$A$4:$AD$58,15,0))</f>
        <v>199070.89</v>
      </c>
      <c r="AD51" s="184">
        <f>IF(ISERR(VLOOKUP((AD$44),'SJ data'!$A$4:$AD$58,15,0)="TRUE"),0,VLOOKUP((AD$44),'SJ data'!$A$4:$AD$58,15,0))</f>
        <v>19986.709999999901</v>
      </c>
      <c r="AE51" s="184">
        <f>IF(ISERR(VLOOKUP((AE$44),'SJ data'!$A$4:$AD$58,15,0)="TRUE"),0,VLOOKUP((AE$44),'SJ data'!$A$4:$AD$58,15,0))</f>
        <v>18349.810000000005</v>
      </c>
      <c r="AF51" s="184">
        <f>IF(ISERR(VLOOKUP((AF$44),'SJ data'!$A$4:$AD$58,15,0)="TRUE"),0,VLOOKUP((AF$44),'SJ data'!$A$4:$AD$58,15,0))</f>
        <v>0</v>
      </c>
      <c r="AG51" s="184">
        <f>IF(ISERR(VLOOKUP((AG$44),'SJ data'!$A$4:$AD$58,15,0)="TRUE"),0,VLOOKUP((AG$44),'SJ data'!$A$4:$AD$58,15,0))</f>
        <v>750172.42</v>
      </c>
      <c r="AH51" s="184">
        <f>IF(ISERR(VLOOKUP((AH$44),'SJ data'!$A$4:$AD$58,15,0)="TRUE"),0,VLOOKUP((AH$44),'SJ data'!$A$4:$AD$58,15,0))</f>
        <v>0</v>
      </c>
      <c r="AI51" s="184">
        <f>IF(ISERR(VLOOKUP((AI$44),'SJ data'!$A$4:$AD$58,15,0)="TRUE"),0,VLOOKUP((AI$44),'SJ data'!$A$4:$AD$58,15,0))</f>
        <v>31703.77</v>
      </c>
      <c r="AJ51" s="184">
        <f>IF(ISERR(VLOOKUP((AJ$44),'SJ data'!$A$4:$AD$58,15,0)="TRUE"),0,VLOOKUP((AJ$44),'SJ data'!$A$4:$AD$58,15,0))</f>
        <v>4207014.330000001</v>
      </c>
      <c r="AK51" s="184">
        <f>IF(ISERR(VLOOKUP((AK$44),'SJ data'!$A$4:$AD$58,15,0)="TRUE"),0,VLOOKUP((AK$44),'SJ data'!$A$4:$AD$58,15,0))</f>
        <v>4633.55</v>
      </c>
      <c r="AL51" s="184">
        <f>IF(ISERR(VLOOKUP((AL$44),'SJ data'!$A$4:$AD$58,15,0)="TRUE"),0,VLOOKUP((AL$44),'SJ data'!$A$4:$AD$58,15,0))</f>
        <v>0</v>
      </c>
      <c r="AM51" s="184">
        <f>IF(ISERR(VLOOKUP((AM$44),'SJ data'!$A$4:$AD$58,15,0)="TRUE"),0,VLOOKUP((AM$44),'SJ data'!$A$4:$AD$58,15,0))</f>
        <v>0</v>
      </c>
      <c r="AN51" s="184">
        <f>IF(ISERR(VLOOKUP((AN$44),'SJ data'!$A$4:$AD$58,15,0)="TRUE"),0,VLOOKUP((AN$44),'SJ data'!$A$4:$AD$58,15,0))</f>
        <v>0</v>
      </c>
      <c r="AO51" s="184">
        <f>IF(ISERR(VLOOKUP((AO$44),'SJ data'!$A$4:$AD$58,15,0)="TRUE"),0,VLOOKUP((AO$44),'SJ data'!$A$4:$AD$58,15,0))</f>
        <v>0</v>
      </c>
      <c r="AP51" s="184">
        <f>IF(ISERR(VLOOKUP((AP$44),'SJ data'!$A$4:$AD$58,15,0)="TRUE"),0,VLOOKUP((AP$44),'SJ data'!$A$4:$AD$58,15,0))</f>
        <v>195.72</v>
      </c>
      <c r="AQ51" s="184">
        <f>IF(ISERR(VLOOKUP((AQ$44),'SJ data'!$A$4:$AD$58,15,0)="TRUE"),0,VLOOKUP((AQ$44),'SJ data'!$A$4:$AD$58,15,0))</f>
        <v>0</v>
      </c>
      <c r="AR51" s="184">
        <f>IF(ISERR(VLOOKUP((AR$44),'SJ data'!$A$4:$AD$58,15,0)="TRUE"),0,VLOOKUP((AR$44),'SJ data'!$A$4:$AD$58,15,0))</f>
        <v>244907.91000000003</v>
      </c>
      <c r="AS51" s="184">
        <f>IF(ISERR(VLOOKUP((AS$44),'SJ data'!$A$4:$AD$58,15,0)="TRUE"),0,VLOOKUP((AS$44),'SJ data'!$A$4:$AD$58,15,0))</f>
        <v>0</v>
      </c>
      <c r="AT51" s="184">
        <f>IF(ISERR(VLOOKUP((AT$44),'SJ data'!$A$4:$AD$58,15,0)="TRUE"),0,VLOOKUP((AT$44),'SJ data'!$A$4:$AD$58,15,0))</f>
        <v>0</v>
      </c>
      <c r="AU51" s="184">
        <f>IF(ISERR(VLOOKUP((AU$44),'SJ data'!$A$4:$AD$58,15,0)="TRUE"),0,VLOOKUP((AU$44),'SJ data'!$A$4:$AD$58,15,0))</f>
        <v>0</v>
      </c>
      <c r="AV51" s="184">
        <f>IF(ISERR(VLOOKUP((AV$44),'SJ data'!$A$4:$AD$58,15,0)="TRUE"),0,VLOOKUP((AV$44),'SJ data'!$A$4:$AD$58,15,0))</f>
        <v>32484.900000000005</v>
      </c>
      <c r="AW51" s="184">
        <f>IF(ISERR(VLOOKUP((AW$44),'SJ data'!$A$4:$AD$58,15,0)="TRUE"),0,VLOOKUP((AW$44),'SJ data'!$A$4:$AD$58,15,0))</f>
        <v>0</v>
      </c>
      <c r="AX51" s="184">
        <f>IF(ISERR(VLOOKUP((AX$44),'SJ data'!$A$4:$AD$58,15,0)="TRUE"),0,VLOOKUP((AX$44),'SJ data'!$A$4:$AD$58,15,0))</f>
        <v>0</v>
      </c>
      <c r="AY51" s="184">
        <f>IF(ISERR(VLOOKUP((AY$44),'SJ data'!$A$4:$AD$58,15,0)="TRUE"),0,VLOOKUP((AY$44),'SJ data'!$A$4:$AD$58,15,0))</f>
        <v>0</v>
      </c>
      <c r="AZ51" s="184">
        <f>IF(ISERR(VLOOKUP((AZ$44),'SJ data'!$A$4:$AD$58,15,0)="TRUE"),0,VLOOKUP((AZ$44),'SJ data'!$A$4:$AD$58,15,0))</f>
        <v>295289.90000000002</v>
      </c>
      <c r="BA51" s="184">
        <f>IF(ISERR(VLOOKUP((BA$44),'SJ data'!$A$4:$AD$58,15,0)="TRUE"),0,VLOOKUP((BA$44),'SJ data'!$A$4:$AD$58,15,0))</f>
        <v>0</v>
      </c>
      <c r="BB51" s="184">
        <f>IF(ISERR(VLOOKUP((BB$44),'SJ data'!$A$4:$AD$58,15,0)="TRUE"),0,VLOOKUP((BB$44),'SJ data'!$A$4:$AD$58,15,0))</f>
        <v>0</v>
      </c>
      <c r="BC51" s="184">
        <f>IF(ISERR(VLOOKUP((BC$44),'SJ data'!$A$4:$AD$58,15,0)="TRUE"),0,VLOOKUP((BC$44),'SJ data'!$A$4:$AD$58,15,0))</f>
        <v>0</v>
      </c>
      <c r="BD51" s="184">
        <f>IF(ISERR(VLOOKUP((BD$44),'SJ data'!$A$4:$AD$58,15,0)="TRUE"),0,VLOOKUP((BD$44),'SJ data'!$A$4:$AD$58,15,0))</f>
        <v>0</v>
      </c>
      <c r="BE51" s="184">
        <f>IF(ISERR(VLOOKUP((BE$44),'SJ data'!$A$4:$AD$58,15,0)="TRUE"),0,VLOOKUP((BE$44),'SJ data'!$A$4:$AD$58,15,0))</f>
        <v>1559932.8099999998</v>
      </c>
      <c r="BF51" s="184">
        <f>IF(ISERR(VLOOKUP((BF$44),'SJ data'!$A$4:$AD$58,15,0)="TRUE"),0,VLOOKUP((BF$44),'SJ data'!$A$4:$AD$58,15,0))</f>
        <v>35011.160000000003</v>
      </c>
      <c r="BG51" s="184">
        <f>IF(ISERR(VLOOKUP((BG$44),'SJ data'!$A$4:$AD$58,15,0)="TRUE"),0,VLOOKUP((BG$44),'SJ data'!$A$4:$AD$58,15,0))</f>
        <v>0</v>
      </c>
      <c r="BH51" s="184">
        <f>IF(ISERR(VLOOKUP((BH$44),'SJ data'!$A$4:$AD$58,15,0)="TRUE"),0,VLOOKUP((BH$44),'SJ data'!$A$4:$AD$58,15,0))</f>
        <v>0</v>
      </c>
      <c r="BI51" s="184">
        <f>IF(ISERR(VLOOKUP((BI$44),'SJ data'!$A$4:$AD$58,15,0)="TRUE"),0,VLOOKUP((BI$44),'SJ data'!$A$4:$AD$58,15,0))</f>
        <v>71.64</v>
      </c>
      <c r="BJ51" s="184">
        <f>IF(ISERR(VLOOKUP((BJ$44),'SJ data'!$A$4:$AD$58,15,0)="TRUE"),0,VLOOKUP((BJ$44),'SJ data'!$A$4:$AD$58,15,0))</f>
        <v>0</v>
      </c>
      <c r="BK51" s="184">
        <f>IF(ISERR(VLOOKUP((BK$44),'SJ data'!$A$4:$AD$58,15,0)="TRUE"),0,VLOOKUP((BK$44),'SJ data'!$A$4:$AD$58,15,0))</f>
        <v>0</v>
      </c>
      <c r="BL51" s="184">
        <f>IF(ISERR(VLOOKUP((BL$44),'SJ data'!$A$4:$AD$58,15,0)="TRUE"),0,VLOOKUP((BL$44),'SJ data'!$A$4:$AD$58,15,0))</f>
        <v>241.48</v>
      </c>
      <c r="BM51" s="184">
        <f>IF(ISERR(VLOOKUP((BM$44),'SJ data'!$A$4:$AD$58,15,0)="TRUE"),0,VLOOKUP((BM$44),'SJ data'!$A$4:$AD$58,15,0))</f>
        <v>0</v>
      </c>
      <c r="BN51" s="184">
        <f>IF(ISERR(VLOOKUP((BN$44),'SJ data'!$A$4:$AD$58,15,0)="TRUE"),0,VLOOKUP((BN$44),'SJ data'!$A$4:$AD$58,15,0))</f>
        <v>117466.43</v>
      </c>
      <c r="BO51" s="184">
        <f>IF(ISERR(VLOOKUP((BO$44),'SJ data'!$A$4:$AD$58,15,0)="TRUE"),0,VLOOKUP((BO$44),'SJ data'!$A$4:$AD$58,15,0))</f>
        <v>0</v>
      </c>
      <c r="BP51" s="184">
        <f>IF(ISERR(VLOOKUP((BP$44),'SJ data'!$A$4:$AD$58,15,0)="TRUE"),0,VLOOKUP((BP$44),'SJ data'!$A$4:$AD$58,15,0))</f>
        <v>0</v>
      </c>
      <c r="BQ51" s="184">
        <f>IF(ISERR(VLOOKUP((BQ$44),'SJ data'!$A$4:$AD$58,15,0)="TRUE"),0,VLOOKUP((BQ$44),'SJ data'!$A$4:$AD$58,15,0))</f>
        <v>0</v>
      </c>
      <c r="BR51" s="184">
        <f>IF(ISERR(VLOOKUP((BR$44),'SJ data'!$A$4:$AD$58,15,0)="TRUE"),0,VLOOKUP((BR$44),'SJ data'!$A$4:$AD$58,15,0))</f>
        <v>0</v>
      </c>
      <c r="BS51" s="184">
        <f>IF(ISERR(VLOOKUP((BS$44),'SJ data'!$A$4:$AD$58,15,0)="TRUE"),0,VLOOKUP((BS$44),'SJ data'!$A$4:$AD$58,15,0))</f>
        <v>0</v>
      </c>
      <c r="BT51" s="184">
        <f>IF(ISERR(VLOOKUP((BT$44),'SJ data'!$A$4:$AD$58,15,0)="TRUE"),0,VLOOKUP((BT$44),'SJ data'!$A$4:$AD$58,15,0))</f>
        <v>0</v>
      </c>
      <c r="BU51" s="184">
        <f>IF(ISERR(VLOOKUP((BU$44),'SJ data'!$A$4:$AD$58,15,0)="TRUE"),0,VLOOKUP((BU$44),'SJ data'!$A$4:$AD$58,15,0))</f>
        <v>0</v>
      </c>
      <c r="BV51" s="184">
        <f>IF(ISERR(VLOOKUP((BV$44),'SJ data'!$A$4:$AD$58,15,0)="TRUE"),0,VLOOKUP((BV$44),'SJ data'!$A$4:$AD$58,15,0))</f>
        <v>0</v>
      </c>
      <c r="BW51" s="184">
        <f>IF(ISERR(VLOOKUP((BW$44),'SJ data'!$A$4:$AD$58,15,0)="TRUE"),0,VLOOKUP((BW$44),'SJ data'!$A$4:$AD$58,15,0))</f>
        <v>0</v>
      </c>
      <c r="BX51" s="184">
        <f>IF(ISERR(VLOOKUP((BX$44),'SJ data'!$A$4:$AD$58,15,0)="TRUE"),0,VLOOKUP((BX$44),'SJ data'!$A$4:$AD$58,15,0))</f>
        <v>0</v>
      </c>
      <c r="BY51" s="184">
        <f>IF(ISERR(VLOOKUP((BY$44),'SJ data'!$A$4:$AD$58,15,0)="TRUE"),0,VLOOKUP((BY$44),'SJ data'!$A$4:$AD$58,15,0))</f>
        <v>3523.09</v>
      </c>
      <c r="BZ51" s="184">
        <f>IF(ISERR(VLOOKUP((BZ$44),'SJ data'!$A$4:$AD$58,15,0)="TRUE"),0,VLOOKUP((BZ$44),'SJ data'!$A$4:$AD$58,15,0))</f>
        <v>0</v>
      </c>
      <c r="CA51" s="184">
        <f>IF(ISERR(VLOOKUP((CA$44),'SJ data'!$A$4:$AD$58,15,0)="TRUE"),0,VLOOKUP((CA$44),'SJ data'!$A$4:$AD$58,15,0))</f>
        <v>0</v>
      </c>
      <c r="CB51" s="184">
        <f>IF(ISERR(VLOOKUP((CB$44),'SJ data'!$A$4:$AD$58,15,0)="TRUE"),0,VLOOKUP((CB$44),'SJ data'!$A$4:$AD$58,15,0))</f>
        <v>0</v>
      </c>
      <c r="CC51" s="184">
        <f>IF(ISERR(VLOOKUP((CC$44),'SJ data'!$A$4:$AD$58,15,0)="TRUE"),0,VLOOKUP((CC$44),'SJ data'!$A$4:$AD$58,15,0))+2</f>
        <v>2</v>
      </c>
      <c r="CD51" s="195"/>
      <c r="CE51" s="195">
        <f>SUM(C51:CD51)</f>
        <v>21368437.399999999</v>
      </c>
    </row>
    <row r="52" spans="1:84" ht="12.6" customHeight="1" x14ac:dyDescent="0.25">
      <c r="A52" s="171" t="s">
        <v>208</v>
      </c>
      <c r="B52" s="195">
        <v>12494394.879999999</v>
      </c>
      <c r="C52" s="195">
        <f>ROUND((B52/(CE76+CF76)*C76),0)</f>
        <v>306089</v>
      </c>
      <c r="D52" s="195">
        <f>ROUND((B52/(CE76+CF76)*D76),0)</f>
        <v>0</v>
      </c>
      <c r="E52" s="195">
        <f>ROUND((B52/(CE76+CF76)*E76),0)</f>
        <v>1542739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29408</v>
      </c>
      <c r="I52" s="195">
        <f>ROUND((B52/(CE76+CF76)*I76),0)</f>
        <v>0</v>
      </c>
      <c r="J52" s="195">
        <f>ROUND((B52/(CE76+CF76)*J76),0)</f>
        <v>37065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258940</v>
      </c>
      <c r="P52" s="195">
        <f>ROUND((B52/(CE76+CF76)*P76),0)</f>
        <v>1316298</v>
      </c>
      <c r="Q52" s="195">
        <f>ROUND((B52/(CE76+CF76)*Q76),0)</f>
        <v>34817</v>
      </c>
      <c r="R52" s="195">
        <f>ROUND((B52/(CE76+CF76)*R76),0)</f>
        <v>0</v>
      </c>
      <c r="S52" s="195">
        <f>ROUND((B52/(CE76+CF76)*S76),0)</f>
        <v>256326</v>
      </c>
      <c r="T52" s="195">
        <f>ROUND((B52/(CE76+CF76)*T76),0)</f>
        <v>0</v>
      </c>
      <c r="U52" s="195">
        <f>ROUND((B52/(CE76+CF76)*U76),0)</f>
        <v>244803</v>
      </c>
      <c r="V52" s="195">
        <f>ROUND((B52/(CE76+CF76)*V76),0)</f>
        <v>48646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677578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244495</v>
      </c>
      <c r="AC52" s="195">
        <f>ROUND((B52/(CE76+CF76)*AC76),0)</f>
        <v>14417</v>
      </c>
      <c r="AD52" s="195">
        <f>ROUND((B52/(CE76+CF76)*AD76),0)</f>
        <v>242599</v>
      </c>
      <c r="AE52" s="195">
        <f>ROUND((B52/(CE76+CF76)*AE76),0)</f>
        <v>167190</v>
      </c>
      <c r="AF52" s="195">
        <f>ROUND((B52/(CE76+CF76)*AF76),0)</f>
        <v>0</v>
      </c>
      <c r="AG52" s="195">
        <f>ROUND((B52/(CE76+CF76)*AG76),0)</f>
        <v>296609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323372</v>
      </c>
      <c r="AK52" s="195">
        <f>ROUND((B52/(CE76+CF76)*AK76),0)</f>
        <v>85461</v>
      </c>
      <c r="AL52" s="195">
        <f>ROUND((B52/(CE76+CF76)*AL76),0)</f>
        <v>61300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26410</v>
      </c>
      <c r="AQ52" s="195">
        <f>ROUND((B52/(CE76+CF76)*AQ76),0)</f>
        <v>0</v>
      </c>
      <c r="AR52" s="195">
        <f>ROUND((B52/(CE76+CF76)*AR76),0)</f>
        <v>655533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20487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279802</v>
      </c>
      <c r="BA52" s="195">
        <f>ROUND((B52/(CE76+CF76)*BA76),0)</f>
        <v>62373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2564476</v>
      </c>
      <c r="BF52" s="195">
        <f>ROUND((B52/(CE76+CF76)*BF76),0)</f>
        <v>30363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19591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2493873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138958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14373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12494391</v>
      </c>
    </row>
    <row r="53" spans="1:84" ht="12.6" customHeight="1" x14ac:dyDescent="0.25">
      <c r="A53" s="175" t="s">
        <v>206</v>
      </c>
      <c r="B53" s="195">
        <f>B51+B52</f>
        <v>33862830.280000001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9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326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326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326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326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f>18261+6981</f>
        <v>25242</v>
      </c>
      <c r="D59" s="184">
        <v>0</v>
      </c>
      <c r="E59" s="184">
        <v>75484</v>
      </c>
      <c r="F59" s="184"/>
      <c r="G59" s="184"/>
      <c r="H59" s="184">
        <v>6214.29</v>
      </c>
      <c r="I59" s="184"/>
      <c r="J59" s="184">
        <v>10866</v>
      </c>
      <c r="K59" s="184"/>
      <c r="L59" s="184"/>
      <c r="M59" s="184"/>
      <c r="N59" s="184"/>
      <c r="O59" s="184">
        <v>19875</v>
      </c>
      <c r="P59" s="185">
        <v>1757258</v>
      </c>
      <c r="Q59" s="185">
        <v>1201215</v>
      </c>
      <c r="R59" s="185"/>
      <c r="S59" s="248"/>
      <c r="T59" s="248"/>
      <c r="U59" s="224">
        <v>1372424</v>
      </c>
      <c r="V59" s="185"/>
      <c r="W59" s="185">
        <v>7418</v>
      </c>
      <c r="X59" s="185">
        <v>30284</v>
      </c>
      <c r="Y59" s="185">
        <v>200111</v>
      </c>
      <c r="Z59" s="185"/>
      <c r="AA59" s="185">
        <v>6052</v>
      </c>
      <c r="AB59" s="248"/>
      <c r="AC59" s="185">
        <v>63420</v>
      </c>
      <c r="AD59" s="185"/>
      <c r="AE59" s="185">
        <v>143127</v>
      </c>
      <c r="AF59" s="185"/>
      <c r="AG59" s="185">
        <v>49565</v>
      </c>
      <c r="AH59" s="185"/>
      <c r="AI59" s="185">
        <v>14617</v>
      </c>
      <c r="AJ59" s="185">
        <v>36043</v>
      </c>
      <c r="AK59" s="185">
        <v>52005</v>
      </c>
      <c r="AL59" s="185">
        <v>6844</v>
      </c>
      <c r="AM59" s="185"/>
      <c r="AN59" s="185"/>
      <c r="AO59" s="185"/>
      <c r="AP59" s="185">
        <v>1085</v>
      </c>
      <c r="AQ59" s="185"/>
      <c r="AR59" s="185">
        <v>386436</v>
      </c>
      <c r="AS59" s="185"/>
      <c r="AT59" s="185"/>
      <c r="AU59" s="185"/>
      <c r="AV59" s="248"/>
      <c r="AW59" s="248"/>
      <c r="AX59" s="248"/>
      <c r="AY59" s="185">
        <v>416105</v>
      </c>
      <c r="AZ59" s="185">
        <v>930126</v>
      </c>
      <c r="BA59" s="248"/>
      <c r="BB59" s="248"/>
      <c r="BC59" s="248"/>
      <c r="BD59" s="248"/>
      <c r="BE59" s="294">
        <v>850148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175.31244230769232</v>
      </c>
      <c r="D60" s="327">
        <v>0</v>
      </c>
      <c r="E60" s="186">
        <v>414.27</v>
      </c>
      <c r="F60" s="186">
        <v>0</v>
      </c>
      <c r="G60" s="186">
        <v>0</v>
      </c>
      <c r="H60" s="186">
        <v>41.52</v>
      </c>
      <c r="I60" s="186">
        <v>0</v>
      </c>
      <c r="J60" s="186">
        <v>52.89</v>
      </c>
      <c r="K60" s="186">
        <v>0</v>
      </c>
      <c r="L60" s="186">
        <v>0</v>
      </c>
      <c r="M60" s="186">
        <v>0</v>
      </c>
      <c r="N60" s="186">
        <v>0</v>
      </c>
      <c r="O60" s="186">
        <v>140.78</v>
      </c>
      <c r="P60" s="186">
        <v>193.74</v>
      </c>
      <c r="Q60" s="186">
        <v>19.22</v>
      </c>
      <c r="R60" s="186">
        <v>0</v>
      </c>
      <c r="S60" s="186">
        <v>61.56</v>
      </c>
      <c r="T60" s="186">
        <v>13.67</v>
      </c>
      <c r="U60" s="186">
        <v>107.64</v>
      </c>
      <c r="V60" s="186">
        <v>8.73</v>
      </c>
      <c r="W60" s="186">
        <v>0</v>
      </c>
      <c r="X60" s="186">
        <v>10.210000000000001</v>
      </c>
      <c r="Y60" s="186">
        <v>65.819999999999993</v>
      </c>
      <c r="Z60" s="186">
        <v>0</v>
      </c>
      <c r="AA60" s="186">
        <v>6.6844807692307686</v>
      </c>
      <c r="AB60" s="186">
        <v>93.66</v>
      </c>
      <c r="AC60" s="186">
        <v>27.84</v>
      </c>
      <c r="AD60" s="186">
        <v>1</v>
      </c>
      <c r="AE60" s="186">
        <v>34.799999999999997</v>
      </c>
      <c r="AF60" s="186">
        <v>0</v>
      </c>
      <c r="AG60" s="186">
        <v>88.140609999999995</v>
      </c>
      <c r="AH60" s="186">
        <v>0</v>
      </c>
      <c r="AI60" s="186">
        <v>137.12</v>
      </c>
      <c r="AJ60" s="314">
        <f>36.4+786.38</f>
        <v>822.78</v>
      </c>
      <c r="AK60" s="186">
        <v>13.93</v>
      </c>
      <c r="AL60" s="186">
        <v>4.58</v>
      </c>
      <c r="AM60" s="186">
        <v>0</v>
      </c>
      <c r="AN60" s="186">
        <v>0</v>
      </c>
      <c r="AO60" s="186">
        <v>0</v>
      </c>
      <c r="AP60" s="186">
        <v>2.12</v>
      </c>
      <c r="AQ60" s="186">
        <v>0</v>
      </c>
      <c r="AR60" s="186">
        <v>349.81</v>
      </c>
      <c r="AS60" s="186">
        <v>0</v>
      </c>
      <c r="AT60" s="186">
        <v>0</v>
      </c>
      <c r="AU60" s="186">
        <v>0</v>
      </c>
      <c r="AV60" s="186">
        <v>21.72</v>
      </c>
      <c r="AW60" s="186">
        <v>0</v>
      </c>
      <c r="AX60" s="186">
        <v>0</v>
      </c>
      <c r="AY60" s="186">
        <v>0</v>
      </c>
      <c r="AZ60" s="186">
        <v>113.94</v>
      </c>
      <c r="BA60" s="186">
        <v>5.86</v>
      </c>
      <c r="BB60" s="186">
        <v>0</v>
      </c>
      <c r="BC60" s="186">
        <v>11.32</v>
      </c>
      <c r="BD60" s="186">
        <v>0</v>
      </c>
      <c r="BE60" s="186">
        <v>19.3</v>
      </c>
      <c r="BF60" s="186">
        <v>81.48</v>
      </c>
      <c r="BG60" s="186">
        <v>0</v>
      </c>
      <c r="BH60" s="186">
        <v>0</v>
      </c>
      <c r="BI60" s="186">
        <v>0.94</v>
      </c>
      <c r="BJ60" s="186">
        <v>0</v>
      </c>
      <c r="BK60" s="186">
        <v>0</v>
      </c>
      <c r="BL60" s="186">
        <v>0</v>
      </c>
      <c r="BM60" s="186">
        <v>0</v>
      </c>
      <c r="BN60" s="186">
        <v>72.72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3.66</v>
      </c>
      <c r="BU60" s="186">
        <v>0</v>
      </c>
      <c r="BV60" s="186">
        <v>0</v>
      </c>
      <c r="BW60" s="186">
        <v>0</v>
      </c>
      <c r="BX60" s="186">
        <v>0</v>
      </c>
      <c r="BY60" s="186">
        <v>45.1</v>
      </c>
      <c r="BZ60" s="186">
        <v>0</v>
      </c>
      <c r="CA60" s="186">
        <v>6.15</v>
      </c>
      <c r="CB60" s="186">
        <v>1.03</v>
      </c>
      <c r="CC60" s="186">
        <v>0.02</v>
      </c>
      <c r="CD60" s="249" t="s">
        <v>221</v>
      </c>
      <c r="CE60" s="251">
        <f t="shared" ref="CE60:CE70" si="0">SUM(C60:CD60)</f>
        <v>3271.0675330769232</v>
      </c>
    </row>
    <row r="61" spans="1:84" ht="12.6" customHeight="1" x14ac:dyDescent="0.25">
      <c r="A61" s="171" t="s">
        <v>235</v>
      </c>
      <c r="B61" s="175"/>
      <c r="C61" s="184">
        <f>IF(ISERR(VLOOKUP(C$44,'SJ data'!$A$4:$AD$58,8,0)="TRUE"),0,VLOOKUP(C$44,'SJ data'!$A$4:$AD$58,8,0))</f>
        <v>15474955.470000001</v>
      </c>
      <c r="D61" s="184">
        <f>IF(ISERR(VLOOKUP(D$44,'SJ data'!$A$4:$AD$58,8,0)="TRUE"),0,VLOOKUP(D$44,'SJ data'!$A$4:$AD$58,8,0))</f>
        <v>0</v>
      </c>
      <c r="E61" s="184">
        <f>IF(ISERR(VLOOKUP(E$44,'SJ data'!$A$4:$AD$58,8,0)="TRUE"),0,VLOOKUP(E$44,'SJ data'!$A$4:$AD$58,8,0))</f>
        <v>33021779.859999999</v>
      </c>
      <c r="F61" s="184">
        <f>IF(ISERR(VLOOKUP(F$44,'SJ data'!$A$4:$AD$58,8,0)="TRUE"),0,VLOOKUP(F$44,'SJ data'!$A$4:$AD$58,8,0))</f>
        <v>0</v>
      </c>
      <c r="G61" s="184">
        <f>IF(ISERR(VLOOKUP(G$44,'SJ data'!$A$4:$AD$58,8,0)="TRUE"),0,VLOOKUP(G$44,'SJ data'!$A$4:$AD$58,8,0))</f>
        <v>0</v>
      </c>
      <c r="H61" s="184">
        <f>IF(ISERR(VLOOKUP(H$44,'SJ data'!$A$4:$AD$58,8,0)="TRUE"),0,VLOOKUP(H$44,'SJ data'!$A$4:$AD$58,8,0))</f>
        <v>3544422.6700000004</v>
      </c>
      <c r="I61" s="184">
        <f>IF(ISERR(VLOOKUP(I$44,'SJ data'!$A$4:$AD$58,8,0)="TRUE"),0,VLOOKUP(I$44,'SJ data'!$A$4:$AD$58,8,0))</f>
        <v>0</v>
      </c>
      <c r="J61" s="184">
        <f>IF(ISERR(VLOOKUP(J$44,'SJ data'!$A$4:$AD$58,8,0)="TRUE"),0,VLOOKUP(J$44,'SJ data'!$A$4:$AD$58,8,0))</f>
        <v>4880841.3599999994</v>
      </c>
      <c r="K61" s="184">
        <f>IF(ISERR(VLOOKUP(K$44,'SJ data'!$A$4:$AD$58,8,0)="TRUE"),0,VLOOKUP(K$44,'SJ data'!$A$4:$AD$58,8,0))</f>
        <v>0</v>
      </c>
      <c r="L61" s="184">
        <f>IF(ISERR(VLOOKUP(L$44,'SJ data'!$A$4:$AD$58,8,0)="TRUE"),0,VLOOKUP(L$44,'SJ data'!$A$4:$AD$58,8,0))</f>
        <v>0</v>
      </c>
      <c r="M61" s="184">
        <f>IF(ISERR(VLOOKUP(M$44,'SJ data'!$A$4:$AD$58,8,0)="TRUE"),0,VLOOKUP(M$44,'SJ data'!$A$4:$AD$58,8,0))</f>
        <v>0</v>
      </c>
      <c r="N61" s="184">
        <f>IF(ISERR(VLOOKUP(N$44,'SJ data'!$A$4:$AD$58,8,0)="TRUE"),0,VLOOKUP(N$44,'SJ data'!$A$4:$AD$58,8,0))</f>
        <v>0</v>
      </c>
      <c r="O61" s="184">
        <f>IF(ISERR(VLOOKUP(O$44,'SJ data'!$A$4:$AD$58,8,0)="TRUE"),0,VLOOKUP(O$44,'SJ data'!$A$4:$AD$58,8,0))</f>
        <v>12678471.380000001</v>
      </c>
      <c r="P61" s="184">
        <f>IF(ISERR(VLOOKUP(P$44,'SJ data'!$A$4:$AD$58,8,0)="TRUE"),0,VLOOKUP(P$44,'SJ data'!$A$4:$AD$58,8,0))</f>
        <v>17801520.699999999</v>
      </c>
      <c r="Q61" s="184">
        <f>IF(ISERR(VLOOKUP(Q$44,'SJ data'!$A$4:$AD$58,8,0)="TRUE"),0,VLOOKUP(Q$44,'SJ data'!$A$4:$AD$58,8,0))</f>
        <v>1872427.8099999998</v>
      </c>
      <c r="R61" s="184">
        <f>IF(ISERR(VLOOKUP(R$44,'SJ data'!$A$4:$AD$58,8,0)="TRUE"),0,VLOOKUP(R$44,'SJ data'!$A$4:$AD$58,8,0))</f>
        <v>0</v>
      </c>
      <c r="S61" s="184">
        <f>IF(ISERR(VLOOKUP(S$44,'SJ data'!$A$4:$AD$58,8,0)="TRUE"),0,VLOOKUP(S$44,'SJ data'!$A$4:$AD$58,8,0))</f>
        <v>3074684.5699999994</v>
      </c>
      <c r="T61" s="184">
        <f>IF(ISERR(VLOOKUP(T$44,'SJ data'!$A$4:$AD$58,8,0)="TRUE"),0,VLOOKUP(T$44,'SJ data'!$A$4:$AD$58,8,0))</f>
        <v>1558230.45</v>
      </c>
      <c r="U61" s="184">
        <f>IF(ISERR(VLOOKUP(U$44,'SJ data'!$A$4:$AD$58,8,0)="TRUE"),0,VLOOKUP(U$44,'SJ data'!$A$4:$AD$58,8,0))</f>
        <v>7735600.3699999982</v>
      </c>
      <c r="V61" s="184">
        <f>IF(ISERR(VLOOKUP(V$44,'SJ data'!$A$4:$AD$58,8,0)="TRUE"),0,VLOOKUP(V$44,'SJ data'!$A$4:$AD$58,8,0))</f>
        <v>1078529.9899999998</v>
      </c>
      <c r="W61" s="184">
        <f>IF(ISERR(VLOOKUP(W$44,'SJ data'!$A$4:$AD$58,8,0)="TRUE"),0,VLOOKUP(W$44,'SJ data'!$A$4:$AD$58,8,0))</f>
        <v>0</v>
      </c>
      <c r="X61" s="184">
        <f>IF(ISERR(VLOOKUP(X$44,'SJ data'!$A$4:$AD$58,8,0)="TRUE"),0,VLOOKUP(X$44,'SJ data'!$A$4:$AD$58,8,0))</f>
        <v>992689.6</v>
      </c>
      <c r="Y61" s="184">
        <f>IF(ISERR(VLOOKUP(Y$44,'SJ data'!$A$4:$AD$58,8,0)="TRUE"),0,VLOOKUP(Y$44,'SJ data'!$A$4:$AD$58,8,0))</f>
        <v>5762355.2599999998</v>
      </c>
      <c r="Z61" s="184">
        <f>IF(ISERR(VLOOKUP(Z$44,'SJ data'!$A$4:$AD$58,8,0)="TRUE"),0,VLOOKUP(Z$44,'SJ data'!$A$4:$AD$58,8,0))</f>
        <v>0</v>
      </c>
      <c r="AA61" s="184">
        <f>IF(ISERR(VLOOKUP(AA$44,'SJ data'!$A$4:$AD$58,8,0)="TRUE"),0,VLOOKUP(AA$44,'SJ data'!$A$4:$AD$58,8,0))</f>
        <v>625535.66999999993</v>
      </c>
      <c r="AB61" s="184">
        <f>IF(ISERR(VLOOKUP(AB$44,'SJ data'!$A$4:$AD$58,8,0)="TRUE"),0,VLOOKUP(AB$44,'SJ data'!$A$4:$AD$58,8,0))</f>
        <v>9343537.5200000014</v>
      </c>
      <c r="AC61" s="184">
        <f>IF(ISERR(VLOOKUP(AC$44,'SJ data'!$A$4:$AD$58,8,0)="TRUE"),0,VLOOKUP(AC$44,'SJ data'!$A$4:$AD$58,8,0))</f>
        <v>2481453.7800000003</v>
      </c>
      <c r="AD61" s="184">
        <f>IF(ISERR(VLOOKUP(AD$44,'SJ data'!$A$4:$AD$58,8,0)="TRUE"),0,VLOOKUP(AD$44,'SJ data'!$A$4:$AD$58,8,0))</f>
        <v>137735.64999999997</v>
      </c>
      <c r="AE61" s="184">
        <f>IF(ISERR(VLOOKUP(AE$44,'SJ data'!$A$4:$AD$58,8,0)="TRUE"),0,VLOOKUP(AE$44,'SJ data'!$A$4:$AD$58,8,0))</f>
        <v>3356016.35</v>
      </c>
      <c r="AF61" s="184">
        <f>IF(ISERR(VLOOKUP(AF$44,'SJ data'!$A$4:$AD$58,8,0)="TRUE"),0,VLOOKUP(AF$44,'SJ data'!$A$4:$AD$58,8,0))</f>
        <v>0</v>
      </c>
      <c r="AG61" s="184">
        <f>IF(ISERR(VLOOKUP(AG$44,'SJ data'!$A$4:$AD$58,8,0)="TRUE"),0,VLOOKUP(AG$44,'SJ data'!$A$4:$AD$58,8,0))</f>
        <v>7022829.4900000002</v>
      </c>
      <c r="AH61" s="184">
        <f>IF(ISERR(VLOOKUP(AH$44,'SJ data'!$A$4:$AD$58,8,0)="TRUE"),0,VLOOKUP(AH$44,'SJ data'!$A$4:$AD$58,8,0))</f>
        <v>0</v>
      </c>
      <c r="AI61" s="184">
        <f>IF(ISERR(VLOOKUP(AI$44,'SJ data'!$A$4:$AD$58,8,0)="TRUE"),0,VLOOKUP(AI$44,'SJ data'!$A$4:$AD$58,8,0))</f>
        <v>10578525.52</v>
      </c>
      <c r="AJ61" s="184">
        <f>IF(ISERR(VLOOKUP(AJ$44,'SJ data'!$A$4:$AD$58,8,0)="TRUE"),0,VLOOKUP(AJ$44,'SJ data'!$A$4:$AD$58,8,0))</f>
        <v>93652697.530000016</v>
      </c>
      <c r="AK61" s="184">
        <f>IF(ISERR(VLOOKUP(AK$44,'SJ data'!$A$4:$AD$58,8,0)="TRUE"),0,VLOOKUP(AK$44,'SJ data'!$A$4:$AD$58,8,0))</f>
        <v>1365509.5800000003</v>
      </c>
      <c r="AL61" s="184">
        <f>IF(ISERR(VLOOKUP(AL$44,'SJ data'!$A$4:$AD$58,8,0)="TRUE"),0,VLOOKUP(AL$44,'SJ data'!$A$4:$AD$58,8,0))</f>
        <v>413283.99999999994</v>
      </c>
      <c r="AM61" s="184">
        <f>IF(ISERR(VLOOKUP(AM$44,'SJ data'!$A$4:$AD$58,8,0)="TRUE"),0,VLOOKUP(AM$44,'SJ data'!$A$4:$AD$58,8,0))</f>
        <v>0</v>
      </c>
      <c r="AN61" s="184">
        <f>IF(ISERR(VLOOKUP(AN$44,'SJ data'!$A$4:$AD$58,8,0)="TRUE"),0,VLOOKUP(AN$44,'SJ data'!$A$4:$AD$58,8,0))</f>
        <v>0</v>
      </c>
      <c r="AO61" s="184">
        <f>IF(ISERR(VLOOKUP(AO$44,'SJ data'!$A$4:$AD$58,8,0)="TRUE"),0,VLOOKUP(AO$44,'SJ data'!$A$4:$AD$58,8,0))</f>
        <v>0</v>
      </c>
      <c r="AP61" s="184">
        <f>IF(ISERR(VLOOKUP(AP$44,'SJ data'!$A$4:$AD$58,8,0)="TRUE"),0,VLOOKUP(AP$44,'SJ data'!$A$4:$AD$58,8,0))</f>
        <v>460747.88</v>
      </c>
      <c r="AQ61" s="184">
        <f>IF(ISERR(VLOOKUP(AQ$44,'SJ data'!$A$4:$AD$58,8,0)="TRUE"),0,VLOOKUP(AQ$44,'SJ data'!$A$4:$AD$58,8,0))</f>
        <v>0</v>
      </c>
      <c r="AR61" s="184">
        <f>IF(ISERR(VLOOKUP(AR$44,'SJ data'!$A$4:$AD$58,8,0)="TRUE"),0,VLOOKUP(AR$44,'SJ data'!$A$4:$AD$58,8,0))</f>
        <v>29404282.200000003</v>
      </c>
      <c r="AS61" s="184">
        <f>IF(ISERR(VLOOKUP(AS$44,'SJ data'!$A$4:$AD$58,8,0)="TRUE"),0,VLOOKUP(AS$44,'SJ data'!$A$4:$AD$58,8,0))</f>
        <v>0</v>
      </c>
      <c r="AT61" s="184">
        <f>IF(ISERR(VLOOKUP(AT$44,'SJ data'!$A$4:$AD$58,8,0)="TRUE"),0,VLOOKUP(AT$44,'SJ data'!$A$4:$AD$58,8,0))</f>
        <v>0</v>
      </c>
      <c r="AU61" s="184">
        <f>IF(ISERR(VLOOKUP(AU$44,'SJ data'!$A$4:$AD$58,8,0)="TRUE"),0,VLOOKUP(AU$44,'SJ data'!$A$4:$AD$58,8,0))</f>
        <v>0</v>
      </c>
      <c r="AV61" s="184">
        <f>IF(ISERR(VLOOKUP(AV$44,'SJ data'!$A$4:$AD$58,8,0)="TRUE"),0,VLOOKUP(AV$44,'SJ data'!$A$4:$AD$58,8,0))</f>
        <v>1823994.17</v>
      </c>
      <c r="AW61" s="184">
        <f>IF(ISERR(VLOOKUP(AW$44,'SJ data'!$A$4:$AD$58,8,0)="TRUE"),0,VLOOKUP(AW$44,'SJ data'!$A$4:$AD$58,8,0))</f>
        <v>0</v>
      </c>
      <c r="AX61" s="184">
        <f>IF(ISERR(VLOOKUP(AX$44,'SJ data'!$A$4:$AD$58,8,0)="TRUE"),0,VLOOKUP(AX$44,'SJ data'!$A$4:$AD$58,8,0))</f>
        <v>0</v>
      </c>
      <c r="AY61" s="184">
        <f>IF(ISERR(VLOOKUP(AY$44,'SJ data'!$A$4:$AD$58,8,0)="TRUE"),0,VLOOKUP(AY$44,'SJ data'!$A$4:$AD$58,8,0))</f>
        <v>0</v>
      </c>
      <c r="AZ61" s="184">
        <f>IF(ISERR(VLOOKUP(AZ$44,'SJ data'!$A$4:$AD$58,8,0)="TRUE"),0,VLOOKUP(AZ$44,'SJ data'!$A$4:$AD$58,8,0))</f>
        <v>4839545.24</v>
      </c>
      <c r="BA61" s="184">
        <f>IF(ISERR(VLOOKUP(BA$44,'SJ data'!$A$4:$AD$58,8,0)="TRUE"),0,VLOOKUP(BA$44,'SJ data'!$A$4:$AD$58,8,0))</f>
        <v>225088.59</v>
      </c>
      <c r="BB61" s="184">
        <f>IF(ISERR(VLOOKUP(BB$44,'SJ data'!$A$4:$AD$58,8,0)="TRUE"),0,VLOOKUP(BB$44,'SJ data'!$A$4:$AD$58,8,0))</f>
        <v>0</v>
      </c>
      <c r="BC61" s="184">
        <f>IF(ISERR(VLOOKUP(BC$44,'SJ data'!$A$4:$AD$58,8,0)="TRUE"),0,VLOOKUP(BC$44,'SJ data'!$A$4:$AD$58,8,0))</f>
        <v>456900.00999999995</v>
      </c>
      <c r="BD61" s="184">
        <f>IF(ISERR(VLOOKUP(BD$44,'SJ data'!$A$4:$AD$58,8,0)="TRUE"),0,VLOOKUP(BD$44,'SJ data'!$A$4:$AD$58,8,0))</f>
        <v>0</v>
      </c>
      <c r="BE61" s="184">
        <f>IF(ISERR(VLOOKUP(BE$44,'SJ data'!$A$4:$AD$58,8,0)="TRUE"),0,VLOOKUP(BE$44,'SJ data'!$A$4:$AD$58,8,0))</f>
        <v>1291032.9099999999</v>
      </c>
      <c r="BF61" s="184">
        <f>IF(ISERR(VLOOKUP(BF$44,'SJ data'!$A$4:$AD$58,8,0)="TRUE"),0,VLOOKUP(BF$44,'SJ data'!$A$4:$AD$58,8,0))</f>
        <v>3866548.8600000003</v>
      </c>
      <c r="BG61" s="184">
        <f>IF(ISERR(VLOOKUP(BG$44,'SJ data'!$A$4:$AD$58,8,0)="TRUE"),0,VLOOKUP(BG$44,'SJ data'!$A$4:$AD$58,8,0))</f>
        <v>0</v>
      </c>
      <c r="BH61" s="184">
        <f>IF(ISERR(VLOOKUP(BH$44,'SJ data'!$A$4:$AD$58,8,0)="TRUE"),0,VLOOKUP(BH$44,'SJ data'!$A$4:$AD$58,8,0))</f>
        <v>0</v>
      </c>
      <c r="BI61" s="184">
        <f>IF(ISERR(VLOOKUP(BI$44,'SJ data'!$A$4:$AD$58,8,0)="TRUE"),0,VLOOKUP(BI$44,'SJ data'!$A$4:$AD$58,8,0))</f>
        <v>32292.29</v>
      </c>
      <c r="BJ61" s="184">
        <f>IF(ISERR(VLOOKUP(BJ$44,'SJ data'!$A$4:$AD$58,8,0)="TRUE"),0,VLOOKUP(BJ$44,'SJ data'!$A$4:$AD$58,8,0))</f>
        <v>0</v>
      </c>
      <c r="BK61" s="184">
        <f>IF(ISERR(VLOOKUP(BK$44,'SJ data'!$A$4:$AD$58,8,0)="TRUE"),0,VLOOKUP(BK$44,'SJ data'!$A$4:$AD$58,8,0))</f>
        <v>0</v>
      </c>
      <c r="BL61" s="184">
        <f>IF(ISERR(VLOOKUP(BL$44,'SJ data'!$A$4:$AD$58,8,0)="TRUE"),0,VLOOKUP(BL$44,'SJ data'!$A$4:$AD$58,8,0))</f>
        <v>0</v>
      </c>
      <c r="BM61" s="184">
        <f>IF(ISERR(VLOOKUP(BM$44,'SJ data'!$A$4:$AD$58,8,0)="TRUE"),0,VLOOKUP(BM$44,'SJ data'!$A$4:$AD$58,8,0))</f>
        <v>0</v>
      </c>
      <c r="BN61" s="184">
        <f>IF(ISERR(VLOOKUP(BN$44,'SJ data'!$A$4:$AD$58,8,0)="TRUE"),0,VLOOKUP(BN$44,'SJ data'!$A$4:$AD$58,8,0))</f>
        <v>6168848.7300000004</v>
      </c>
      <c r="BO61" s="184">
        <f>IF(ISERR(VLOOKUP(BO$44,'SJ data'!$A$4:$AD$58,8,0)="TRUE"),0,VLOOKUP(BO$44,'SJ data'!$A$4:$AD$58,8,0))</f>
        <v>0</v>
      </c>
      <c r="BP61" s="184">
        <f>IF(ISERR(VLOOKUP(BP$44,'SJ data'!$A$4:$AD$58,8,0)="TRUE"),0,VLOOKUP(BP$44,'SJ data'!$A$4:$AD$58,8,0))</f>
        <v>0</v>
      </c>
      <c r="BQ61" s="184">
        <f>IF(ISERR(VLOOKUP(BQ$44,'SJ data'!$A$4:$AD$58,8,0)="TRUE"),0,VLOOKUP(BQ$44,'SJ data'!$A$4:$AD$58,8,0))</f>
        <v>0</v>
      </c>
      <c r="BR61" s="184">
        <f>IF(ISERR(VLOOKUP(BR$44,'SJ data'!$A$4:$AD$58,8,0)="TRUE"),0,VLOOKUP(BR$44,'SJ data'!$A$4:$AD$58,8,0))</f>
        <v>0</v>
      </c>
      <c r="BS61" s="184">
        <f>IF(ISERR(VLOOKUP(BS$44,'SJ data'!$A$4:$AD$58,8,0)="TRUE"),0,VLOOKUP(BS$44,'SJ data'!$A$4:$AD$58,8,0))</f>
        <v>0</v>
      </c>
      <c r="BT61" s="184">
        <f>IF(ISERR(VLOOKUP(BT$44,'SJ data'!$A$4:$AD$58,8,0)="TRUE"),0,VLOOKUP(BT$44,'SJ data'!$A$4:$AD$58,8,0))</f>
        <v>220952.77999999997</v>
      </c>
      <c r="BU61" s="184">
        <f>IF(ISERR(VLOOKUP(BU$44,'SJ data'!$A$4:$AD$58,8,0)="TRUE"),0,VLOOKUP(BU$44,'SJ data'!$A$4:$AD$58,8,0))</f>
        <v>0</v>
      </c>
      <c r="BV61" s="184">
        <f>IF(ISERR(VLOOKUP(BV$44,'SJ data'!$A$4:$AD$58,8,0)="TRUE"),0,VLOOKUP(BV$44,'SJ data'!$A$4:$AD$58,8,0))</f>
        <v>0</v>
      </c>
      <c r="BW61" s="184">
        <f>IF(ISERR(VLOOKUP(BW$44,'SJ data'!$A$4:$AD$58,8,0)="TRUE"),0,VLOOKUP(BW$44,'SJ data'!$A$4:$AD$58,8,0))</f>
        <v>0</v>
      </c>
      <c r="BX61" s="184">
        <f>IF(ISERR(VLOOKUP(BX$44,'SJ data'!$A$4:$AD$58,8,0)="TRUE"),0,VLOOKUP(BX$44,'SJ data'!$A$4:$AD$58,8,0))</f>
        <v>0</v>
      </c>
      <c r="BY61" s="184">
        <f>IF(ISERR(VLOOKUP(BY$44,'SJ data'!$A$4:$AD$58,8,0)="TRUE"),0,VLOOKUP(BY$44,'SJ data'!$A$4:$AD$58,8,0))</f>
        <v>4228048.5999999996</v>
      </c>
      <c r="BZ61" s="184">
        <f>IF(ISERR(VLOOKUP(BZ$44,'SJ data'!$A$4:$AD$58,8,0)="TRUE"),0,VLOOKUP(BZ$44,'SJ data'!$A$4:$AD$58,8,0))</f>
        <v>0</v>
      </c>
      <c r="CA61" s="184">
        <f>IF(ISERR(VLOOKUP(CA$44,'SJ data'!$A$4:$AD$58,8,0)="TRUE"),0,VLOOKUP(CA$44,'SJ data'!$A$4:$AD$58,8,0))</f>
        <v>629821.42000000016</v>
      </c>
      <c r="CB61" s="184">
        <f>IF(ISERR(VLOOKUP(CB$44,'SJ data'!$A$4:$AD$58,8,0)="TRUE"),0,VLOOKUP(CB$44,'SJ data'!$A$4:$AD$58,8,0))</f>
        <v>75731.930000000008</v>
      </c>
      <c r="CC61" s="184">
        <f>IF(ISERR(VLOOKUP(CC$44,'SJ data'!$A$4:$AD$58,8,0)="TRUE"),0,VLOOKUP(CC$44,'SJ data'!$A$4:$AD$58,8,0))+'SJ data'!H57</f>
        <v>2045939.07</v>
      </c>
      <c r="CD61" s="249" t="s">
        <v>221</v>
      </c>
      <c r="CE61" s="195">
        <f t="shared" si="0"/>
        <v>294223409.26000011</v>
      </c>
      <c r="CF61" s="252"/>
    </row>
    <row r="62" spans="1:84" ht="12.6" customHeight="1" x14ac:dyDescent="0.25">
      <c r="A62" s="171" t="s">
        <v>3</v>
      </c>
      <c r="B62" s="175"/>
      <c r="C62" s="195">
        <f>C47+C48</f>
        <v>4184646.1199999996</v>
      </c>
      <c r="D62" s="195">
        <f t="shared" ref="D62:BO62" si="1">D47+D48</f>
        <v>0</v>
      </c>
      <c r="E62" s="195">
        <f t="shared" si="1"/>
        <v>9340558.8800000027</v>
      </c>
      <c r="F62" s="195">
        <f t="shared" si="1"/>
        <v>0</v>
      </c>
      <c r="G62" s="195">
        <f t="shared" si="1"/>
        <v>0</v>
      </c>
      <c r="H62" s="195">
        <f t="shared" si="1"/>
        <v>1046706.2100000002</v>
      </c>
      <c r="I62" s="195">
        <f t="shared" si="1"/>
        <v>0</v>
      </c>
      <c r="J62" s="195">
        <f t="shared" si="1"/>
        <v>1299250.28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3409815.2700000005</v>
      </c>
      <c r="P62" s="195">
        <f t="shared" si="1"/>
        <v>4612561.21</v>
      </c>
      <c r="Q62" s="195">
        <f t="shared" si="1"/>
        <v>485552.95000000007</v>
      </c>
      <c r="R62" s="195">
        <f t="shared" si="1"/>
        <v>0</v>
      </c>
      <c r="S62" s="195">
        <f t="shared" si="1"/>
        <v>1148598.0500000003</v>
      </c>
      <c r="T62" s="195">
        <f t="shared" si="1"/>
        <v>372786.55</v>
      </c>
      <c r="U62" s="195">
        <f t="shared" si="1"/>
        <v>2283358.16</v>
      </c>
      <c r="V62" s="195">
        <f t="shared" si="1"/>
        <v>225848.06</v>
      </c>
      <c r="W62" s="195">
        <f t="shared" si="1"/>
        <v>0</v>
      </c>
      <c r="X62" s="195">
        <f t="shared" si="1"/>
        <v>257826.36</v>
      </c>
      <c r="Y62" s="195">
        <f t="shared" si="1"/>
        <v>1561992.5199999998</v>
      </c>
      <c r="Z62" s="195">
        <f t="shared" si="1"/>
        <v>0</v>
      </c>
      <c r="AA62" s="195">
        <f t="shared" si="1"/>
        <v>166095.84999999998</v>
      </c>
      <c r="AB62" s="195">
        <f t="shared" si="1"/>
        <v>2364282.8899999997</v>
      </c>
      <c r="AC62" s="195">
        <f t="shared" si="1"/>
        <v>663572.39999999991</v>
      </c>
      <c r="AD62" s="195">
        <f t="shared" si="1"/>
        <v>35956.869999999995</v>
      </c>
      <c r="AE62" s="195">
        <f t="shared" si="1"/>
        <v>873207.86</v>
      </c>
      <c r="AF62" s="195">
        <f t="shared" si="1"/>
        <v>0</v>
      </c>
      <c r="AG62" s="195">
        <f t="shared" si="1"/>
        <v>2010299.3899999997</v>
      </c>
      <c r="AH62" s="195">
        <f t="shared" si="1"/>
        <v>0</v>
      </c>
      <c r="AI62" s="195">
        <f t="shared" si="1"/>
        <v>3109381.26</v>
      </c>
      <c r="AJ62" s="195">
        <f t="shared" si="1"/>
        <v>16896915.050000001</v>
      </c>
      <c r="AK62" s="195">
        <f t="shared" si="1"/>
        <v>350358.42999999993</v>
      </c>
      <c r="AL62" s="195">
        <f t="shared" si="1"/>
        <v>110781.09999999998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52768.27</v>
      </c>
      <c r="AQ62" s="195">
        <f t="shared" si="1"/>
        <v>0</v>
      </c>
      <c r="AR62" s="195">
        <f t="shared" si="1"/>
        <v>8137459.4400000013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471128.52</v>
      </c>
      <c r="AW62" s="195">
        <f t="shared" si="1"/>
        <v>0</v>
      </c>
      <c r="AX62" s="195">
        <f t="shared" si="1"/>
        <v>0</v>
      </c>
      <c r="AY62" s="195">
        <f t="shared" si="1"/>
        <v>0</v>
      </c>
      <c r="AZ62" s="195">
        <f t="shared" si="1"/>
        <v>2083014.04</v>
      </c>
      <c r="BA62" s="195">
        <f t="shared" si="1"/>
        <v>103901.68000000001</v>
      </c>
      <c r="BB62" s="195">
        <f t="shared" si="1"/>
        <v>0</v>
      </c>
      <c r="BC62" s="195">
        <f t="shared" si="1"/>
        <v>204360.47999999998</v>
      </c>
      <c r="BD62" s="195">
        <f t="shared" si="1"/>
        <v>0</v>
      </c>
      <c r="BE62" s="195">
        <f t="shared" si="1"/>
        <v>411137.51</v>
      </c>
      <c r="BF62" s="195">
        <f t="shared" si="1"/>
        <v>1498020.54</v>
      </c>
      <c r="BG62" s="195">
        <f t="shared" si="1"/>
        <v>0</v>
      </c>
      <c r="BH62" s="195">
        <f t="shared" si="1"/>
        <v>0</v>
      </c>
      <c r="BI62" s="195">
        <f t="shared" si="1"/>
        <v>17547.150000000001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1640668.02</v>
      </c>
      <c r="BO62" s="195">
        <f t="shared" si="1"/>
        <v>0</v>
      </c>
      <c r="BP62" s="195">
        <f t="shared" ref="BP62:CC62" si="2">BP47+BP48</f>
        <v>0</v>
      </c>
      <c r="BQ62" s="195">
        <f t="shared" si="2"/>
        <v>0</v>
      </c>
      <c r="BR62" s="195">
        <f t="shared" si="2"/>
        <v>2458.3700000059684</v>
      </c>
      <c r="BS62" s="195">
        <f t="shared" si="2"/>
        <v>0</v>
      </c>
      <c r="BT62" s="195">
        <f t="shared" si="2"/>
        <v>75612.740000000005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1114728.1000000001</v>
      </c>
      <c r="BZ62" s="195">
        <f t="shared" si="2"/>
        <v>0</v>
      </c>
      <c r="CA62" s="195">
        <f t="shared" si="2"/>
        <v>160198.82</v>
      </c>
      <c r="CB62" s="195">
        <f t="shared" si="2"/>
        <v>22849.369999999995</v>
      </c>
      <c r="CC62" s="195">
        <f t="shared" si="2"/>
        <v>150931.45000000001</v>
      </c>
      <c r="CD62" s="249" t="s">
        <v>221</v>
      </c>
      <c r="CE62" s="195">
        <f t="shared" si="0"/>
        <v>72957136.220000029</v>
      </c>
      <c r="CF62" s="252"/>
    </row>
    <row r="63" spans="1:84" ht="12.6" customHeight="1" x14ac:dyDescent="0.25">
      <c r="A63" s="171" t="s">
        <v>236</v>
      </c>
      <c r="B63" s="175"/>
      <c r="C63" s="184">
        <f>IF(ISERR(VLOOKUP(C$44,'SJ data'!$A$4:$AD$58,11,0)="TRUE"),0,VLOOKUP(C$44,'SJ data'!$A$4:$AD$58,11,0))</f>
        <v>3640872.44</v>
      </c>
      <c r="D63" s="184">
        <f>IF(ISERR(VLOOKUP(D$44,'SJ data'!$A$4:$AD$58,11,0)="TRUE"),0,VLOOKUP(D$44,'SJ data'!$A$4:$AD$58,11,0))</f>
        <v>0</v>
      </c>
      <c r="E63" s="184">
        <f>IF(ISERR(VLOOKUP(E$44,'SJ data'!$A$4:$AD$58,11,0)="TRUE"),0,VLOOKUP(E$44,'SJ data'!$A$4:$AD$58,11,0))</f>
        <v>46500</v>
      </c>
      <c r="F63" s="184">
        <f>IF(ISERR(VLOOKUP(F$44,'SJ data'!$A$4:$AD$58,11,0)="TRUE"),0,VLOOKUP(F$44,'SJ data'!$A$4:$AD$58,11,0))</f>
        <v>0</v>
      </c>
      <c r="G63" s="184">
        <f>IF(ISERR(VLOOKUP(G$44,'SJ data'!$A$4:$AD$58,11,0)="TRUE"),0,VLOOKUP(G$44,'SJ data'!$A$4:$AD$58,11,0))</f>
        <v>0</v>
      </c>
      <c r="H63" s="184">
        <f>IF(ISERR(VLOOKUP(H$44,'SJ data'!$A$4:$AD$58,11,0)="TRUE"),0,VLOOKUP(H$44,'SJ data'!$A$4:$AD$58,11,0))</f>
        <v>347585.45</v>
      </c>
      <c r="I63" s="184">
        <f>IF(ISERR(VLOOKUP(I$44,'SJ data'!$A$4:$AD$58,11,0)="TRUE"),0,VLOOKUP(I$44,'SJ data'!$A$4:$AD$58,11,0))</f>
        <v>0</v>
      </c>
      <c r="J63" s="184">
        <f>IF(ISERR(VLOOKUP(J$44,'SJ data'!$A$4:$AD$58,11,0)="TRUE"),0,VLOOKUP(J$44,'SJ data'!$A$4:$AD$58,11,0))</f>
        <v>918288.31</v>
      </c>
      <c r="K63" s="184">
        <f>IF(ISERR(VLOOKUP(K$44,'SJ data'!$A$4:$AD$58,11,0)="TRUE"),0,VLOOKUP(K$44,'SJ data'!$A$4:$AD$58,11,0))</f>
        <v>0</v>
      </c>
      <c r="L63" s="184">
        <f>IF(ISERR(VLOOKUP(L$44,'SJ data'!$A$4:$AD$58,11,0)="TRUE"),0,VLOOKUP(L$44,'SJ data'!$A$4:$AD$58,11,0))</f>
        <v>0</v>
      </c>
      <c r="M63" s="184">
        <f>IF(ISERR(VLOOKUP(M$44,'SJ data'!$A$4:$AD$58,11,0)="TRUE"),0,VLOOKUP(M$44,'SJ data'!$A$4:$AD$58,11,0))</f>
        <v>0</v>
      </c>
      <c r="N63" s="184">
        <f>IF(ISERR(VLOOKUP(N$44,'SJ data'!$A$4:$AD$58,11,0)="TRUE"),0,VLOOKUP(N$44,'SJ data'!$A$4:$AD$58,11,0))</f>
        <v>0</v>
      </c>
      <c r="O63" s="184">
        <f>IF(ISERR(VLOOKUP(O$44,'SJ data'!$A$4:$AD$58,11,0)="TRUE"),0,VLOOKUP(O$44,'SJ data'!$A$4:$AD$58,11,0))</f>
        <v>1613325.77</v>
      </c>
      <c r="P63" s="184">
        <f>IF(ISERR(VLOOKUP(P$44,'SJ data'!$A$4:$AD$58,11,0)="TRUE"),0,VLOOKUP(P$44,'SJ data'!$A$4:$AD$58,11,0))</f>
        <v>4918424.7000000011</v>
      </c>
      <c r="Q63" s="184">
        <f>IF(ISERR(VLOOKUP(Q$44,'SJ data'!$A$4:$AD$58,11,0)="TRUE"),0,VLOOKUP(Q$44,'SJ data'!$A$4:$AD$58,11,0))</f>
        <v>0</v>
      </c>
      <c r="R63" s="184">
        <f>IF(ISERR(VLOOKUP(R$44,'SJ data'!$A$4:$AD$58,11,0)="TRUE"),0,VLOOKUP(R$44,'SJ data'!$A$4:$AD$58,11,0))</f>
        <v>0</v>
      </c>
      <c r="S63" s="184">
        <f>IF(ISERR(VLOOKUP(S$44,'SJ data'!$A$4:$AD$58,11,0)="TRUE"),0,VLOOKUP(S$44,'SJ data'!$A$4:$AD$58,11,0))</f>
        <v>0</v>
      </c>
      <c r="T63" s="184">
        <f>IF(ISERR(VLOOKUP(T$44,'SJ data'!$A$4:$AD$58,11,0)="TRUE"),0,VLOOKUP(T$44,'SJ data'!$A$4:$AD$58,11,0))</f>
        <v>0</v>
      </c>
      <c r="U63" s="184">
        <f>IF(ISERR(VLOOKUP(U$44,'SJ data'!$A$4:$AD$58,11,0)="TRUE"),0,VLOOKUP(U$44,'SJ data'!$A$4:$AD$58,11,0))</f>
        <v>95688.42</v>
      </c>
      <c r="V63" s="184">
        <f>IF(ISERR(VLOOKUP(V$44,'SJ data'!$A$4:$AD$58,11,0)="TRUE"),0,VLOOKUP(V$44,'SJ data'!$A$4:$AD$58,11,0))</f>
        <v>0</v>
      </c>
      <c r="W63" s="184">
        <f>IF(ISERR(VLOOKUP(W$44,'SJ data'!$A$4:$AD$58,11,0)="TRUE"),0,VLOOKUP(W$44,'SJ data'!$A$4:$AD$58,11,0))</f>
        <v>0</v>
      </c>
      <c r="X63" s="184">
        <f>IF(ISERR(VLOOKUP(X$44,'SJ data'!$A$4:$AD$58,11,0)="TRUE"),0,VLOOKUP(X$44,'SJ data'!$A$4:$AD$58,11,0))</f>
        <v>0</v>
      </c>
      <c r="Y63" s="184">
        <f>IF(ISERR(VLOOKUP(Y$44,'SJ data'!$A$4:$AD$58,11,0)="TRUE"),0,VLOOKUP(Y$44,'SJ data'!$A$4:$AD$58,11,0))</f>
        <v>65835</v>
      </c>
      <c r="Z63" s="184">
        <f>IF(ISERR(VLOOKUP(Z$44,'SJ data'!$A$4:$AD$58,11,0)="TRUE"),0,VLOOKUP(Z$44,'SJ data'!$A$4:$AD$58,11,0))</f>
        <v>0</v>
      </c>
      <c r="AA63" s="184">
        <f>IF(ISERR(VLOOKUP(AA$44,'SJ data'!$A$4:$AD$58,11,0)="TRUE"),0,VLOOKUP(AA$44,'SJ data'!$A$4:$AD$58,11,0))</f>
        <v>0</v>
      </c>
      <c r="AB63" s="184">
        <f>IF(ISERR(VLOOKUP(AB$44,'SJ data'!$A$4:$AD$58,11,0)="TRUE"),0,VLOOKUP(AB$44,'SJ data'!$A$4:$AD$58,11,0))</f>
        <v>11932.5</v>
      </c>
      <c r="AC63" s="184">
        <f>IF(ISERR(VLOOKUP(AC$44,'SJ data'!$A$4:$AD$58,11,0)="TRUE"),0,VLOOKUP(AC$44,'SJ data'!$A$4:$AD$58,11,0))</f>
        <v>58313.8</v>
      </c>
      <c r="AD63" s="184">
        <f>IF(ISERR(VLOOKUP(AD$44,'SJ data'!$A$4:$AD$58,11,0)="TRUE"),0,VLOOKUP(AD$44,'SJ data'!$A$4:$AD$58,11,0))</f>
        <v>0</v>
      </c>
      <c r="AE63" s="184">
        <f>IF(ISERR(VLOOKUP(AE$44,'SJ data'!$A$4:$AD$58,11,0)="TRUE"),0,VLOOKUP(AE$44,'SJ data'!$A$4:$AD$58,11,0))</f>
        <v>0</v>
      </c>
      <c r="AF63" s="184">
        <f>IF(ISERR(VLOOKUP(AF$44,'SJ data'!$A$4:$AD$58,11,0)="TRUE"),0,VLOOKUP(AF$44,'SJ data'!$A$4:$AD$58,11,0))</f>
        <v>0</v>
      </c>
      <c r="AG63" s="184">
        <f>IF(ISERR(VLOOKUP(AG$44,'SJ data'!$A$4:$AD$58,11,0)="TRUE"),0,VLOOKUP(AG$44,'SJ data'!$A$4:$AD$58,11,0))</f>
        <v>7086819.5700000003</v>
      </c>
      <c r="AH63" s="184">
        <f>IF(ISERR(VLOOKUP(AH$44,'SJ data'!$A$4:$AD$58,11,0)="TRUE"),0,VLOOKUP(AH$44,'SJ data'!$A$4:$AD$58,11,0))</f>
        <v>0</v>
      </c>
      <c r="AI63" s="184">
        <f>IF(ISERR(VLOOKUP(AI$44,'SJ data'!$A$4:$AD$58,11,0)="TRUE"),0,VLOOKUP(AI$44,'SJ data'!$A$4:$AD$58,11,0))</f>
        <v>0</v>
      </c>
      <c r="AJ63" s="184">
        <f>IF(ISERR(VLOOKUP(AJ$44,'SJ data'!$A$4:$AD$58,11,0)="TRUE"),0,VLOOKUP(AJ$44,'SJ data'!$A$4:$AD$58,11,0))</f>
        <v>1959857.37</v>
      </c>
      <c r="AK63" s="184">
        <f>IF(ISERR(VLOOKUP(AK$44,'SJ data'!$A$4:$AD$58,11,0)="TRUE"),0,VLOOKUP(AK$44,'SJ data'!$A$4:$AD$58,11,0))</f>
        <v>0</v>
      </c>
      <c r="AL63" s="184">
        <f>IF(ISERR(VLOOKUP(AL$44,'SJ data'!$A$4:$AD$58,11,0)="TRUE"),0,VLOOKUP(AL$44,'SJ data'!$A$4:$AD$58,11,0))</f>
        <v>0</v>
      </c>
      <c r="AM63" s="184">
        <f>IF(ISERR(VLOOKUP(AM$44,'SJ data'!$A$4:$AD$58,11,0)="TRUE"),0,VLOOKUP(AM$44,'SJ data'!$A$4:$AD$58,11,0))</f>
        <v>0</v>
      </c>
      <c r="AN63" s="184">
        <f>IF(ISERR(VLOOKUP(AN$44,'SJ data'!$A$4:$AD$58,11,0)="TRUE"),0,VLOOKUP(AN$44,'SJ data'!$A$4:$AD$58,11,0))</f>
        <v>0</v>
      </c>
      <c r="AO63" s="184">
        <f>IF(ISERR(VLOOKUP(AO$44,'SJ data'!$A$4:$AD$58,11,0)="TRUE"),0,VLOOKUP(AO$44,'SJ data'!$A$4:$AD$58,11,0))</f>
        <v>0</v>
      </c>
      <c r="AP63" s="184">
        <f>IF(ISERR(VLOOKUP(AP$44,'SJ data'!$A$4:$AD$58,11,0)="TRUE"),0,VLOOKUP(AP$44,'SJ data'!$A$4:$AD$58,11,0))</f>
        <v>0</v>
      </c>
      <c r="AQ63" s="184">
        <f>IF(ISERR(VLOOKUP(AQ$44,'SJ data'!$A$4:$AD$58,11,0)="TRUE"),0,VLOOKUP(AQ$44,'SJ data'!$A$4:$AD$58,11,0))</f>
        <v>0</v>
      </c>
      <c r="AR63" s="184">
        <f>IF(ISERR(VLOOKUP(AR$44,'SJ data'!$A$4:$AD$58,11,0)="TRUE"),0,VLOOKUP(AR$44,'SJ data'!$A$4:$AD$58,11,0))</f>
        <v>0</v>
      </c>
      <c r="AS63" s="184">
        <f>IF(ISERR(VLOOKUP(AS$44,'SJ data'!$A$4:$AD$58,11,0)="TRUE"),0,VLOOKUP(AS$44,'SJ data'!$A$4:$AD$58,11,0))</f>
        <v>0</v>
      </c>
      <c r="AT63" s="184">
        <f>IF(ISERR(VLOOKUP(AT$44,'SJ data'!$A$4:$AD$58,11,0)="TRUE"),0,VLOOKUP(AT$44,'SJ data'!$A$4:$AD$58,11,0))</f>
        <v>0</v>
      </c>
      <c r="AU63" s="184">
        <f>IF(ISERR(VLOOKUP(AU$44,'SJ data'!$A$4:$AD$58,11,0)="TRUE"),0,VLOOKUP(AU$44,'SJ data'!$A$4:$AD$58,11,0))</f>
        <v>0</v>
      </c>
      <c r="AV63" s="184">
        <f>IF(ISERR(VLOOKUP(AV$44,'SJ data'!$A$4:$AD$58,11,0)="TRUE"),0,VLOOKUP(AV$44,'SJ data'!$A$4:$AD$58,11,0))+'SJ data'!K57</f>
        <v>8024627.4500000002</v>
      </c>
      <c r="AW63" s="184">
        <f>IF(ISERR(VLOOKUP(AW$44,'SJ data'!$A$4:$AD$58,11,0)="TRUE"),0,VLOOKUP(AW$44,'SJ data'!$A$4:$AD$58,11,0))</f>
        <v>0</v>
      </c>
      <c r="AX63" s="184">
        <f>IF(ISERR(VLOOKUP(AX$44,'SJ data'!$A$4:$AD$58,11,0)="TRUE"),0,VLOOKUP(AX$44,'SJ data'!$A$4:$AD$58,11,0))</f>
        <v>0</v>
      </c>
      <c r="AY63" s="184">
        <f>IF(ISERR(VLOOKUP(AY$44,'SJ data'!$A$4:$AD$58,11,0)="TRUE"),0,VLOOKUP(AY$44,'SJ data'!$A$4:$AD$58,11,0))</f>
        <v>0</v>
      </c>
      <c r="AZ63" s="184">
        <f>IF(ISERR(VLOOKUP(AZ$44,'SJ data'!$A$4:$AD$58,11,0)="TRUE"),0,VLOOKUP(AZ$44,'SJ data'!$A$4:$AD$58,11,0))</f>
        <v>0</v>
      </c>
      <c r="BA63" s="184">
        <f>IF(ISERR(VLOOKUP(BA$44,'SJ data'!$A$4:$AD$58,11,0)="TRUE"),0,VLOOKUP(BA$44,'SJ data'!$A$4:$AD$58,11,0))</f>
        <v>0</v>
      </c>
      <c r="BB63" s="184">
        <f>IF(ISERR(VLOOKUP(BB$44,'SJ data'!$A$4:$AD$58,11,0)="TRUE"),0,VLOOKUP(BB$44,'SJ data'!$A$4:$AD$58,11,0))</f>
        <v>0</v>
      </c>
      <c r="BC63" s="184">
        <f>IF(ISERR(VLOOKUP(BC$44,'SJ data'!$A$4:$AD$58,11,0)="TRUE"),0,VLOOKUP(BC$44,'SJ data'!$A$4:$AD$58,11,0))</f>
        <v>0</v>
      </c>
      <c r="BD63" s="184">
        <f>IF(ISERR(VLOOKUP(BD$44,'SJ data'!$A$4:$AD$58,11,0)="TRUE"),0,VLOOKUP(BD$44,'SJ data'!$A$4:$AD$58,11,0))</f>
        <v>0</v>
      </c>
      <c r="BE63" s="184">
        <f>IF(ISERR(VLOOKUP(BE$44,'SJ data'!$A$4:$AD$58,11,0)="TRUE"),0,VLOOKUP(BE$44,'SJ data'!$A$4:$AD$58,11,0))</f>
        <v>0</v>
      </c>
      <c r="BF63" s="184">
        <f>IF(ISERR(VLOOKUP(BF$44,'SJ data'!$A$4:$AD$58,11,0)="TRUE"),0,VLOOKUP(BF$44,'SJ data'!$A$4:$AD$58,11,0))</f>
        <v>0</v>
      </c>
      <c r="BG63" s="184">
        <f>IF(ISERR(VLOOKUP(BG$44,'SJ data'!$A$4:$AD$58,11,0)="TRUE"),0,VLOOKUP(BG$44,'SJ data'!$A$4:$AD$58,11,0))</f>
        <v>0</v>
      </c>
      <c r="BH63" s="184">
        <f>IF(ISERR(VLOOKUP(BH$44,'SJ data'!$A$4:$AD$58,11,0)="TRUE"),0,VLOOKUP(BH$44,'SJ data'!$A$4:$AD$58,11,0))</f>
        <v>0</v>
      </c>
      <c r="BI63" s="184">
        <f>IF(ISERR(VLOOKUP(BI$44,'SJ data'!$A$4:$AD$58,11,0)="TRUE"),0,VLOOKUP(BI$44,'SJ data'!$A$4:$AD$58,11,0))</f>
        <v>0</v>
      </c>
      <c r="BJ63" s="184">
        <f>IF(ISERR(VLOOKUP(BJ$44,'SJ data'!$A$4:$AD$58,11,0)="TRUE"),0,VLOOKUP(BJ$44,'SJ data'!$A$4:$AD$58,11,0))</f>
        <v>0</v>
      </c>
      <c r="BK63" s="184">
        <f>IF(ISERR(VLOOKUP(BK$44,'SJ data'!$A$4:$AD$58,11,0)="TRUE"),0,VLOOKUP(BK$44,'SJ data'!$A$4:$AD$58,11,0))</f>
        <v>0</v>
      </c>
      <c r="BL63" s="184">
        <f>IF(ISERR(VLOOKUP(BL$44,'SJ data'!$A$4:$AD$58,11,0)="TRUE"),0,VLOOKUP(BL$44,'SJ data'!$A$4:$AD$58,11,0))</f>
        <v>0</v>
      </c>
      <c r="BM63" s="184">
        <f>IF(ISERR(VLOOKUP(BM$44,'SJ data'!$A$4:$AD$58,11,0)="TRUE"),0,VLOOKUP(BM$44,'SJ data'!$A$4:$AD$58,11,0))</f>
        <v>0</v>
      </c>
      <c r="BN63" s="184">
        <f>IF(ISERR(VLOOKUP(BN$44,'SJ data'!$A$4:$AD$58,11,0)="TRUE"),0,VLOOKUP(BN$44,'SJ data'!$A$4:$AD$58,11,0))</f>
        <v>220800</v>
      </c>
      <c r="BO63" s="184">
        <f>IF(ISERR(VLOOKUP(BO$44,'SJ data'!$A$4:$AD$58,11,0)="TRUE"),0,VLOOKUP(BO$44,'SJ data'!$A$4:$AD$58,11,0))</f>
        <v>0</v>
      </c>
      <c r="BP63" s="184">
        <f>IF(ISERR(VLOOKUP(BP$44,'SJ data'!$A$4:$AD$58,11,0)="TRUE"),0,VLOOKUP(BP$44,'SJ data'!$A$4:$AD$58,11,0))</f>
        <v>0</v>
      </c>
      <c r="BQ63" s="184">
        <f>IF(ISERR(VLOOKUP(BQ$44,'SJ data'!$A$4:$AD$58,11,0)="TRUE"),0,VLOOKUP(BQ$44,'SJ data'!$A$4:$AD$58,11,0))</f>
        <v>0</v>
      </c>
      <c r="BR63" s="184">
        <f>IF(ISERR(VLOOKUP(BR$44,'SJ data'!$A$4:$AD$58,11,0)="TRUE"),0,VLOOKUP(BR$44,'SJ data'!$A$4:$AD$58,11,0))</f>
        <v>0</v>
      </c>
      <c r="BS63" s="184">
        <f>IF(ISERR(VLOOKUP(BS$44,'SJ data'!$A$4:$AD$58,11,0)="TRUE"),0,VLOOKUP(BS$44,'SJ data'!$A$4:$AD$58,11,0))</f>
        <v>0</v>
      </c>
      <c r="BT63" s="184">
        <f>IF(ISERR(VLOOKUP(BT$44,'SJ data'!$A$4:$AD$58,11,0)="TRUE"),0,VLOOKUP(BT$44,'SJ data'!$A$4:$AD$58,11,0))</f>
        <v>0</v>
      </c>
      <c r="BU63" s="184">
        <f>IF(ISERR(VLOOKUP(BU$44,'SJ data'!$A$4:$AD$58,11,0)="TRUE"),0,VLOOKUP(BU$44,'SJ data'!$A$4:$AD$58,11,0))</f>
        <v>0</v>
      </c>
      <c r="BV63" s="184">
        <f>IF(ISERR(VLOOKUP(BV$44,'SJ data'!$A$4:$AD$58,11,0)="TRUE"),0,VLOOKUP(BV$44,'SJ data'!$A$4:$AD$58,11,0))</f>
        <v>0</v>
      </c>
      <c r="BW63" s="184">
        <f>IF(ISERR(VLOOKUP(BW$44,'SJ data'!$A$4:$AD$58,11,0)="TRUE"),0,VLOOKUP(BW$44,'SJ data'!$A$4:$AD$58,11,0))</f>
        <v>0</v>
      </c>
      <c r="BX63" s="184">
        <f>IF(ISERR(VLOOKUP(BX$44,'SJ data'!$A$4:$AD$58,11,0)="TRUE"),0,VLOOKUP(BX$44,'SJ data'!$A$4:$AD$58,11,0))</f>
        <v>0</v>
      </c>
      <c r="BY63" s="184">
        <f>IF(ISERR(VLOOKUP(BY$44,'SJ data'!$A$4:$AD$58,11,0)="TRUE"),0,VLOOKUP(BY$44,'SJ data'!$A$4:$AD$58,11,0))</f>
        <v>0</v>
      </c>
      <c r="BZ63" s="184">
        <f>IF(ISERR(VLOOKUP(BZ$44,'SJ data'!$A$4:$AD$58,11,0)="TRUE"),0,VLOOKUP(BZ$44,'SJ data'!$A$4:$AD$58,11,0))</f>
        <v>0</v>
      </c>
      <c r="CA63" s="184">
        <f>IF(ISERR(VLOOKUP(CA$44,'SJ data'!$A$4:$AD$58,11,0)="TRUE"),0,VLOOKUP(CA$44,'SJ data'!$A$4:$AD$58,11,0))</f>
        <v>0</v>
      </c>
      <c r="CB63" s="184">
        <f>IF(ISERR(VLOOKUP(CB$44,'SJ data'!$A$4:$AD$58,11,0)="TRUE"),0,VLOOKUP(CB$44,'SJ data'!$A$4:$AD$58,11,0))</f>
        <v>0</v>
      </c>
      <c r="CC63" s="184">
        <f>IF(ISERR(VLOOKUP(CC$44,'SJ data'!$A$4:$AD$58,11,0)="TRUE"),0,VLOOKUP(CC$44,'SJ data'!$A$4:$AD$58,11,0))</f>
        <v>27461.57</v>
      </c>
      <c r="CD63" s="249" t="s">
        <v>221</v>
      </c>
      <c r="CE63" s="195">
        <f t="shared" si="0"/>
        <v>29036332.350000001</v>
      </c>
      <c r="CF63" s="252"/>
    </row>
    <row r="64" spans="1:84" ht="12.6" customHeight="1" x14ac:dyDescent="0.25">
      <c r="A64" s="171" t="s">
        <v>237</v>
      </c>
      <c r="B64" s="175"/>
      <c r="C64" s="184">
        <f>IF(ISERR(VLOOKUP(C$44,'SJ data'!$A$4:$AD$58,14,0)="TRUE"),0,VLOOKUP(C$44,'SJ data'!$A$4:$AD$58,14,0))</f>
        <v>2673376.6900000004</v>
      </c>
      <c r="D64" s="184">
        <f>IF(ISERR(VLOOKUP(D$44,'SJ data'!$A$4:$AD$58,14,0)="TRUE"),0,VLOOKUP(D$44,'SJ data'!$A$4:$AD$58,14,0))</f>
        <v>0</v>
      </c>
      <c r="E64" s="184">
        <f>IF(ISERR(VLOOKUP(E$44,'SJ data'!$A$4:$AD$58,14,0)="TRUE"),0,VLOOKUP(E$44,'SJ data'!$A$4:$AD$58,14,0))</f>
        <v>3614829.4299999997</v>
      </c>
      <c r="F64" s="184">
        <f>IF(ISERR(VLOOKUP(F$44,'SJ data'!$A$4:$AD$58,14,0)="TRUE"),0,VLOOKUP(F$44,'SJ data'!$A$4:$AD$58,14,0))</f>
        <v>0</v>
      </c>
      <c r="G64" s="184">
        <f>IF(ISERR(VLOOKUP(G$44,'SJ data'!$A$4:$AD$58,14,0)="TRUE"),0,VLOOKUP(G$44,'SJ data'!$A$4:$AD$58,14,0))</f>
        <v>0</v>
      </c>
      <c r="H64" s="184">
        <f>IF(ISERR(VLOOKUP(H$44,'SJ data'!$A$4:$AD$58,14,0)="TRUE"),0,VLOOKUP(H$44,'SJ data'!$A$4:$AD$58,14,0))</f>
        <v>35209.789999999994</v>
      </c>
      <c r="I64" s="184">
        <f>IF(ISERR(VLOOKUP(I$44,'SJ data'!$A$4:$AD$58,14,0)="TRUE"),0,VLOOKUP(I$44,'SJ data'!$A$4:$AD$58,14,0))</f>
        <v>0</v>
      </c>
      <c r="J64" s="184">
        <f>IF(ISERR(VLOOKUP(J$44,'SJ data'!$A$4:$AD$58,14,0)="TRUE"),0,VLOOKUP(J$44,'SJ data'!$A$4:$AD$58,14,0))</f>
        <v>786296.46</v>
      </c>
      <c r="K64" s="184">
        <f>IF(ISERR(VLOOKUP(K$44,'SJ data'!$A$4:$AD$58,14,0)="TRUE"),0,VLOOKUP(K$44,'SJ data'!$A$4:$AD$58,14,0))</f>
        <v>0</v>
      </c>
      <c r="L64" s="184">
        <f>IF(ISERR(VLOOKUP(L$44,'SJ data'!$A$4:$AD$58,14,0)="TRUE"),0,VLOOKUP(L$44,'SJ data'!$A$4:$AD$58,14,0))</f>
        <v>0</v>
      </c>
      <c r="M64" s="184">
        <f>IF(ISERR(VLOOKUP(M$44,'SJ data'!$A$4:$AD$58,14,0)="TRUE"),0,VLOOKUP(M$44,'SJ data'!$A$4:$AD$58,14,0))</f>
        <v>0</v>
      </c>
      <c r="N64" s="184">
        <f>IF(ISERR(VLOOKUP(N$44,'SJ data'!$A$4:$AD$58,14,0)="TRUE"),0,VLOOKUP(N$44,'SJ data'!$A$4:$AD$58,14,0))</f>
        <v>0</v>
      </c>
      <c r="O64" s="184">
        <f>IF(ISERR(VLOOKUP(O$44,'SJ data'!$A$4:$AD$58,14,0)="TRUE"),0,VLOOKUP(O$44,'SJ data'!$A$4:$AD$58,14,0))</f>
        <v>1498880.67</v>
      </c>
      <c r="P64" s="184">
        <f>IF(ISERR(VLOOKUP(P$44,'SJ data'!$A$4:$AD$58,14,0)="TRUE"),0,VLOOKUP(P$44,'SJ data'!$A$4:$AD$58,14,0))</f>
        <v>48621250.450000197</v>
      </c>
      <c r="Q64" s="184">
        <f>IF(ISERR(VLOOKUP(Q$44,'SJ data'!$A$4:$AD$58,14,0)="TRUE"),0,VLOOKUP(Q$44,'SJ data'!$A$4:$AD$58,14,0))</f>
        <v>138414.9</v>
      </c>
      <c r="R64" s="184">
        <f>IF(ISERR(VLOOKUP(R$44,'SJ data'!$A$4:$AD$58,14,0)="TRUE"),0,VLOOKUP(R$44,'SJ data'!$A$4:$AD$58,14,0))</f>
        <v>0</v>
      </c>
      <c r="S64" s="184">
        <f>IF(ISERR(VLOOKUP(S$44,'SJ data'!$A$4:$AD$58,14,0)="TRUE"),0,VLOOKUP(S$44,'SJ data'!$A$4:$AD$58,14,0))</f>
        <v>-473928.58999999985</v>
      </c>
      <c r="T64" s="184">
        <f>IF(ISERR(VLOOKUP(T$44,'SJ data'!$A$4:$AD$58,14,0)="TRUE"),0,VLOOKUP(T$44,'SJ data'!$A$4:$AD$58,14,0))</f>
        <v>995925.56</v>
      </c>
      <c r="U64" s="184">
        <f>IF(ISERR(VLOOKUP(U$44,'SJ data'!$A$4:$AD$58,14,0)="TRUE"),0,VLOOKUP(U$44,'SJ data'!$A$4:$AD$58,14,0))</f>
        <v>6843402.6200000001</v>
      </c>
      <c r="V64" s="184">
        <f>IF(ISERR(VLOOKUP(V$44,'SJ data'!$A$4:$AD$58,14,0)="TRUE"),0,VLOOKUP(V$44,'SJ data'!$A$4:$AD$58,14,0))</f>
        <v>11893814.050000003</v>
      </c>
      <c r="W64" s="184">
        <f>IF(ISERR(VLOOKUP(W$44,'SJ data'!$A$4:$AD$58,14,0)="TRUE"),0,VLOOKUP(W$44,'SJ data'!$A$4:$AD$58,14,0))</f>
        <v>0</v>
      </c>
      <c r="X64" s="184">
        <f>IF(ISERR(VLOOKUP(X$44,'SJ data'!$A$4:$AD$58,14,0)="TRUE"),0,VLOOKUP(X$44,'SJ data'!$A$4:$AD$58,14,0))</f>
        <v>320998.67</v>
      </c>
      <c r="Y64" s="184">
        <f>IF(ISERR(VLOOKUP(Y$44,'SJ data'!$A$4:$AD$58,14,0)="TRUE"),0,VLOOKUP(Y$44,'SJ data'!$A$4:$AD$58,14,0))</f>
        <v>3902490.3899999992</v>
      </c>
      <c r="Z64" s="184">
        <f>IF(ISERR(VLOOKUP(Z$44,'SJ data'!$A$4:$AD$58,14,0)="TRUE"),0,VLOOKUP(Z$44,'SJ data'!$A$4:$AD$58,14,0))</f>
        <v>0</v>
      </c>
      <c r="AA64" s="184">
        <f>IF(ISERR(VLOOKUP(AA$44,'SJ data'!$A$4:$AD$58,14,0)="TRUE"),0,VLOOKUP(AA$44,'SJ data'!$A$4:$AD$58,14,0))</f>
        <v>775914.56</v>
      </c>
      <c r="AB64" s="184">
        <f>IF(ISERR(VLOOKUP(AB$44,'SJ data'!$A$4:$AD$58,14,0)="TRUE"),0,VLOOKUP(AB$44,'SJ data'!$A$4:$AD$58,14,0))</f>
        <v>16832556.860000003</v>
      </c>
      <c r="AC64" s="184">
        <f>IF(ISERR(VLOOKUP(AC$44,'SJ data'!$A$4:$AD$58,14,0)="TRUE"),0,VLOOKUP(AC$44,'SJ data'!$A$4:$AD$58,14,0))</f>
        <v>741924.97000000009</v>
      </c>
      <c r="AD64" s="184">
        <f>IF(ISERR(VLOOKUP(AD$44,'SJ data'!$A$4:$AD$58,14,0)="TRUE"),0,VLOOKUP(AD$44,'SJ data'!$A$4:$AD$58,14,0))</f>
        <v>58907.3</v>
      </c>
      <c r="AE64" s="184">
        <f>IF(ISERR(VLOOKUP(AE$44,'SJ data'!$A$4:$AD$58,14,0)="TRUE"),0,VLOOKUP(AE$44,'SJ data'!$A$4:$AD$58,14,0))</f>
        <v>45942.380000000005</v>
      </c>
      <c r="AF64" s="184">
        <f>IF(ISERR(VLOOKUP(AF$44,'SJ data'!$A$4:$AD$58,14,0)="TRUE"),0,VLOOKUP(AF$44,'SJ data'!$A$4:$AD$58,14,0))</f>
        <v>0</v>
      </c>
      <c r="AG64" s="184">
        <f>IF(ISERR(VLOOKUP(AG$44,'SJ data'!$A$4:$AD$58,14,0)="TRUE"),0,VLOOKUP(AG$44,'SJ data'!$A$4:$AD$58,14,0))</f>
        <v>1608205.62</v>
      </c>
      <c r="AH64" s="184">
        <f>IF(ISERR(VLOOKUP(AH$44,'SJ data'!$A$4:$AD$58,14,0)="TRUE"),0,VLOOKUP(AH$44,'SJ data'!$A$4:$AD$58,14,0))</f>
        <v>0</v>
      </c>
      <c r="AI64" s="184">
        <f>IF(ISERR(VLOOKUP(AI$44,'SJ data'!$A$4:$AD$58,14,0)="TRUE"),0,VLOOKUP(AI$44,'SJ data'!$A$4:$AD$58,14,0))</f>
        <v>859121.20000000007</v>
      </c>
      <c r="AJ64" s="184">
        <f>IF(ISERR(VLOOKUP(AJ$44,'SJ data'!$A$4:$AD$58,14,0)="TRUE"),0,VLOOKUP(AJ$44,'SJ data'!$A$4:$AD$58,14,0))</f>
        <v>6166694.6399999997</v>
      </c>
      <c r="AK64" s="184">
        <f>IF(ISERR(VLOOKUP(AK$44,'SJ data'!$A$4:$AD$58,14,0)="TRUE"),0,VLOOKUP(AK$44,'SJ data'!$A$4:$AD$58,14,0))</f>
        <v>4387.9300000000012</v>
      </c>
      <c r="AL64" s="184">
        <f>IF(ISERR(VLOOKUP(AL$44,'SJ data'!$A$4:$AD$58,14,0)="TRUE"),0,VLOOKUP(AL$44,'SJ data'!$A$4:$AD$58,14,0))</f>
        <v>1048.01</v>
      </c>
      <c r="AM64" s="184">
        <f>IF(ISERR(VLOOKUP(AM$44,'SJ data'!$A$4:$AD$58,14,0)="TRUE"),0,VLOOKUP(AM$44,'SJ data'!$A$4:$AD$58,14,0))</f>
        <v>0</v>
      </c>
      <c r="AN64" s="184">
        <f>IF(ISERR(VLOOKUP(AN$44,'SJ data'!$A$4:$AD$58,14,0)="TRUE"),0,VLOOKUP(AN$44,'SJ data'!$A$4:$AD$58,14,0))</f>
        <v>0</v>
      </c>
      <c r="AO64" s="184">
        <f>IF(ISERR(VLOOKUP(AO$44,'SJ data'!$A$4:$AD$58,14,0)="TRUE"),0,VLOOKUP(AO$44,'SJ data'!$A$4:$AD$58,14,0))</f>
        <v>0</v>
      </c>
      <c r="AP64" s="184">
        <f>IF(ISERR(VLOOKUP(AP$44,'SJ data'!$A$4:$AD$58,14,0)="TRUE"),0,VLOOKUP(AP$44,'SJ data'!$A$4:$AD$58,14,0))</f>
        <v>42245.260000000009</v>
      </c>
      <c r="AQ64" s="184">
        <f>IF(ISERR(VLOOKUP(AQ$44,'SJ data'!$A$4:$AD$58,14,0)="TRUE"),0,VLOOKUP(AQ$44,'SJ data'!$A$4:$AD$58,14,0))</f>
        <v>0</v>
      </c>
      <c r="AR64" s="184">
        <f>IF(ISERR(VLOOKUP(AR$44,'SJ data'!$A$4:$AD$58,14,0)="TRUE"),0,VLOOKUP(AR$44,'SJ data'!$A$4:$AD$58,14,0))</f>
        <v>1383453.9000000001</v>
      </c>
      <c r="AS64" s="184">
        <f>IF(ISERR(VLOOKUP(AS$44,'SJ data'!$A$4:$AD$58,14,0)="TRUE"),0,VLOOKUP(AS$44,'SJ data'!$A$4:$AD$58,14,0))</f>
        <v>0</v>
      </c>
      <c r="AT64" s="184">
        <f>IF(ISERR(VLOOKUP(AT$44,'SJ data'!$A$4:$AD$58,14,0)="TRUE"),0,VLOOKUP(AT$44,'SJ data'!$A$4:$AD$58,14,0))</f>
        <v>0</v>
      </c>
      <c r="AU64" s="184">
        <f>IF(ISERR(VLOOKUP(AU$44,'SJ data'!$A$4:$AD$58,14,0)="TRUE"),0,VLOOKUP(AU$44,'SJ data'!$A$4:$AD$58,14,0))</f>
        <v>0</v>
      </c>
      <c r="AV64" s="184">
        <f>IF(ISERR(VLOOKUP(AV$44,'SJ data'!$A$4:$AD$58,14,0)="TRUE"),0,VLOOKUP(AV$44,'SJ data'!$A$4:$AD$58,14,0))+'SJ data'!N57</f>
        <v>519740.61</v>
      </c>
      <c r="AW64" s="184">
        <f>IF(ISERR(VLOOKUP(AW$44,'SJ data'!$A$4:$AD$58,14,0)="TRUE"),0,VLOOKUP(AW$44,'SJ data'!$A$4:$AD$58,14,0))</f>
        <v>0</v>
      </c>
      <c r="AX64" s="184">
        <f>IF(ISERR(VLOOKUP(AX$44,'SJ data'!$A$4:$AD$58,14,0)="TRUE"),0,VLOOKUP(AX$44,'SJ data'!$A$4:$AD$58,14,0))</f>
        <v>0</v>
      </c>
      <c r="AY64" s="184">
        <f>IF(ISERR(VLOOKUP(AY$44,'SJ data'!$A$4:$AD$58,14,0)="TRUE"),0,VLOOKUP(AY$44,'SJ data'!$A$4:$AD$58,14,0))</f>
        <v>0</v>
      </c>
      <c r="AZ64" s="184">
        <f>IF(ISERR(VLOOKUP(AZ$44,'SJ data'!$A$4:$AD$58,14,0)="TRUE"),0,VLOOKUP(AZ$44,'SJ data'!$A$4:$AD$58,14,0))</f>
        <v>3139678.91</v>
      </c>
      <c r="BA64" s="184">
        <f>IF(ISERR(VLOOKUP(BA$44,'SJ data'!$A$4:$AD$58,14,0)="TRUE"),0,VLOOKUP(BA$44,'SJ data'!$A$4:$AD$58,14,0))</f>
        <v>14107.19</v>
      </c>
      <c r="BB64" s="184">
        <f>IF(ISERR(VLOOKUP(BB$44,'SJ data'!$A$4:$AD$58,14,0)="TRUE"),0,VLOOKUP(BB$44,'SJ data'!$A$4:$AD$58,14,0))</f>
        <v>0</v>
      </c>
      <c r="BC64" s="184">
        <f>IF(ISERR(VLOOKUP(BC$44,'SJ data'!$A$4:$AD$58,14,0)="TRUE"),0,VLOOKUP(BC$44,'SJ data'!$A$4:$AD$58,14,0))</f>
        <v>2054.06</v>
      </c>
      <c r="BD64" s="184">
        <f>IF(ISERR(VLOOKUP(BD$44,'SJ data'!$A$4:$AD$58,14,0)="TRUE"),0,VLOOKUP(BD$44,'SJ data'!$A$4:$AD$58,14,0))</f>
        <v>0</v>
      </c>
      <c r="BE64" s="184">
        <f>IF(ISERR(VLOOKUP(BE$44,'SJ data'!$A$4:$AD$58,14,0)="TRUE"),0,VLOOKUP(BE$44,'SJ data'!$A$4:$AD$58,14,0))</f>
        <v>8370.4000000000033</v>
      </c>
      <c r="BF64" s="184">
        <f>IF(ISERR(VLOOKUP(BF$44,'SJ data'!$A$4:$AD$58,14,0)="TRUE"),0,VLOOKUP(BF$44,'SJ data'!$A$4:$AD$58,14,0))</f>
        <v>547232.71000000008</v>
      </c>
      <c r="BG64" s="184">
        <f>IF(ISERR(VLOOKUP(BG$44,'SJ data'!$A$4:$AD$58,14,0)="TRUE"),0,VLOOKUP(BG$44,'SJ data'!$A$4:$AD$58,14,0))</f>
        <v>0</v>
      </c>
      <c r="BH64" s="184">
        <f>IF(ISERR(VLOOKUP(BH$44,'SJ data'!$A$4:$AD$58,14,0)="TRUE"),0,VLOOKUP(BH$44,'SJ data'!$A$4:$AD$58,14,0))</f>
        <v>0</v>
      </c>
      <c r="BI64" s="184">
        <f>IF(ISERR(VLOOKUP(BI$44,'SJ data'!$A$4:$AD$58,14,0)="TRUE"),0,VLOOKUP(BI$44,'SJ data'!$A$4:$AD$58,14,0))</f>
        <v>243178.85999999996</v>
      </c>
      <c r="BJ64" s="184">
        <f>IF(ISERR(VLOOKUP(BJ$44,'SJ data'!$A$4:$AD$58,14,0)="TRUE"),0,VLOOKUP(BJ$44,'SJ data'!$A$4:$AD$58,14,0))</f>
        <v>0</v>
      </c>
      <c r="BK64" s="184">
        <f>IF(ISERR(VLOOKUP(BK$44,'SJ data'!$A$4:$AD$58,14,0)="TRUE"),0,VLOOKUP(BK$44,'SJ data'!$A$4:$AD$58,14,0))</f>
        <v>0</v>
      </c>
      <c r="BL64" s="184">
        <f>IF(ISERR(VLOOKUP(BL$44,'SJ data'!$A$4:$AD$58,14,0)="TRUE"),0,VLOOKUP(BL$44,'SJ data'!$A$4:$AD$58,14,0))</f>
        <v>33372.85</v>
      </c>
      <c r="BM64" s="184">
        <f>IF(ISERR(VLOOKUP(BM$44,'SJ data'!$A$4:$AD$58,14,0)="TRUE"),0,VLOOKUP(BM$44,'SJ data'!$A$4:$AD$58,14,0))</f>
        <v>0</v>
      </c>
      <c r="BN64" s="184">
        <f>IF(ISERR(VLOOKUP(BN$44,'SJ data'!$A$4:$AD$58,14,0)="TRUE"),0,VLOOKUP(BN$44,'SJ data'!$A$4:$AD$58,14,0))</f>
        <v>5513.4</v>
      </c>
      <c r="BO64" s="184">
        <f>IF(ISERR(VLOOKUP(BO$44,'SJ data'!$A$4:$AD$58,14,0)="TRUE"),0,VLOOKUP(BO$44,'SJ data'!$A$4:$AD$58,14,0))</f>
        <v>0</v>
      </c>
      <c r="BP64" s="184">
        <f>IF(ISERR(VLOOKUP(BP$44,'SJ data'!$A$4:$AD$58,14,0)="TRUE"),0,VLOOKUP(BP$44,'SJ data'!$A$4:$AD$58,14,0))</f>
        <v>0</v>
      </c>
      <c r="BQ64" s="184">
        <f>IF(ISERR(VLOOKUP(BQ$44,'SJ data'!$A$4:$AD$58,14,0)="TRUE"),0,VLOOKUP(BQ$44,'SJ data'!$A$4:$AD$58,14,0))</f>
        <v>0</v>
      </c>
      <c r="BR64" s="184">
        <f>IF(ISERR(VLOOKUP(BR$44,'SJ data'!$A$4:$AD$58,14,0)="TRUE"),0,VLOOKUP(BR$44,'SJ data'!$A$4:$AD$58,14,0))</f>
        <v>0</v>
      </c>
      <c r="BS64" s="184">
        <f>IF(ISERR(VLOOKUP(BS$44,'SJ data'!$A$4:$AD$58,14,0)="TRUE"),0,VLOOKUP(BS$44,'SJ data'!$A$4:$AD$58,14,0))</f>
        <v>0</v>
      </c>
      <c r="BT64" s="184">
        <f>IF(ISERR(VLOOKUP(BT$44,'SJ data'!$A$4:$AD$58,14,0)="TRUE"),0,VLOOKUP(BT$44,'SJ data'!$A$4:$AD$58,14,0))</f>
        <v>302.35000000000002</v>
      </c>
      <c r="BU64" s="184">
        <f>IF(ISERR(VLOOKUP(BU$44,'SJ data'!$A$4:$AD$58,14,0)="TRUE"),0,VLOOKUP(BU$44,'SJ data'!$A$4:$AD$58,14,0))</f>
        <v>0</v>
      </c>
      <c r="BV64" s="184">
        <f>IF(ISERR(VLOOKUP(BV$44,'SJ data'!$A$4:$AD$58,14,0)="TRUE"),0,VLOOKUP(BV$44,'SJ data'!$A$4:$AD$58,14,0))</f>
        <v>0</v>
      </c>
      <c r="BW64" s="184">
        <f>IF(ISERR(VLOOKUP(BW$44,'SJ data'!$A$4:$AD$58,14,0)="TRUE"),0,VLOOKUP(BW$44,'SJ data'!$A$4:$AD$58,14,0))</f>
        <v>0</v>
      </c>
      <c r="BX64" s="184">
        <f>IF(ISERR(VLOOKUP(BX$44,'SJ data'!$A$4:$AD$58,14,0)="TRUE"),0,VLOOKUP(BX$44,'SJ data'!$A$4:$AD$58,14,0))</f>
        <v>0</v>
      </c>
      <c r="BY64" s="184">
        <f>IF(ISERR(VLOOKUP(BY$44,'SJ data'!$A$4:$AD$58,14,0)="TRUE"),0,VLOOKUP(BY$44,'SJ data'!$A$4:$AD$58,14,0))</f>
        <v>1822.54</v>
      </c>
      <c r="BZ64" s="184">
        <f>IF(ISERR(VLOOKUP(BZ$44,'SJ data'!$A$4:$AD$58,14,0)="TRUE"),0,VLOOKUP(BZ$44,'SJ data'!$A$4:$AD$58,14,0))</f>
        <v>0</v>
      </c>
      <c r="CA64" s="184">
        <f>IF(ISERR(VLOOKUP(CA$44,'SJ data'!$A$4:$AD$58,14,0)="TRUE"),0,VLOOKUP(CA$44,'SJ data'!$A$4:$AD$58,14,0))</f>
        <v>0</v>
      </c>
      <c r="CB64" s="184">
        <f>IF(ISERR(VLOOKUP(CB$44,'SJ data'!$A$4:$AD$58,14,0)="TRUE"),0,VLOOKUP(CB$44,'SJ data'!$A$4:$AD$58,14,0))</f>
        <v>1668.7200000000003</v>
      </c>
      <c r="CC64" s="184">
        <f>IF(ISERR(VLOOKUP(CC$44,'SJ data'!$A$4:$AD$58,14,0)="TRUE"),0,VLOOKUP(CC$44,'SJ data'!$A$4:$AD$58,14,0))</f>
        <v>11537.1</v>
      </c>
      <c r="CD64" s="249" t="s">
        <v>221</v>
      </c>
      <c r="CE64" s="195">
        <f t="shared" si="0"/>
        <v>113899943.42000021</v>
      </c>
      <c r="CF64" s="252"/>
    </row>
    <row r="65" spans="1:84" ht="12.6" customHeight="1" x14ac:dyDescent="0.25">
      <c r="A65" s="171" t="s">
        <v>238</v>
      </c>
      <c r="B65" s="175"/>
      <c r="C65" s="184">
        <f>IF(ISERR(VLOOKUP(C$44,'SJ data'!$A$4:$AD$58,12,0)="TRUE"),0,VLOOKUP(C$44,'SJ data'!$A$4:$AD$58,12,0))</f>
        <v>3036.16</v>
      </c>
      <c r="D65" s="184">
        <f>IF(ISERR(VLOOKUP(D$44,'SJ data'!$A$4:$AD$58,12,0)="TRUE"),0,VLOOKUP(D$44,'SJ data'!$A$4:$AD$58,12,0))</f>
        <v>0</v>
      </c>
      <c r="E65" s="184">
        <f>IF(ISERR(VLOOKUP(E$44,'SJ data'!$A$4:$AD$58,12,0)="TRUE"),0,VLOOKUP(E$44,'SJ data'!$A$4:$AD$58,12,0))</f>
        <v>5532.6799999999994</v>
      </c>
      <c r="F65" s="184">
        <f>IF(ISERR(VLOOKUP(F$44,'SJ data'!$A$4:$AD$58,12,0)="TRUE"),0,VLOOKUP(F$44,'SJ data'!$A$4:$AD$58,12,0))</f>
        <v>0</v>
      </c>
      <c r="G65" s="184">
        <f>IF(ISERR(VLOOKUP(G$44,'SJ data'!$A$4:$AD$58,12,0)="TRUE"),0,VLOOKUP(G$44,'SJ data'!$A$4:$AD$58,12,0))</f>
        <v>0</v>
      </c>
      <c r="H65" s="184">
        <f>IF(ISERR(VLOOKUP(H$44,'SJ data'!$A$4:$AD$58,12,0)="TRUE"),0,VLOOKUP(H$44,'SJ data'!$A$4:$AD$58,12,0))</f>
        <v>1228.7199999999998</v>
      </c>
      <c r="I65" s="184">
        <f>IF(ISERR(VLOOKUP(I$44,'SJ data'!$A$4:$AD$58,12,0)="TRUE"),0,VLOOKUP(I$44,'SJ data'!$A$4:$AD$58,12,0))</f>
        <v>0</v>
      </c>
      <c r="J65" s="184">
        <f>IF(ISERR(VLOOKUP(J$44,'SJ data'!$A$4:$AD$58,12,0)="TRUE"),0,VLOOKUP(J$44,'SJ data'!$A$4:$AD$58,12,0))</f>
        <v>1593.06</v>
      </c>
      <c r="K65" s="184">
        <f>IF(ISERR(VLOOKUP(K$44,'SJ data'!$A$4:$AD$58,12,0)="TRUE"),0,VLOOKUP(K$44,'SJ data'!$A$4:$AD$58,12,0))</f>
        <v>0</v>
      </c>
      <c r="L65" s="184">
        <f>IF(ISERR(VLOOKUP(L$44,'SJ data'!$A$4:$AD$58,12,0)="TRUE"),0,VLOOKUP(L$44,'SJ data'!$A$4:$AD$58,12,0))</f>
        <v>0</v>
      </c>
      <c r="M65" s="184">
        <f>IF(ISERR(VLOOKUP(M$44,'SJ data'!$A$4:$AD$58,12,0)="TRUE"),0,VLOOKUP(M$44,'SJ data'!$A$4:$AD$58,12,0))</f>
        <v>0</v>
      </c>
      <c r="N65" s="184">
        <f>IF(ISERR(VLOOKUP(N$44,'SJ data'!$A$4:$AD$58,12,0)="TRUE"),0,VLOOKUP(N$44,'SJ data'!$A$4:$AD$58,12,0))</f>
        <v>0</v>
      </c>
      <c r="O65" s="184">
        <f>IF(ISERR(VLOOKUP(O$44,'SJ data'!$A$4:$AD$58,12,0)="TRUE"),0,VLOOKUP(O$44,'SJ data'!$A$4:$AD$58,12,0))</f>
        <v>4141.2499999999991</v>
      </c>
      <c r="P65" s="184">
        <f>IF(ISERR(VLOOKUP(P$44,'SJ data'!$A$4:$AD$58,12,0)="TRUE"),0,VLOOKUP(P$44,'SJ data'!$A$4:$AD$58,12,0))</f>
        <v>11122.660000000002</v>
      </c>
      <c r="Q65" s="184">
        <f>IF(ISERR(VLOOKUP(Q$44,'SJ data'!$A$4:$AD$58,12,0)="TRUE"),0,VLOOKUP(Q$44,'SJ data'!$A$4:$AD$58,12,0))</f>
        <v>809.21999999999991</v>
      </c>
      <c r="R65" s="184">
        <f>IF(ISERR(VLOOKUP(R$44,'SJ data'!$A$4:$AD$58,12,0)="TRUE"),0,VLOOKUP(R$44,'SJ data'!$A$4:$AD$58,12,0))</f>
        <v>0</v>
      </c>
      <c r="S65" s="184">
        <f>IF(ISERR(VLOOKUP(S$44,'SJ data'!$A$4:$AD$58,12,0)="TRUE"),0,VLOOKUP(S$44,'SJ data'!$A$4:$AD$58,12,0))</f>
        <v>0</v>
      </c>
      <c r="T65" s="184">
        <f>IF(ISERR(VLOOKUP(T$44,'SJ data'!$A$4:$AD$58,12,0)="TRUE"),0,VLOOKUP(T$44,'SJ data'!$A$4:$AD$58,12,0))</f>
        <v>666.87</v>
      </c>
      <c r="U65" s="184">
        <f>IF(ISERR(VLOOKUP(U$44,'SJ data'!$A$4:$AD$58,12,0)="TRUE"),0,VLOOKUP(U$44,'SJ data'!$A$4:$AD$58,12,0))</f>
        <v>239097.44999999998</v>
      </c>
      <c r="V65" s="184">
        <f>IF(ISERR(VLOOKUP(V$44,'SJ data'!$A$4:$AD$58,12,0)="TRUE"),0,VLOOKUP(V$44,'SJ data'!$A$4:$AD$58,12,0))</f>
        <v>0</v>
      </c>
      <c r="W65" s="184">
        <f>IF(ISERR(VLOOKUP(W$44,'SJ data'!$A$4:$AD$58,12,0)="TRUE"),0,VLOOKUP(W$44,'SJ data'!$A$4:$AD$58,12,0))</f>
        <v>0</v>
      </c>
      <c r="X65" s="184">
        <f>IF(ISERR(VLOOKUP(X$44,'SJ data'!$A$4:$AD$58,12,0)="TRUE"),0,VLOOKUP(X$44,'SJ data'!$A$4:$AD$58,12,0))</f>
        <v>325.64999999999998</v>
      </c>
      <c r="Y65" s="184">
        <f>IF(ISERR(VLOOKUP(Y$44,'SJ data'!$A$4:$AD$58,12,0)="TRUE"),0,VLOOKUP(Y$44,'SJ data'!$A$4:$AD$58,12,0))</f>
        <v>6047.76</v>
      </c>
      <c r="Z65" s="184">
        <f>IF(ISERR(VLOOKUP(Z$44,'SJ data'!$A$4:$AD$58,12,0)="TRUE"),0,VLOOKUP(Z$44,'SJ data'!$A$4:$AD$58,12,0))</f>
        <v>0</v>
      </c>
      <c r="AA65" s="184">
        <f>IF(ISERR(VLOOKUP(AA$44,'SJ data'!$A$4:$AD$58,12,0)="TRUE"),0,VLOOKUP(AA$44,'SJ data'!$A$4:$AD$58,12,0))</f>
        <v>0</v>
      </c>
      <c r="AB65" s="184">
        <f>IF(ISERR(VLOOKUP(AB$44,'SJ data'!$A$4:$AD$58,12,0)="TRUE"),0,VLOOKUP(AB$44,'SJ data'!$A$4:$AD$58,12,0))</f>
        <v>5431.35</v>
      </c>
      <c r="AC65" s="184">
        <f>IF(ISERR(VLOOKUP(AC$44,'SJ data'!$A$4:$AD$58,12,0)="TRUE"),0,VLOOKUP(AC$44,'SJ data'!$A$4:$AD$58,12,0))</f>
        <v>806.59</v>
      </c>
      <c r="AD65" s="184">
        <f>IF(ISERR(VLOOKUP(AD$44,'SJ data'!$A$4:$AD$58,12,0)="TRUE"),0,VLOOKUP(AD$44,'SJ data'!$A$4:$AD$58,12,0))</f>
        <v>3645.2</v>
      </c>
      <c r="AE65" s="184">
        <f>IF(ISERR(VLOOKUP(AE$44,'SJ data'!$A$4:$AD$58,12,0)="TRUE"),0,VLOOKUP(AE$44,'SJ data'!$A$4:$AD$58,12,0))</f>
        <v>1396.48</v>
      </c>
      <c r="AF65" s="184">
        <f>IF(ISERR(VLOOKUP(AF$44,'SJ data'!$A$4:$AD$58,12,0)="TRUE"),0,VLOOKUP(AF$44,'SJ data'!$A$4:$AD$58,12,0))</f>
        <v>0</v>
      </c>
      <c r="AG65" s="184">
        <f>IF(ISERR(VLOOKUP(AG$44,'SJ data'!$A$4:$AD$58,12,0)="TRUE"),0,VLOOKUP(AG$44,'SJ data'!$A$4:$AD$58,12,0))</f>
        <v>989.45</v>
      </c>
      <c r="AH65" s="184">
        <f>IF(ISERR(VLOOKUP(AH$44,'SJ data'!$A$4:$AD$58,12,0)="TRUE"),0,VLOOKUP(AH$44,'SJ data'!$A$4:$AD$58,12,0))</f>
        <v>0</v>
      </c>
      <c r="AI65" s="184">
        <f>IF(ISERR(VLOOKUP(AI$44,'SJ data'!$A$4:$AD$58,12,0)="TRUE"),0,VLOOKUP(AI$44,'SJ data'!$A$4:$AD$58,12,0))</f>
        <v>1738.85</v>
      </c>
      <c r="AJ65" s="184">
        <f>IF(ISERR(VLOOKUP(AJ$44,'SJ data'!$A$4:$AD$58,12,0)="TRUE"),0,VLOOKUP(AJ$44,'SJ data'!$A$4:$AD$58,12,0))</f>
        <v>431194.55999999994</v>
      </c>
      <c r="AK65" s="184">
        <f>IF(ISERR(VLOOKUP(AK$44,'SJ data'!$A$4:$AD$58,12,0)="TRUE"),0,VLOOKUP(AK$44,'SJ data'!$A$4:$AD$58,12,0))</f>
        <v>995.44</v>
      </c>
      <c r="AL65" s="184">
        <f>IF(ISERR(VLOOKUP(AL$44,'SJ data'!$A$4:$AD$58,12,0)="TRUE"),0,VLOOKUP(AL$44,'SJ data'!$A$4:$AD$58,12,0))</f>
        <v>634.53</v>
      </c>
      <c r="AM65" s="184">
        <f>IF(ISERR(VLOOKUP(AM$44,'SJ data'!$A$4:$AD$58,12,0)="TRUE"),0,VLOOKUP(AM$44,'SJ data'!$A$4:$AD$58,12,0))</f>
        <v>0</v>
      </c>
      <c r="AN65" s="184">
        <f>IF(ISERR(VLOOKUP(AN$44,'SJ data'!$A$4:$AD$58,12,0)="TRUE"),0,VLOOKUP(AN$44,'SJ data'!$A$4:$AD$58,12,0))</f>
        <v>0</v>
      </c>
      <c r="AO65" s="184">
        <f>IF(ISERR(VLOOKUP(AO$44,'SJ data'!$A$4:$AD$58,12,0)="TRUE"),0,VLOOKUP(AO$44,'SJ data'!$A$4:$AD$58,12,0))</f>
        <v>0</v>
      </c>
      <c r="AP65" s="184">
        <f>IF(ISERR(VLOOKUP(AP$44,'SJ data'!$A$4:$AD$58,12,0)="TRUE"),0,VLOOKUP(AP$44,'SJ data'!$A$4:$AD$58,12,0))</f>
        <v>31998.120000000003</v>
      </c>
      <c r="AQ65" s="184">
        <f>IF(ISERR(VLOOKUP(AQ$44,'SJ data'!$A$4:$AD$58,12,0)="TRUE"),0,VLOOKUP(AQ$44,'SJ data'!$A$4:$AD$58,12,0))</f>
        <v>0</v>
      </c>
      <c r="AR65" s="184">
        <f>IF(ISERR(VLOOKUP(AR$44,'SJ data'!$A$4:$AD$58,12,0)="TRUE"),0,VLOOKUP(AR$44,'SJ data'!$A$4:$AD$58,12,0))</f>
        <v>349320.73000000004</v>
      </c>
      <c r="AS65" s="184">
        <f>IF(ISERR(VLOOKUP(AS$44,'SJ data'!$A$4:$AD$58,12,0)="TRUE"),0,VLOOKUP(AS$44,'SJ data'!$A$4:$AD$58,12,0))</f>
        <v>0</v>
      </c>
      <c r="AT65" s="184">
        <f>IF(ISERR(VLOOKUP(AT$44,'SJ data'!$A$4:$AD$58,12,0)="TRUE"),0,VLOOKUP(AT$44,'SJ data'!$A$4:$AD$58,12,0))</f>
        <v>0</v>
      </c>
      <c r="AU65" s="184">
        <f>IF(ISERR(VLOOKUP(AU$44,'SJ data'!$A$4:$AD$58,12,0)="TRUE"),0,VLOOKUP(AU$44,'SJ data'!$A$4:$AD$58,12,0))</f>
        <v>0</v>
      </c>
      <c r="AV65" s="184">
        <f>IF(ISERR(VLOOKUP(AV$44,'SJ data'!$A$4:$AD$58,12,0)="TRUE"),0,VLOOKUP(AV$44,'SJ data'!$A$4:$AD$58,12,0))</f>
        <v>9558.4599999999991</v>
      </c>
      <c r="AW65" s="184">
        <f>IF(ISERR(VLOOKUP(AW$44,'SJ data'!$A$4:$AD$58,12,0)="TRUE"),0,VLOOKUP(AW$44,'SJ data'!$A$4:$AD$58,12,0))</f>
        <v>0</v>
      </c>
      <c r="AX65" s="184">
        <f>IF(ISERR(VLOOKUP(AX$44,'SJ data'!$A$4:$AD$58,12,0)="TRUE"),0,VLOOKUP(AX$44,'SJ data'!$A$4:$AD$58,12,0))</f>
        <v>0</v>
      </c>
      <c r="AY65" s="184">
        <f>IF(ISERR(VLOOKUP(AY$44,'SJ data'!$A$4:$AD$58,12,0)="TRUE"),0,VLOOKUP(AY$44,'SJ data'!$A$4:$AD$58,12,0))</f>
        <v>0</v>
      </c>
      <c r="AZ65" s="184">
        <f>IF(ISERR(VLOOKUP(AZ$44,'SJ data'!$A$4:$AD$58,12,0)="TRUE"),0,VLOOKUP(AZ$44,'SJ data'!$A$4:$AD$58,12,0))</f>
        <v>2035.88</v>
      </c>
      <c r="BA65" s="184">
        <f>IF(ISERR(VLOOKUP(BA$44,'SJ data'!$A$4:$AD$58,12,0)="TRUE"),0,VLOOKUP(BA$44,'SJ data'!$A$4:$AD$58,12,0))</f>
        <v>0</v>
      </c>
      <c r="BB65" s="184">
        <f>IF(ISERR(VLOOKUP(BB$44,'SJ data'!$A$4:$AD$58,12,0)="TRUE"),0,VLOOKUP(BB$44,'SJ data'!$A$4:$AD$58,12,0))</f>
        <v>0</v>
      </c>
      <c r="BC65" s="184">
        <f>IF(ISERR(VLOOKUP(BC$44,'SJ data'!$A$4:$AD$58,12,0)="TRUE"),0,VLOOKUP(BC$44,'SJ data'!$A$4:$AD$58,12,0))</f>
        <v>102.51</v>
      </c>
      <c r="BD65" s="184">
        <f>IF(ISERR(VLOOKUP(BD$44,'SJ data'!$A$4:$AD$58,12,0)="TRUE"),0,VLOOKUP(BD$44,'SJ data'!$A$4:$AD$58,12,0))</f>
        <v>0</v>
      </c>
      <c r="BE65" s="184">
        <f>IF(ISERR(VLOOKUP(BE$44,'SJ data'!$A$4:$AD$58,12,0)="TRUE"),0,VLOOKUP(BE$44,'SJ data'!$A$4:$AD$58,12,0))</f>
        <v>3263454.49</v>
      </c>
      <c r="BF65" s="184">
        <f>IF(ISERR(VLOOKUP(BF$44,'SJ data'!$A$4:$AD$58,12,0)="TRUE"),0,VLOOKUP(BF$44,'SJ data'!$A$4:$AD$58,12,0))</f>
        <v>955.02</v>
      </c>
      <c r="BG65" s="184">
        <f>IF(ISERR(VLOOKUP(BG$44,'SJ data'!$A$4:$AD$58,12,0)="TRUE"),0,VLOOKUP(BG$44,'SJ data'!$A$4:$AD$58,12,0))</f>
        <v>0</v>
      </c>
      <c r="BH65" s="184">
        <f>IF(ISERR(VLOOKUP(BH$44,'SJ data'!$A$4:$AD$58,12,0)="TRUE"),0,VLOOKUP(BH$44,'SJ data'!$A$4:$AD$58,12,0))</f>
        <v>0</v>
      </c>
      <c r="BI65" s="184">
        <f>IF(ISERR(VLOOKUP(BI$44,'SJ data'!$A$4:$AD$58,12,0)="TRUE"),0,VLOOKUP(BI$44,'SJ data'!$A$4:$AD$58,12,0))</f>
        <v>0</v>
      </c>
      <c r="BJ65" s="184">
        <f>IF(ISERR(VLOOKUP(BJ$44,'SJ data'!$A$4:$AD$58,12,0)="TRUE"),0,VLOOKUP(BJ$44,'SJ data'!$A$4:$AD$58,12,0))</f>
        <v>0</v>
      </c>
      <c r="BK65" s="184">
        <f>IF(ISERR(VLOOKUP(BK$44,'SJ data'!$A$4:$AD$58,12,0)="TRUE"),0,VLOOKUP(BK$44,'SJ data'!$A$4:$AD$58,12,0))</f>
        <v>0</v>
      </c>
      <c r="BL65" s="184">
        <f>IF(ISERR(VLOOKUP(BL$44,'SJ data'!$A$4:$AD$58,12,0)="TRUE"),0,VLOOKUP(BL$44,'SJ data'!$A$4:$AD$58,12,0))</f>
        <v>335.7</v>
      </c>
      <c r="BM65" s="184">
        <f>IF(ISERR(VLOOKUP(BM$44,'SJ data'!$A$4:$AD$58,12,0)="TRUE"),0,VLOOKUP(BM$44,'SJ data'!$A$4:$AD$58,12,0))</f>
        <v>0</v>
      </c>
      <c r="BN65" s="184">
        <f>IF(ISERR(VLOOKUP(BN$44,'SJ data'!$A$4:$AD$58,12,0)="TRUE"),0,VLOOKUP(BN$44,'SJ data'!$A$4:$AD$58,12,0))</f>
        <v>2592.25</v>
      </c>
      <c r="BO65" s="184">
        <f>IF(ISERR(VLOOKUP(BO$44,'SJ data'!$A$4:$AD$58,12,0)="TRUE"),0,VLOOKUP(BO$44,'SJ data'!$A$4:$AD$58,12,0))</f>
        <v>0</v>
      </c>
      <c r="BP65" s="184">
        <f>IF(ISERR(VLOOKUP(BP$44,'SJ data'!$A$4:$AD$58,12,0)="TRUE"),0,VLOOKUP(BP$44,'SJ data'!$A$4:$AD$58,12,0))</f>
        <v>0</v>
      </c>
      <c r="BQ65" s="184">
        <f>IF(ISERR(VLOOKUP(BQ$44,'SJ data'!$A$4:$AD$58,12,0)="TRUE"),0,VLOOKUP(BQ$44,'SJ data'!$A$4:$AD$58,12,0))</f>
        <v>0</v>
      </c>
      <c r="BR65" s="184">
        <f>IF(ISERR(VLOOKUP(BR$44,'SJ data'!$A$4:$AD$58,12,0)="TRUE"),0,VLOOKUP(BR$44,'SJ data'!$A$4:$AD$58,12,0))</f>
        <v>0</v>
      </c>
      <c r="BS65" s="184">
        <f>IF(ISERR(VLOOKUP(BS$44,'SJ data'!$A$4:$AD$58,12,0)="TRUE"),0,VLOOKUP(BS$44,'SJ data'!$A$4:$AD$58,12,0))</f>
        <v>0</v>
      </c>
      <c r="BT65" s="184">
        <f>IF(ISERR(VLOOKUP(BT$44,'SJ data'!$A$4:$AD$58,12,0)="TRUE"),0,VLOOKUP(BT$44,'SJ data'!$A$4:$AD$58,12,0))</f>
        <v>0</v>
      </c>
      <c r="BU65" s="184">
        <f>IF(ISERR(VLOOKUP(BU$44,'SJ data'!$A$4:$AD$58,12,0)="TRUE"),0,VLOOKUP(BU$44,'SJ data'!$A$4:$AD$58,12,0))</f>
        <v>0</v>
      </c>
      <c r="BV65" s="184">
        <f>IF(ISERR(VLOOKUP(BV$44,'SJ data'!$A$4:$AD$58,12,0)="TRUE"),0,VLOOKUP(BV$44,'SJ data'!$A$4:$AD$58,12,0))</f>
        <v>0</v>
      </c>
      <c r="BW65" s="184">
        <f>IF(ISERR(VLOOKUP(BW$44,'SJ data'!$A$4:$AD$58,12,0)="TRUE"),0,VLOOKUP(BW$44,'SJ data'!$A$4:$AD$58,12,0))</f>
        <v>0</v>
      </c>
      <c r="BX65" s="184">
        <f>IF(ISERR(VLOOKUP(BX$44,'SJ data'!$A$4:$AD$58,12,0)="TRUE"),0,VLOOKUP(BX$44,'SJ data'!$A$4:$AD$58,12,0))</f>
        <v>0</v>
      </c>
      <c r="BY65" s="184">
        <f>IF(ISERR(VLOOKUP(BY$44,'SJ data'!$A$4:$AD$58,12,0)="TRUE"),0,VLOOKUP(BY$44,'SJ data'!$A$4:$AD$58,12,0))</f>
        <v>1926.17</v>
      </c>
      <c r="BZ65" s="184">
        <f>IF(ISERR(VLOOKUP(BZ$44,'SJ data'!$A$4:$AD$58,12,0)="TRUE"),0,VLOOKUP(BZ$44,'SJ data'!$A$4:$AD$58,12,0))</f>
        <v>0</v>
      </c>
      <c r="CA65" s="184">
        <f>IF(ISERR(VLOOKUP(CA$44,'SJ data'!$A$4:$AD$58,12,0)="TRUE"),0,VLOOKUP(CA$44,'SJ data'!$A$4:$AD$58,12,0))</f>
        <v>0</v>
      </c>
      <c r="CB65" s="184">
        <f>IF(ISERR(VLOOKUP(CB$44,'SJ data'!$A$4:$AD$58,12,0)="TRUE"),0,VLOOKUP(CB$44,'SJ data'!$A$4:$AD$58,12,0))</f>
        <v>0</v>
      </c>
      <c r="CC65" s="184">
        <f>IF(ISERR(VLOOKUP(CC$44,'SJ data'!$A$4:$AD$58,12,0)="TRUE"),0,VLOOKUP(CC$44,'SJ data'!$A$4:$AD$58,12,0))+'SJ data'!L57</f>
        <v>24.299999999999997</v>
      </c>
      <c r="CD65" s="249" t="s">
        <v>221</v>
      </c>
      <c r="CE65" s="195">
        <f t="shared" si="0"/>
        <v>4382737.5599999996</v>
      </c>
      <c r="CF65" s="252"/>
    </row>
    <row r="66" spans="1:84" ht="12.6" customHeight="1" x14ac:dyDescent="0.25">
      <c r="A66" s="171" t="s">
        <v>239</v>
      </c>
      <c r="B66" s="175"/>
      <c r="C66" s="184">
        <f>IF(ISERR(VLOOKUP(C$44,'SJ data'!$A$4:$AD$58,10,0)="TRUE"),0,VLOOKUP(C$44,'SJ data'!$A$4:$AD$58,10,0))</f>
        <v>205444.63</v>
      </c>
      <c r="D66" s="184">
        <f>IF(ISERR(VLOOKUP(D$44,'SJ data'!$A$4:$AD$58,10,0)="TRUE"),0,VLOOKUP(D$44,'SJ data'!$A$4:$AD$58,10,0))</f>
        <v>0</v>
      </c>
      <c r="E66" s="184">
        <f>IF(ISERR(VLOOKUP(E$44,'SJ data'!$A$4:$AD$58,10,0)="TRUE"),0,VLOOKUP(E$44,'SJ data'!$A$4:$AD$58,10,0))</f>
        <v>3072497.2115499997</v>
      </c>
      <c r="F66" s="184">
        <f>IF(ISERR(VLOOKUP(F$44,'SJ data'!$A$4:$AD$58,10,0)="TRUE"),0,VLOOKUP(F$44,'SJ data'!$A$4:$AD$58,10,0))</f>
        <v>0</v>
      </c>
      <c r="G66" s="184">
        <f>IF(ISERR(VLOOKUP(G$44,'SJ data'!$A$4:$AD$58,10,0)="TRUE"),0,VLOOKUP(G$44,'SJ data'!$A$4:$AD$58,10,0))</f>
        <v>170094.19945000001</v>
      </c>
      <c r="H66" s="184">
        <f>IF(ISERR(VLOOKUP(H$44,'SJ data'!$A$4:$AD$58,10,0)="TRUE"),0,VLOOKUP(H$44,'SJ data'!$A$4:$AD$58,10,0))</f>
        <v>99220.95</v>
      </c>
      <c r="I66" s="184">
        <f>IF(ISERR(VLOOKUP(I$44,'SJ data'!$A$4:$AD$58,10,0)="TRUE"),0,VLOOKUP(I$44,'SJ data'!$A$4:$AD$58,10,0))</f>
        <v>0</v>
      </c>
      <c r="J66" s="184">
        <f>IF(ISERR(VLOOKUP(J$44,'SJ data'!$A$4:$AD$58,10,0)="TRUE"),0,VLOOKUP(J$44,'SJ data'!$A$4:$AD$58,10,0))</f>
        <v>422576.01000000007</v>
      </c>
      <c r="K66" s="184">
        <f>IF(ISERR(VLOOKUP(K$44,'SJ data'!$A$4:$AD$58,10,0)="TRUE"),0,VLOOKUP(K$44,'SJ data'!$A$4:$AD$58,10,0))</f>
        <v>0</v>
      </c>
      <c r="L66" s="184">
        <f>IF(ISERR(VLOOKUP(L$44,'SJ data'!$A$4:$AD$58,10,0)="TRUE"),0,VLOOKUP(L$44,'SJ data'!$A$4:$AD$58,10,0))</f>
        <v>0</v>
      </c>
      <c r="M66" s="184">
        <f>IF(ISERR(VLOOKUP(M$44,'SJ data'!$A$4:$AD$58,10,0)="TRUE"),0,VLOOKUP(M$44,'SJ data'!$A$4:$AD$58,10,0))</f>
        <v>0</v>
      </c>
      <c r="N66" s="184">
        <f>IF(ISERR(VLOOKUP(N$44,'SJ data'!$A$4:$AD$58,10,0)="TRUE"),0,VLOOKUP(N$44,'SJ data'!$A$4:$AD$58,10,0))</f>
        <v>0</v>
      </c>
      <c r="O66" s="184">
        <f>IF(ISERR(VLOOKUP(O$44,'SJ data'!$A$4:$AD$58,10,0)="TRUE"),0,VLOOKUP(O$44,'SJ data'!$A$4:$AD$58,10,0))</f>
        <v>556763.72</v>
      </c>
      <c r="P66" s="184">
        <f>IF(ISERR(VLOOKUP(P$44,'SJ data'!$A$4:$AD$58,10,0)="TRUE"),0,VLOOKUP(P$44,'SJ data'!$A$4:$AD$58,10,0))</f>
        <v>4718069.5893000001</v>
      </c>
      <c r="Q66" s="184">
        <f>IF(ISERR(VLOOKUP(Q$44,'SJ data'!$A$4:$AD$58,10,0)="TRUE"),0,VLOOKUP(Q$44,'SJ data'!$A$4:$AD$58,10,0))</f>
        <v>19207.579999999998</v>
      </c>
      <c r="R66" s="184">
        <f>IF(ISERR(VLOOKUP(R$44,'SJ data'!$A$4:$AD$58,10,0)="TRUE"),0,VLOOKUP(R$44,'SJ data'!$A$4:$AD$58,10,0))</f>
        <v>0</v>
      </c>
      <c r="S66" s="184">
        <f>IF(ISERR(VLOOKUP(S$44,'SJ data'!$A$4:$AD$58,10,0)="TRUE"),0,VLOOKUP(S$44,'SJ data'!$A$4:$AD$58,10,0))</f>
        <v>843496.45262254984</v>
      </c>
      <c r="T66" s="184">
        <f>IF(ISERR(VLOOKUP(T$44,'SJ data'!$A$4:$AD$58,10,0)="TRUE"),0,VLOOKUP(T$44,'SJ data'!$A$4:$AD$58,10,0))</f>
        <v>-556289.41129999992</v>
      </c>
      <c r="U66" s="184">
        <f>IF(ISERR(VLOOKUP(U$44,'SJ data'!$A$4:$AD$58,10,0)="TRUE"),0,VLOOKUP(U$44,'SJ data'!$A$4:$AD$58,10,0))</f>
        <v>4049407.5500000007</v>
      </c>
      <c r="V66" s="184">
        <f>IF(ISERR(VLOOKUP(V$44,'SJ data'!$A$4:$AD$58,10,0)="TRUE"),0,VLOOKUP(V$44,'SJ data'!$A$4:$AD$58,10,0))</f>
        <v>407200.12</v>
      </c>
      <c r="W66" s="184">
        <f>IF(ISERR(VLOOKUP(W$44,'SJ data'!$A$4:$AD$58,10,0)="TRUE"),0,VLOOKUP(W$44,'SJ data'!$A$4:$AD$58,10,0))</f>
        <v>0</v>
      </c>
      <c r="X66" s="184">
        <f>IF(ISERR(VLOOKUP(X$44,'SJ data'!$A$4:$AD$58,10,0)="TRUE"),0,VLOOKUP(X$44,'SJ data'!$A$4:$AD$58,10,0))</f>
        <v>261404.14</v>
      </c>
      <c r="Y66" s="184">
        <f>IF(ISERR(VLOOKUP(Y$44,'SJ data'!$A$4:$AD$58,10,0)="TRUE"),0,VLOOKUP(Y$44,'SJ data'!$A$4:$AD$58,10,0))</f>
        <v>2238682.38</v>
      </c>
      <c r="Z66" s="184">
        <f>IF(ISERR(VLOOKUP(Z$44,'SJ data'!$A$4:$AD$58,10,0)="TRUE"),0,VLOOKUP(Z$44,'SJ data'!$A$4:$AD$58,10,0))</f>
        <v>0</v>
      </c>
      <c r="AA66" s="184">
        <f>IF(ISERR(VLOOKUP(AA$44,'SJ data'!$A$4:$AD$58,10,0)="TRUE"),0,VLOOKUP(AA$44,'SJ data'!$A$4:$AD$58,10,0))</f>
        <v>121850.64999999998</v>
      </c>
      <c r="AB66" s="184">
        <f>IF(ISERR(VLOOKUP(AB$44,'SJ data'!$A$4:$AD$58,10,0)="TRUE"),0,VLOOKUP(AB$44,'SJ data'!$A$4:$AD$58,10,0))</f>
        <v>1635495.8600000003</v>
      </c>
      <c r="AC66" s="184">
        <f>IF(ISERR(VLOOKUP(AC$44,'SJ data'!$A$4:$AD$58,10,0)="TRUE"),0,VLOOKUP(AC$44,'SJ data'!$A$4:$AD$58,10,0))</f>
        <v>185572.84999999998</v>
      </c>
      <c r="AD66" s="184">
        <f>IF(ISERR(VLOOKUP(AD$44,'SJ data'!$A$4:$AD$58,10,0)="TRUE"),0,VLOOKUP(AD$44,'SJ data'!$A$4:$AD$58,10,0))</f>
        <v>2352568.5499999993</v>
      </c>
      <c r="AE66" s="184">
        <f>IF(ISERR(VLOOKUP(AE$44,'SJ data'!$A$4:$AD$58,10,0)="TRUE"),0,VLOOKUP(AE$44,'SJ data'!$A$4:$AD$58,10,0))</f>
        <v>55982.900000000016</v>
      </c>
      <c r="AF66" s="184">
        <f>IF(ISERR(VLOOKUP(AF$44,'SJ data'!$A$4:$AD$58,10,0)="TRUE"),0,VLOOKUP(AF$44,'SJ data'!$A$4:$AD$58,10,0))</f>
        <v>0</v>
      </c>
      <c r="AG66" s="184">
        <f>IF(ISERR(VLOOKUP(AG$44,'SJ data'!$A$4:$AD$58,10,0)="TRUE"),0,VLOOKUP(AG$44,'SJ data'!$A$4:$AD$58,10,0))</f>
        <v>2346826.1134000001</v>
      </c>
      <c r="AH66" s="184">
        <f>IF(ISERR(VLOOKUP(AH$44,'SJ data'!$A$4:$AD$58,10,0)="TRUE"),0,VLOOKUP(AH$44,'SJ data'!$A$4:$AD$58,10,0))</f>
        <v>0</v>
      </c>
      <c r="AI66" s="184">
        <f>IF(ISERR(VLOOKUP(AI$44,'SJ data'!$A$4:$AD$58,10,0)="TRUE"),0,VLOOKUP(AI$44,'SJ data'!$A$4:$AD$58,10,0))</f>
        <v>168892.33</v>
      </c>
      <c r="AJ66" s="184">
        <f>IF(ISERR(VLOOKUP(AJ$44,'SJ data'!$A$4:$AD$58,10,0)="TRUE"),0,VLOOKUP(AJ$44,'SJ data'!$A$4:$AD$58,10,0))</f>
        <v>12015378.529999999</v>
      </c>
      <c r="AK66" s="184">
        <f>IF(ISERR(VLOOKUP(AK$44,'SJ data'!$A$4:$AD$58,10,0)="TRUE"),0,VLOOKUP(AK$44,'SJ data'!$A$4:$AD$58,10,0))</f>
        <v>5676.34</v>
      </c>
      <c r="AL66" s="184">
        <f>IF(ISERR(VLOOKUP(AL$44,'SJ data'!$A$4:$AD$58,10,0)="TRUE"),0,VLOOKUP(AL$44,'SJ data'!$A$4:$AD$58,10,0))</f>
        <v>635</v>
      </c>
      <c r="AM66" s="184">
        <f>IF(ISERR(VLOOKUP(AM$44,'SJ data'!$A$4:$AD$58,10,0)="TRUE"),0,VLOOKUP(AM$44,'SJ data'!$A$4:$AD$58,10,0))</f>
        <v>0</v>
      </c>
      <c r="AN66" s="184">
        <f>IF(ISERR(VLOOKUP(AN$44,'SJ data'!$A$4:$AD$58,10,0)="TRUE"),0,VLOOKUP(AN$44,'SJ data'!$A$4:$AD$58,10,0))</f>
        <v>0</v>
      </c>
      <c r="AO66" s="184">
        <f>IF(ISERR(VLOOKUP(AO$44,'SJ data'!$A$4:$AD$58,10,0)="TRUE"),0,VLOOKUP(AO$44,'SJ data'!$A$4:$AD$58,10,0))</f>
        <v>0</v>
      </c>
      <c r="AP66" s="184">
        <f>IF(ISERR(VLOOKUP(AP$44,'SJ data'!$A$4:$AD$58,10,0)="TRUE"),0,VLOOKUP(AP$44,'SJ data'!$A$4:$AD$58,10,0))</f>
        <v>187531.88999999998</v>
      </c>
      <c r="AQ66" s="184">
        <f>IF(ISERR(VLOOKUP(AQ$44,'SJ data'!$A$4:$AD$58,10,0)="TRUE"),0,VLOOKUP(AQ$44,'SJ data'!$A$4:$AD$58,10,0))</f>
        <v>0</v>
      </c>
      <c r="AR66" s="184">
        <f>IF(ISERR(VLOOKUP(AR$44,'SJ data'!$A$4:$AD$58,10,0)="TRUE"),0,VLOOKUP(AR$44,'SJ data'!$A$4:$AD$58,10,0))</f>
        <v>12977747.67</v>
      </c>
      <c r="AS66" s="184">
        <f>IF(ISERR(VLOOKUP(AS$44,'SJ data'!$A$4:$AD$58,10,0)="TRUE"),0,VLOOKUP(AS$44,'SJ data'!$A$4:$AD$58,10,0))</f>
        <v>0</v>
      </c>
      <c r="AT66" s="184">
        <f>IF(ISERR(VLOOKUP(AT$44,'SJ data'!$A$4:$AD$58,10,0)="TRUE"),0,VLOOKUP(AT$44,'SJ data'!$A$4:$AD$58,10,0))</f>
        <v>0</v>
      </c>
      <c r="AU66" s="184">
        <f>IF(ISERR(VLOOKUP(AU$44,'SJ data'!$A$4:$AD$58,10,0)="TRUE"),0,VLOOKUP(AU$44,'SJ data'!$A$4:$AD$58,10,0))</f>
        <v>0</v>
      </c>
      <c r="AV66" s="184">
        <f>IF(ISERR(VLOOKUP(AV$44,'SJ data'!$A$4:$AD$58,10,0)="TRUE"),0,VLOOKUP(AV$44,'SJ data'!$A$4:$AD$58,10,0))</f>
        <v>3346249.3534599999</v>
      </c>
      <c r="AW66" s="184">
        <f>IF(ISERR(VLOOKUP(AW$44,'SJ data'!$A$4:$AD$58,10,0)="TRUE"),0,VLOOKUP(AW$44,'SJ data'!$A$4:$AD$58,10,0))</f>
        <v>0</v>
      </c>
      <c r="AX66" s="184">
        <f>IF(ISERR(VLOOKUP(AX$44,'SJ data'!$A$4:$AD$58,10,0)="TRUE"),0,VLOOKUP(AX$44,'SJ data'!$A$4:$AD$58,10,0))</f>
        <v>276736.07519999996</v>
      </c>
      <c r="AY66" s="184">
        <f>IF(ISERR(VLOOKUP(AY$44,'SJ data'!$A$4:$AD$58,10,0)="TRUE"),0,VLOOKUP(AY$44,'SJ data'!$A$4:$AD$58,10,0))</f>
        <v>0</v>
      </c>
      <c r="AZ66" s="184">
        <f>IF(ISERR(VLOOKUP(AZ$44,'SJ data'!$A$4:$AD$58,10,0)="TRUE"),0,VLOOKUP(AZ$44,'SJ data'!$A$4:$AD$58,10,0))</f>
        <v>2122057.3099999996</v>
      </c>
      <c r="BA66" s="184">
        <f>IF(ISERR(VLOOKUP(BA$44,'SJ data'!$A$4:$AD$58,10,0)="TRUE"),0,VLOOKUP(BA$44,'SJ data'!$A$4:$AD$58,10,0))</f>
        <v>3119.02</v>
      </c>
      <c r="BB66" s="184">
        <f>IF(ISERR(VLOOKUP(BB$44,'SJ data'!$A$4:$AD$58,10,0)="TRUE"),0,VLOOKUP(BB$44,'SJ data'!$A$4:$AD$58,10,0))</f>
        <v>0</v>
      </c>
      <c r="BC66" s="184">
        <f>IF(ISERR(VLOOKUP(BC$44,'SJ data'!$A$4:$AD$58,10,0)="TRUE"),0,VLOOKUP(BC$44,'SJ data'!$A$4:$AD$58,10,0))</f>
        <v>0</v>
      </c>
      <c r="BD66" s="184">
        <f>IF(ISERR(VLOOKUP(BD$44,'SJ data'!$A$4:$AD$58,10,0)="TRUE"),0,VLOOKUP(BD$44,'SJ data'!$A$4:$AD$58,10,0))</f>
        <v>0</v>
      </c>
      <c r="BE66" s="184">
        <f>IF(ISERR(VLOOKUP(BE$44,'SJ data'!$A$4:$AD$58,10,0)="TRUE"),0,VLOOKUP(BE$44,'SJ data'!$A$4:$AD$58,10,0))</f>
        <v>16682406.0824</v>
      </c>
      <c r="BF66" s="184">
        <f>IF(ISERR(VLOOKUP(BF$44,'SJ data'!$A$4:$AD$58,10,0)="TRUE"),0,VLOOKUP(BF$44,'SJ data'!$A$4:$AD$58,10,0))</f>
        <v>832307.57000000007</v>
      </c>
      <c r="BG66" s="184">
        <f>IF(ISERR(VLOOKUP(BG$44,'SJ data'!$A$4:$AD$58,10,0)="TRUE"),0,VLOOKUP(BG$44,'SJ data'!$A$4:$AD$58,10,0))</f>
        <v>1191320.3351499999</v>
      </c>
      <c r="BH66" s="184">
        <f>IF(ISERR(VLOOKUP(BH$44,'SJ data'!$A$4:$AD$58,10,0)="TRUE"),0,VLOOKUP(BH$44,'SJ data'!$A$4:$AD$58,10,0))</f>
        <v>5189987.8909999998</v>
      </c>
      <c r="BI66" s="184">
        <f>IF(ISERR(VLOOKUP(BI$44,'SJ data'!$A$4:$AD$58,10,0)="TRUE"),0,VLOOKUP(BI$44,'SJ data'!$A$4:$AD$58,10,0))</f>
        <v>2122.39</v>
      </c>
      <c r="BJ66" s="184">
        <f>IF(ISERR(VLOOKUP(BJ$44,'SJ data'!$A$4:$AD$58,10,0)="TRUE"),0,VLOOKUP(BJ$44,'SJ data'!$A$4:$AD$58,10,0))</f>
        <v>1239152.4813499996</v>
      </c>
      <c r="BK66" s="184">
        <f>IF(ISERR(VLOOKUP(BK$44,'SJ data'!$A$4:$AD$58,10,0)="TRUE"),0,VLOOKUP(BK$44,'SJ data'!$A$4:$AD$58,10,0))</f>
        <v>8085774.038851345</v>
      </c>
      <c r="BL66" s="184">
        <f>IF(ISERR(VLOOKUP(BL$44,'SJ data'!$A$4:$AD$58,10,0)="TRUE"),0,VLOOKUP(BL$44,'SJ data'!$A$4:$AD$58,10,0))</f>
        <v>7747443.6987800002</v>
      </c>
      <c r="BM66" s="184">
        <f>IF(ISERR(VLOOKUP(BM$44,'SJ data'!$A$4:$AD$58,10,0)="TRUE"),0,VLOOKUP(BM$44,'SJ data'!$A$4:$AD$58,10,0))</f>
        <v>0</v>
      </c>
      <c r="BN66" s="184">
        <f>IF(ISERR(VLOOKUP(BN$44,'SJ data'!$A$4:$AD$58,10,0)="TRUE"),0,VLOOKUP(BN$44,'SJ data'!$A$4:$AD$58,10,0))</f>
        <v>8680917.6969334725</v>
      </c>
      <c r="BO66" s="184">
        <f>IF(ISERR(VLOOKUP(BO$44,'SJ data'!$A$4:$AD$58,10,0)="TRUE"),0,VLOOKUP(BO$44,'SJ data'!$A$4:$AD$58,10,0))</f>
        <v>903228.29629999993</v>
      </c>
      <c r="BP66" s="184">
        <f>IF(ISERR(VLOOKUP(BP$44,'SJ data'!$A$4:$AD$58,10,0)="TRUE"),0,VLOOKUP(BP$44,'SJ data'!$A$4:$AD$58,10,0))</f>
        <v>4759957.9238999989</v>
      </c>
      <c r="BQ66" s="184">
        <f>IF(ISERR(VLOOKUP(BQ$44,'SJ data'!$A$4:$AD$58,10,0)="TRUE"),0,VLOOKUP(BQ$44,'SJ data'!$A$4:$AD$58,10,0))</f>
        <v>0</v>
      </c>
      <c r="BR66" s="184">
        <f>IF(ISERR(VLOOKUP(BR$44,'SJ data'!$A$4:$AD$58,10,0)="TRUE"),0,VLOOKUP(BR$44,'SJ data'!$A$4:$AD$58,10,0))</f>
        <v>3039001.8210499999</v>
      </c>
      <c r="BS66" s="184">
        <f>IF(ISERR(VLOOKUP(BS$44,'SJ data'!$A$4:$AD$58,10,0)="TRUE"),0,VLOOKUP(BS$44,'SJ data'!$A$4:$AD$58,10,0))</f>
        <v>249573.94244999991</v>
      </c>
      <c r="BT66" s="184">
        <f>IF(ISERR(VLOOKUP(BT$44,'SJ data'!$A$4:$AD$58,10,0)="TRUE"),0,VLOOKUP(BT$44,'SJ data'!$A$4:$AD$58,10,0))</f>
        <v>427796.48594999994</v>
      </c>
      <c r="BU66" s="184">
        <f>IF(ISERR(VLOOKUP(BU$44,'SJ data'!$A$4:$AD$58,10,0)="TRUE"),0,VLOOKUP(BU$44,'SJ data'!$A$4:$AD$58,10,0))</f>
        <v>148855.08905000004</v>
      </c>
      <c r="BV66" s="184">
        <f>IF(ISERR(VLOOKUP(BV$44,'SJ data'!$A$4:$AD$58,10,0)="TRUE"),0,VLOOKUP(BV$44,'SJ data'!$A$4:$AD$58,10,0))</f>
        <v>11140089.736275665</v>
      </c>
      <c r="BW66" s="184">
        <f>IF(ISERR(VLOOKUP(BW$44,'SJ data'!$A$4:$AD$58,10,0)="TRUE"),0,VLOOKUP(BW$44,'SJ data'!$A$4:$AD$58,10,0))</f>
        <v>2193227.9204805247</v>
      </c>
      <c r="BX66" s="184">
        <f>IF(ISERR(VLOOKUP(BX$44,'SJ data'!$A$4:$AD$58,10,0)="TRUE"),0,VLOOKUP(BX$44,'SJ data'!$A$4:$AD$58,10,0))</f>
        <v>11463193.24275312</v>
      </c>
      <c r="BY66" s="184">
        <f>IF(ISERR(VLOOKUP(BY$44,'SJ data'!$A$4:$AD$58,10,0)="TRUE"),0,VLOOKUP(BY$44,'SJ data'!$A$4:$AD$58,10,0))</f>
        <v>415807.94144999998</v>
      </c>
      <c r="BZ66" s="184">
        <f>IF(ISERR(VLOOKUP(BZ$44,'SJ data'!$A$4:$AD$58,10,0)="TRUE"),0,VLOOKUP(BZ$44,'SJ data'!$A$4:$AD$58,10,0))</f>
        <v>0</v>
      </c>
      <c r="CA66" s="184">
        <f>IF(ISERR(VLOOKUP(CA$44,'SJ data'!$A$4:$AD$58,10,0)="TRUE"),0,VLOOKUP(CA$44,'SJ data'!$A$4:$AD$58,10,0))</f>
        <v>1321076.8644000001</v>
      </c>
      <c r="CB66" s="184">
        <f>IF(ISERR(VLOOKUP(CB$44,'SJ data'!$A$4:$AD$58,10,0)="TRUE"),0,VLOOKUP(CB$44,'SJ data'!$A$4:$AD$58,10,0))</f>
        <v>159829.70585</v>
      </c>
      <c r="CC66" s="184">
        <f>IF(ISERR(VLOOKUP(CC$44,'SJ data'!$A$4:$AD$58,10,0)="TRUE"),0,VLOOKUP(CC$44,'SJ data'!$A$4:$AD$58,10,0))+'SJ data'!J57</f>
        <v>41620756.132459573</v>
      </c>
      <c r="CD66" s="249" t="s">
        <v>221</v>
      </c>
      <c r="CE66" s="195">
        <f t="shared" si="0"/>
        <v>181803922.85051626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1305755</v>
      </c>
      <c r="D67" s="195">
        <f>ROUND(D51+D52,0)</f>
        <v>0</v>
      </c>
      <c r="E67" s="195">
        <f t="shared" ref="E67:BP67" si="3">ROUND(E51+E52,0)</f>
        <v>2902651</v>
      </c>
      <c r="F67" s="195">
        <f t="shared" si="3"/>
        <v>0</v>
      </c>
      <c r="G67" s="195">
        <f t="shared" si="3"/>
        <v>0</v>
      </c>
      <c r="H67" s="195">
        <f t="shared" si="3"/>
        <v>185374</v>
      </c>
      <c r="I67" s="195">
        <f t="shared" si="3"/>
        <v>0</v>
      </c>
      <c r="J67" s="195">
        <f>ROUND(J51+J52,0)</f>
        <v>209754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748838</v>
      </c>
      <c r="P67" s="195">
        <f t="shared" si="3"/>
        <v>9978699</v>
      </c>
      <c r="Q67" s="195">
        <f t="shared" si="3"/>
        <v>52684</v>
      </c>
      <c r="R67" s="195">
        <f t="shared" si="3"/>
        <v>0</v>
      </c>
      <c r="S67" s="195">
        <f t="shared" si="3"/>
        <v>332976</v>
      </c>
      <c r="T67" s="195">
        <f t="shared" si="3"/>
        <v>28955</v>
      </c>
      <c r="U67" s="195">
        <f t="shared" si="3"/>
        <v>750907</v>
      </c>
      <c r="V67" s="195">
        <f t="shared" si="3"/>
        <v>399270</v>
      </c>
      <c r="W67" s="195">
        <f t="shared" si="3"/>
        <v>0</v>
      </c>
      <c r="X67" s="195">
        <f t="shared" si="3"/>
        <v>14032</v>
      </c>
      <c r="Y67" s="195">
        <f t="shared" si="3"/>
        <v>1148771</v>
      </c>
      <c r="Z67" s="195">
        <f t="shared" si="3"/>
        <v>0</v>
      </c>
      <c r="AA67" s="195">
        <f t="shared" si="3"/>
        <v>5426</v>
      </c>
      <c r="AB67" s="195">
        <f t="shared" si="3"/>
        <v>781490</v>
      </c>
      <c r="AC67" s="195">
        <f t="shared" si="3"/>
        <v>213488</v>
      </c>
      <c r="AD67" s="195">
        <f t="shared" si="3"/>
        <v>262586</v>
      </c>
      <c r="AE67" s="195">
        <f t="shared" si="3"/>
        <v>185540</v>
      </c>
      <c r="AF67" s="195">
        <f t="shared" si="3"/>
        <v>0</v>
      </c>
      <c r="AG67" s="195">
        <f t="shared" si="3"/>
        <v>1046781</v>
      </c>
      <c r="AH67" s="195">
        <f t="shared" si="3"/>
        <v>0</v>
      </c>
      <c r="AI67" s="195">
        <f t="shared" si="3"/>
        <v>31704</v>
      </c>
      <c r="AJ67" s="195">
        <f t="shared" si="3"/>
        <v>4530386</v>
      </c>
      <c r="AK67" s="195">
        <f t="shared" si="3"/>
        <v>90095</v>
      </c>
      <c r="AL67" s="195">
        <f t="shared" si="3"/>
        <v>61300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26606</v>
      </c>
      <c r="AQ67" s="195">
        <f t="shared" si="3"/>
        <v>0</v>
      </c>
      <c r="AR67" s="195">
        <f t="shared" si="3"/>
        <v>900441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52972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575092</v>
      </c>
      <c r="BA67" s="195">
        <f>ROUND(BA51+BA52,0)</f>
        <v>62373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4124409</v>
      </c>
      <c r="BF67" s="195">
        <f t="shared" si="3"/>
        <v>65374</v>
      </c>
      <c r="BG67" s="195">
        <f t="shared" si="3"/>
        <v>0</v>
      </c>
      <c r="BH67" s="195">
        <f t="shared" si="3"/>
        <v>0</v>
      </c>
      <c r="BI67" s="195">
        <f t="shared" si="3"/>
        <v>19663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2611339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138958</v>
      </c>
      <c r="BW67" s="195">
        <f t="shared" si="4"/>
        <v>0</v>
      </c>
      <c r="BX67" s="195">
        <f t="shared" si="4"/>
        <v>0</v>
      </c>
      <c r="BY67" s="195">
        <f t="shared" si="4"/>
        <v>17896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</v>
      </c>
      <c r="CD67" s="249" t="s">
        <v>221</v>
      </c>
      <c r="CE67" s="195">
        <f t="shared" si="0"/>
        <v>33862828</v>
      </c>
      <c r="CF67" s="252"/>
    </row>
    <row r="68" spans="1:84" ht="12.6" customHeight="1" x14ac:dyDescent="0.25">
      <c r="A68" s="171" t="s">
        <v>240</v>
      </c>
      <c r="B68" s="175"/>
      <c r="C68" s="184">
        <f>IF(ISERR(VLOOKUP(C$44,'SJ data'!$A$4:$AD$58,13,0)="TRUE"),0,VLOOKUP(C$44,'SJ data'!$A$4:$AD$58,13,0))</f>
        <v>14390.639999999998</v>
      </c>
      <c r="D68" s="184">
        <f>IF(ISERR(VLOOKUP(D$44,'SJ data'!$A$4:$AD$58,13,0)="TRUE"),0,VLOOKUP(D$44,'SJ data'!$A$4:$AD$58,13,0))</f>
        <v>0</v>
      </c>
      <c r="E68" s="184">
        <f>IF(ISERR(VLOOKUP(E$44,'SJ data'!$A$4:$AD$58,13,0)="TRUE"),0,VLOOKUP(E$44,'SJ data'!$A$4:$AD$58,13,0))</f>
        <v>9569.8800000000047</v>
      </c>
      <c r="F68" s="184">
        <f>IF(ISERR(VLOOKUP(F$44,'SJ data'!$A$4:$AD$58,13,0)="TRUE"),0,VLOOKUP(F$44,'SJ data'!$A$4:$AD$58,13,0))</f>
        <v>0</v>
      </c>
      <c r="G68" s="184">
        <f>IF(ISERR(VLOOKUP(G$44,'SJ data'!$A$4:$AD$58,13,0)="TRUE"),0,VLOOKUP(G$44,'SJ data'!$A$4:$AD$58,13,0))</f>
        <v>0</v>
      </c>
      <c r="H68" s="184">
        <f>IF(ISERR(VLOOKUP(H$44,'SJ data'!$A$4:$AD$58,13,0)="TRUE"),0,VLOOKUP(H$44,'SJ data'!$A$4:$AD$58,13,0))</f>
        <v>1353.56</v>
      </c>
      <c r="I68" s="184">
        <f>IF(ISERR(VLOOKUP(I$44,'SJ data'!$A$4:$AD$58,13,0)="TRUE"),0,VLOOKUP(I$44,'SJ data'!$A$4:$AD$58,13,0))</f>
        <v>0</v>
      </c>
      <c r="J68" s="184">
        <f>IF(ISERR(VLOOKUP(J$44,'SJ data'!$A$4:$AD$58,13,0)="TRUE"),0,VLOOKUP(J$44,'SJ data'!$A$4:$AD$58,13,0))</f>
        <v>1042.57</v>
      </c>
      <c r="K68" s="184">
        <f>IF(ISERR(VLOOKUP(K$44,'SJ data'!$A$4:$AD$58,13,0)="TRUE"),0,VLOOKUP(K$44,'SJ data'!$A$4:$AD$58,13,0))</f>
        <v>0</v>
      </c>
      <c r="L68" s="184">
        <f>IF(ISERR(VLOOKUP(L$44,'SJ data'!$A$4:$AD$58,13,0)="TRUE"),0,VLOOKUP(L$44,'SJ data'!$A$4:$AD$58,13,0))</f>
        <v>0</v>
      </c>
      <c r="M68" s="184">
        <f>IF(ISERR(VLOOKUP(M$44,'SJ data'!$A$4:$AD$58,13,0)="TRUE"),0,VLOOKUP(M$44,'SJ data'!$A$4:$AD$58,13,0))</f>
        <v>0</v>
      </c>
      <c r="N68" s="184">
        <f>IF(ISERR(VLOOKUP(N$44,'SJ data'!$A$4:$AD$58,13,0)="TRUE"),0,VLOOKUP(N$44,'SJ data'!$A$4:$AD$58,13,0))</f>
        <v>0</v>
      </c>
      <c r="O68" s="184">
        <f>IF(ISERR(VLOOKUP(O$44,'SJ data'!$A$4:$AD$58,13,0)="TRUE"),0,VLOOKUP(O$44,'SJ data'!$A$4:$AD$58,13,0))</f>
        <v>187621.35</v>
      </c>
      <c r="P68" s="184">
        <f>IF(ISERR(VLOOKUP(P$44,'SJ data'!$A$4:$AD$58,13,0)="TRUE"),0,VLOOKUP(P$44,'SJ data'!$A$4:$AD$58,13,0))</f>
        <v>901750.14</v>
      </c>
      <c r="Q68" s="184">
        <f>IF(ISERR(VLOOKUP(Q$44,'SJ data'!$A$4:$AD$58,13,0)="TRUE"),0,VLOOKUP(Q$44,'SJ data'!$A$4:$AD$58,13,0))</f>
        <v>3100.59</v>
      </c>
      <c r="R68" s="184">
        <f>IF(ISERR(VLOOKUP(R$44,'SJ data'!$A$4:$AD$58,13,0)="TRUE"),0,VLOOKUP(R$44,'SJ data'!$A$4:$AD$58,13,0))</f>
        <v>0</v>
      </c>
      <c r="S68" s="184">
        <f>IF(ISERR(VLOOKUP(S$44,'SJ data'!$A$4:$AD$58,13,0)="TRUE"),0,VLOOKUP(S$44,'SJ data'!$A$4:$AD$58,13,0))</f>
        <v>11863.83</v>
      </c>
      <c r="T68" s="184">
        <f>IF(ISERR(VLOOKUP(T$44,'SJ data'!$A$4:$AD$58,13,0)="TRUE"),0,VLOOKUP(T$44,'SJ data'!$A$4:$AD$58,13,0))</f>
        <v>468.12</v>
      </c>
      <c r="U68" s="184">
        <f>IF(ISERR(VLOOKUP(U$44,'SJ data'!$A$4:$AD$58,13,0)="TRUE"),0,VLOOKUP(U$44,'SJ data'!$A$4:$AD$58,13,0))</f>
        <v>696025.39999999991</v>
      </c>
      <c r="V68" s="184">
        <f>IF(ISERR(VLOOKUP(V$44,'SJ data'!$A$4:$AD$58,13,0)="TRUE"),0,VLOOKUP(V$44,'SJ data'!$A$4:$AD$58,13,0))</f>
        <v>667.02</v>
      </c>
      <c r="W68" s="184">
        <f>IF(ISERR(VLOOKUP(W$44,'SJ data'!$A$4:$AD$58,13,0)="TRUE"),0,VLOOKUP(W$44,'SJ data'!$A$4:$AD$58,13,0))</f>
        <v>0</v>
      </c>
      <c r="X68" s="184">
        <f>IF(ISERR(VLOOKUP(X$44,'SJ data'!$A$4:$AD$58,13,0)="TRUE"),0,VLOOKUP(X$44,'SJ data'!$A$4:$AD$58,13,0))</f>
        <v>1272.5</v>
      </c>
      <c r="Y68" s="184">
        <f>IF(ISERR(VLOOKUP(Y$44,'SJ data'!$A$4:$AD$58,13,0)="TRUE"),0,VLOOKUP(Y$44,'SJ data'!$A$4:$AD$58,13,0))</f>
        <v>32388.59</v>
      </c>
      <c r="Z68" s="184">
        <f>IF(ISERR(VLOOKUP(Z$44,'SJ data'!$A$4:$AD$58,13,0)="TRUE"),0,VLOOKUP(Z$44,'SJ data'!$A$4:$AD$58,13,0))</f>
        <v>0</v>
      </c>
      <c r="AA68" s="184">
        <f>IF(ISERR(VLOOKUP(AA$44,'SJ data'!$A$4:$AD$58,13,0)="TRUE"),0,VLOOKUP(AA$44,'SJ data'!$A$4:$AD$58,13,0))</f>
        <v>284.82</v>
      </c>
      <c r="AB68" s="184">
        <f>IF(ISERR(VLOOKUP(AB$44,'SJ data'!$A$4:$AD$58,13,0)="TRUE"),0,VLOOKUP(AB$44,'SJ data'!$A$4:$AD$58,13,0))</f>
        <v>97780.739999999991</v>
      </c>
      <c r="AC68" s="184">
        <f>IF(ISERR(VLOOKUP(AC$44,'SJ data'!$A$4:$AD$58,13,0)="TRUE"),0,VLOOKUP(AC$44,'SJ data'!$A$4:$AD$58,13,0))</f>
        <v>102933.1</v>
      </c>
      <c r="AD68" s="184">
        <f>IF(ISERR(VLOOKUP(AD$44,'SJ data'!$A$4:$AD$58,13,0)="TRUE"),0,VLOOKUP(AD$44,'SJ data'!$A$4:$AD$58,13,0))</f>
        <v>3108.94</v>
      </c>
      <c r="AE68" s="184">
        <f>IF(ISERR(VLOOKUP(AE$44,'SJ data'!$A$4:$AD$58,13,0)="TRUE"),0,VLOOKUP(AE$44,'SJ data'!$A$4:$AD$58,13,0))</f>
        <v>158579.55999999997</v>
      </c>
      <c r="AF68" s="184">
        <f>IF(ISERR(VLOOKUP(AF$44,'SJ data'!$A$4:$AD$58,13,0)="TRUE"),0,VLOOKUP(AF$44,'SJ data'!$A$4:$AD$58,13,0))</f>
        <v>0</v>
      </c>
      <c r="AG68" s="184">
        <f>IF(ISERR(VLOOKUP(AG$44,'SJ data'!$A$4:$AD$58,13,0)="TRUE"),0,VLOOKUP(AG$44,'SJ data'!$A$4:$AD$58,13,0))</f>
        <v>34590.449999999997</v>
      </c>
      <c r="AH68" s="184">
        <f>IF(ISERR(VLOOKUP(AH$44,'SJ data'!$A$4:$AD$58,13,0)="TRUE"),0,VLOOKUP(AH$44,'SJ data'!$A$4:$AD$58,13,0))</f>
        <v>0</v>
      </c>
      <c r="AI68" s="184">
        <f>IF(ISERR(VLOOKUP(AI$44,'SJ data'!$A$4:$AD$58,13,0)="TRUE"),0,VLOOKUP(AI$44,'SJ data'!$A$4:$AD$58,13,0))</f>
        <v>-4468.9000000000024</v>
      </c>
      <c r="AJ68" s="184">
        <f>IF(ISERR(VLOOKUP(AJ$44,'SJ data'!$A$4:$AD$58,13,0)="TRUE"),0,VLOOKUP(AJ$44,'SJ data'!$A$4:$AD$58,13,0))</f>
        <v>8725551.6199999992</v>
      </c>
      <c r="AK68" s="184">
        <f>IF(ISERR(VLOOKUP(AK$44,'SJ data'!$A$4:$AD$58,13,0)="TRUE"),0,VLOOKUP(AK$44,'SJ data'!$A$4:$AD$58,13,0))</f>
        <v>0</v>
      </c>
      <c r="AL68" s="184">
        <f>IF(ISERR(VLOOKUP(AL$44,'SJ data'!$A$4:$AD$58,13,0)="TRUE"),0,VLOOKUP(AL$44,'SJ data'!$A$4:$AD$58,13,0))</f>
        <v>0</v>
      </c>
      <c r="AM68" s="184">
        <f>IF(ISERR(VLOOKUP(AM$44,'SJ data'!$A$4:$AD$58,13,0)="TRUE"),0,VLOOKUP(AM$44,'SJ data'!$A$4:$AD$58,13,0))</f>
        <v>0</v>
      </c>
      <c r="AN68" s="184">
        <f>IF(ISERR(VLOOKUP(AN$44,'SJ data'!$A$4:$AD$58,13,0)="TRUE"),0,VLOOKUP(AN$44,'SJ data'!$A$4:$AD$58,13,0))</f>
        <v>0</v>
      </c>
      <c r="AO68" s="184">
        <f>IF(ISERR(VLOOKUP(AO$44,'SJ data'!$A$4:$AD$58,13,0)="TRUE"),0,VLOOKUP(AO$44,'SJ data'!$A$4:$AD$58,13,0))</f>
        <v>0</v>
      </c>
      <c r="AP68" s="184">
        <f>IF(ISERR(VLOOKUP(AP$44,'SJ data'!$A$4:$AD$58,13,0)="TRUE"),0,VLOOKUP(AP$44,'SJ data'!$A$4:$AD$58,13,0))</f>
        <v>161655.25</v>
      </c>
      <c r="AQ68" s="184">
        <f>IF(ISERR(VLOOKUP(AQ$44,'SJ data'!$A$4:$AD$58,13,0)="TRUE"),0,VLOOKUP(AQ$44,'SJ data'!$A$4:$AD$58,13,0))</f>
        <v>0</v>
      </c>
      <c r="AR68" s="184">
        <f>IF(ISERR(VLOOKUP(AR$44,'SJ data'!$A$4:$AD$58,13,0)="TRUE"),0,VLOOKUP(AR$44,'SJ data'!$A$4:$AD$58,13,0))</f>
        <v>1323106.3900000001</v>
      </c>
      <c r="AS68" s="184">
        <f>IF(ISERR(VLOOKUP(AS$44,'SJ data'!$A$4:$AD$58,13,0)="TRUE"),0,VLOOKUP(AS$44,'SJ data'!$A$4:$AD$58,13,0))</f>
        <v>0</v>
      </c>
      <c r="AT68" s="184">
        <f>IF(ISERR(VLOOKUP(AT$44,'SJ data'!$A$4:$AD$58,13,0)="TRUE"),0,VLOOKUP(AT$44,'SJ data'!$A$4:$AD$58,13,0))</f>
        <v>0</v>
      </c>
      <c r="AU68" s="184">
        <f>IF(ISERR(VLOOKUP(AU$44,'SJ data'!$A$4:$AD$58,13,0)="TRUE"),0,VLOOKUP(AU$44,'SJ data'!$A$4:$AD$58,13,0))</f>
        <v>0</v>
      </c>
      <c r="AV68" s="184">
        <f>IF(ISERR(VLOOKUP(AV$44,'SJ data'!$A$4:$AD$58,13,0)="TRUE"),0,VLOOKUP(AV$44,'SJ data'!$A$4:$AD$58,13,0))+'SJ data'!M57</f>
        <v>816845.41999999993</v>
      </c>
      <c r="AW68" s="184">
        <f>IF(ISERR(VLOOKUP(AW$44,'SJ data'!$A$4:$AD$58,13,0)="TRUE"),0,VLOOKUP(AW$44,'SJ data'!$A$4:$AD$58,13,0))</f>
        <v>0</v>
      </c>
      <c r="AX68" s="184">
        <f>IF(ISERR(VLOOKUP(AX$44,'SJ data'!$A$4:$AD$58,13,0)="TRUE"),0,VLOOKUP(AX$44,'SJ data'!$A$4:$AD$58,13,0))</f>
        <v>0</v>
      </c>
      <c r="AY68" s="184">
        <f>IF(ISERR(VLOOKUP(AY$44,'SJ data'!$A$4:$AD$58,13,0)="TRUE"),0,VLOOKUP(AY$44,'SJ data'!$A$4:$AD$58,13,0))</f>
        <v>0</v>
      </c>
      <c r="AZ68" s="184">
        <f>IF(ISERR(VLOOKUP(AZ$44,'SJ data'!$A$4:$AD$58,13,0)="TRUE"),0,VLOOKUP(AZ$44,'SJ data'!$A$4:$AD$58,13,0))</f>
        <v>100514.26</v>
      </c>
      <c r="BA68" s="184">
        <f>IF(ISERR(VLOOKUP(BA$44,'SJ data'!$A$4:$AD$58,13,0)="TRUE"),0,VLOOKUP(BA$44,'SJ data'!$A$4:$AD$58,13,0))</f>
        <v>-15.47</v>
      </c>
      <c r="BB68" s="184">
        <f>IF(ISERR(VLOOKUP(BB$44,'SJ data'!$A$4:$AD$58,13,0)="TRUE"),0,VLOOKUP(BB$44,'SJ data'!$A$4:$AD$58,13,0))</f>
        <v>0</v>
      </c>
      <c r="BC68" s="184">
        <f>IF(ISERR(VLOOKUP(BC$44,'SJ data'!$A$4:$AD$58,13,0)="TRUE"),0,VLOOKUP(BC$44,'SJ data'!$A$4:$AD$58,13,0))</f>
        <v>1683.63</v>
      </c>
      <c r="BD68" s="184">
        <f>IF(ISERR(VLOOKUP(BD$44,'SJ data'!$A$4:$AD$58,13,0)="TRUE"),0,VLOOKUP(BD$44,'SJ data'!$A$4:$AD$58,13,0))</f>
        <v>0</v>
      </c>
      <c r="BE68" s="184">
        <f>IF(ISERR(VLOOKUP(BE$44,'SJ data'!$A$4:$AD$58,13,0)="TRUE"),0,VLOOKUP(BE$44,'SJ data'!$A$4:$AD$58,13,0))</f>
        <v>2489420.2799999993</v>
      </c>
      <c r="BF68" s="184">
        <f>IF(ISERR(VLOOKUP(BF$44,'SJ data'!$A$4:$AD$58,13,0)="TRUE"),0,VLOOKUP(BF$44,'SJ data'!$A$4:$AD$58,13,0))</f>
        <v>9873.9</v>
      </c>
      <c r="BG68" s="184">
        <f>IF(ISERR(VLOOKUP(BG$44,'SJ data'!$A$4:$AD$58,13,0)="TRUE"),0,VLOOKUP(BG$44,'SJ data'!$A$4:$AD$58,13,0))</f>
        <v>0</v>
      </c>
      <c r="BH68" s="184">
        <f>IF(ISERR(VLOOKUP(BH$44,'SJ data'!$A$4:$AD$58,13,0)="TRUE"),0,VLOOKUP(BH$44,'SJ data'!$A$4:$AD$58,13,0))</f>
        <v>0</v>
      </c>
      <c r="BI68" s="184">
        <f>IF(ISERR(VLOOKUP(BI$44,'SJ data'!$A$4:$AD$58,13,0)="TRUE"),0,VLOOKUP(BI$44,'SJ data'!$A$4:$AD$58,13,0))</f>
        <v>0</v>
      </c>
      <c r="BJ68" s="184">
        <f>IF(ISERR(VLOOKUP(BJ$44,'SJ data'!$A$4:$AD$58,13,0)="TRUE"),0,VLOOKUP(BJ$44,'SJ data'!$A$4:$AD$58,13,0))</f>
        <v>0</v>
      </c>
      <c r="BK68" s="184">
        <f>IF(ISERR(VLOOKUP(BK$44,'SJ data'!$A$4:$AD$58,13,0)="TRUE"),0,VLOOKUP(BK$44,'SJ data'!$A$4:$AD$58,13,0))</f>
        <v>0</v>
      </c>
      <c r="BL68" s="184">
        <f>IF(ISERR(VLOOKUP(BL$44,'SJ data'!$A$4:$AD$58,13,0)="TRUE"),0,VLOOKUP(BL$44,'SJ data'!$A$4:$AD$58,13,0))</f>
        <v>15804.48</v>
      </c>
      <c r="BM68" s="184">
        <f>IF(ISERR(VLOOKUP(BM$44,'SJ data'!$A$4:$AD$58,13,0)="TRUE"),0,VLOOKUP(BM$44,'SJ data'!$A$4:$AD$58,13,0))</f>
        <v>0</v>
      </c>
      <c r="BN68" s="184">
        <f>IF(ISERR(VLOOKUP(BN$44,'SJ data'!$A$4:$AD$58,13,0)="TRUE"),0,VLOOKUP(BN$44,'SJ data'!$A$4:$AD$58,13,0))</f>
        <v>78729.649999999994</v>
      </c>
      <c r="BO68" s="184">
        <f>IF(ISERR(VLOOKUP(BO$44,'SJ data'!$A$4:$AD$58,13,0)="TRUE"),0,VLOOKUP(BO$44,'SJ data'!$A$4:$AD$58,13,0))</f>
        <v>0</v>
      </c>
      <c r="BP68" s="184">
        <f>IF(ISERR(VLOOKUP(BP$44,'SJ data'!$A$4:$AD$58,13,0)="TRUE"),0,VLOOKUP(BP$44,'SJ data'!$A$4:$AD$58,13,0))</f>
        <v>0</v>
      </c>
      <c r="BQ68" s="184">
        <f>IF(ISERR(VLOOKUP(BQ$44,'SJ data'!$A$4:$AD$58,13,0)="TRUE"),0,VLOOKUP(BQ$44,'SJ data'!$A$4:$AD$58,13,0))</f>
        <v>0</v>
      </c>
      <c r="BR68" s="184">
        <f>IF(ISERR(VLOOKUP(BR$44,'SJ data'!$A$4:$AD$58,13,0)="TRUE"),0,VLOOKUP(BR$44,'SJ data'!$A$4:$AD$58,13,0))</f>
        <v>0</v>
      </c>
      <c r="BS68" s="184">
        <f>IF(ISERR(VLOOKUP(BS$44,'SJ data'!$A$4:$AD$58,13,0)="TRUE"),0,VLOOKUP(BS$44,'SJ data'!$A$4:$AD$58,13,0))</f>
        <v>0</v>
      </c>
      <c r="BT68" s="184">
        <f>IF(ISERR(VLOOKUP(BT$44,'SJ data'!$A$4:$AD$58,13,0)="TRUE"),0,VLOOKUP(BT$44,'SJ data'!$A$4:$AD$58,13,0))</f>
        <v>0</v>
      </c>
      <c r="BU68" s="184">
        <f>IF(ISERR(VLOOKUP(BU$44,'SJ data'!$A$4:$AD$58,13,0)="TRUE"),0,VLOOKUP(BU$44,'SJ data'!$A$4:$AD$58,13,0))</f>
        <v>0</v>
      </c>
      <c r="BV68" s="184">
        <f>IF(ISERR(VLOOKUP(BV$44,'SJ data'!$A$4:$AD$58,13,0)="TRUE"),0,VLOOKUP(BV$44,'SJ data'!$A$4:$AD$58,13,0))</f>
        <v>0</v>
      </c>
      <c r="BW68" s="184">
        <f>IF(ISERR(VLOOKUP(BW$44,'SJ data'!$A$4:$AD$58,13,0)="TRUE"),0,VLOOKUP(BW$44,'SJ data'!$A$4:$AD$58,13,0))</f>
        <v>0</v>
      </c>
      <c r="BX68" s="184">
        <f>IF(ISERR(VLOOKUP(BX$44,'SJ data'!$A$4:$AD$58,13,0)="TRUE"),0,VLOOKUP(BX$44,'SJ data'!$A$4:$AD$58,13,0))</f>
        <v>0</v>
      </c>
      <c r="BY68" s="184">
        <f>IF(ISERR(VLOOKUP(BY$44,'SJ data'!$A$4:$AD$58,13,0)="TRUE"),0,VLOOKUP(BY$44,'SJ data'!$A$4:$AD$58,13,0))</f>
        <v>13094.04</v>
      </c>
      <c r="BZ68" s="184">
        <f>IF(ISERR(VLOOKUP(BZ$44,'SJ data'!$A$4:$AD$58,13,0)="TRUE"),0,VLOOKUP(BZ$44,'SJ data'!$A$4:$AD$58,13,0))</f>
        <v>0</v>
      </c>
      <c r="CA68" s="184">
        <f>IF(ISERR(VLOOKUP(CA$44,'SJ data'!$A$4:$AD$58,13,0)="TRUE"),0,VLOOKUP(CA$44,'SJ data'!$A$4:$AD$58,13,0))</f>
        <v>0</v>
      </c>
      <c r="CB68" s="184">
        <f>IF(ISERR(VLOOKUP(CB$44,'SJ data'!$A$4:$AD$58,13,0)="TRUE"),0,VLOOKUP(CB$44,'SJ data'!$A$4:$AD$58,13,0))</f>
        <v>21.46</v>
      </c>
      <c r="CC68" s="184">
        <f>IF(ISERR(VLOOKUP(CC$44,'SJ data'!$A$4:$AD$58,13,0)="TRUE"),0,VLOOKUP(CC$44,'SJ data'!$A$4:$AD$58,13,0))</f>
        <v>8175.0300000000007</v>
      </c>
      <c r="CD68" s="249" t="s">
        <v>221</v>
      </c>
      <c r="CE68" s="195">
        <f t="shared" si="0"/>
        <v>15998782.84</v>
      </c>
      <c r="CF68" s="252"/>
    </row>
    <row r="69" spans="1:84" ht="12.6" customHeight="1" x14ac:dyDescent="0.25">
      <c r="A69" s="171" t="s">
        <v>241</v>
      </c>
      <c r="B69" s="175"/>
      <c r="C69" s="184">
        <v>76869.239999999991</v>
      </c>
      <c r="D69" s="184">
        <v>0</v>
      </c>
      <c r="E69" s="184">
        <v>160143.25000000003</v>
      </c>
      <c r="F69" s="184">
        <v>0</v>
      </c>
      <c r="G69" s="184">
        <v>0</v>
      </c>
      <c r="H69" s="184">
        <v>13921.37</v>
      </c>
      <c r="I69" s="184">
        <v>0</v>
      </c>
      <c r="J69" s="184">
        <v>62882.039999999994</v>
      </c>
      <c r="K69" s="184">
        <v>0</v>
      </c>
      <c r="L69" s="184">
        <v>0</v>
      </c>
      <c r="M69" s="184">
        <v>0</v>
      </c>
      <c r="N69" s="184">
        <v>0</v>
      </c>
      <c r="O69" s="184">
        <v>94611.94</v>
      </c>
      <c r="P69" s="184">
        <v>185764.20000000004</v>
      </c>
      <c r="Q69" s="184">
        <v>14010.660000000002</v>
      </c>
      <c r="R69" s="184">
        <v>0</v>
      </c>
      <c r="S69" s="184">
        <v>166827.09999999998</v>
      </c>
      <c r="T69" s="184">
        <v>3367.4000000000005</v>
      </c>
      <c r="U69" s="184">
        <v>203088.63000000003</v>
      </c>
      <c r="V69" s="184">
        <v>3572.5099999999998</v>
      </c>
      <c r="W69" s="184">
        <v>0</v>
      </c>
      <c r="X69" s="184">
        <v>66.06</v>
      </c>
      <c r="Y69" s="184">
        <v>8574.8599999999988</v>
      </c>
      <c r="Z69" s="184">
        <v>0</v>
      </c>
      <c r="AA69" s="184">
        <v>986.65</v>
      </c>
      <c r="AB69" s="184">
        <v>2887788.06</v>
      </c>
      <c r="AC69" s="184">
        <v>25350.43</v>
      </c>
      <c r="AD69" s="184">
        <v>39933.18</v>
      </c>
      <c r="AE69" s="184">
        <v>14847.359999999997</v>
      </c>
      <c r="AF69" s="184">
        <v>0</v>
      </c>
      <c r="AG69" s="184">
        <v>76167.97</v>
      </c>
      <c r="AH69" s="184">
        <v>0</v>
      </c>
      <c r="AI69" s="184">
        <v>68638.680000000022</v>
      </c>
      <c r="AJ69" s="184">
        <v>1854129.5299999998</v>
      </c>
      <c r="AK69" s="184">
        <v>6913.75</v>
      </c>
      <c r="AL69" s="184">
        <v>4374.21</v>
      </c>
      <c r="AM69" s="184">
        <v>0</v>
      </c>
      <c r="AN69" s="184">
        <v>0</v>
      </c>
      <c r="AO69" s="184">
        <v>0</v>
      </c>
      <c r="AP69" s="184">
        <v>6485.1300000000019</v>
      </c>
      <c r="AQ69" s="184">
        <v>0</v>
      </c>
      <c r="AR69" s="184">
        <v>1247918.54</v>
      </c>
      <c r="AS69" s="184">
        <v>0</v>
      </c>
      <c r="AT69" s="184">
        <v>0</v>
      </c>
      <c r="AU69" s="184">
        <v>0</v>
      </c>
      <c r="AV69" s="184">
        <v>951165.94999999984</v>
      </c>
      <c r="AW69" s="184">
        <v>0</v>
      </c>
      <c r="AX69" s="184">
        <v>0</v>
      </c>
      <c r="AY69" s="184">
        <v>0</v>
      </c>
      <c r="AZ69" s="184">
        <v>94262.040000000008</v>
      </c>
      <c r="BA69" s="184">
        <v>0</v>
      </c>
      <c r="BB69" s="184">
        <v>0</v>
      </c>
      <c r="BC69" s="184">
        <v>0</v>
      </c>
      <c r="BD69" s="184">
        <v>0</v>
      </c>
      <c r="BE69" s="184">
        <v>430686.08</v>
      </c>
      <c r="BF69" s="184">
        <v>4820.2599999999993</v>
      </c>
      <c r="BG69" s="184">
        <v>0</v>
      </c>
      <c r="BH69" s="184">
        <v>0</v>
      </c>
      <c r="BI69" s="184">
        <v>1180.19</v>
      </c>
      <c r="BJ69" s="184">
        <v>0</v>
      </c>
      <c r="BK69" s="184">
        <v>0</v>
      </c>
      <c r="BL69" s="184">
        <v>5422.31</v>
      </c>
      <c r="BM69" s="184">
        <v>0</v>
      </c>
      <c r="BN69" s="184">
        <v>493831.0400000001</v>
      </c>
      <c r="BO69" s="184">
        <v>0</v>
      </c>
      <c r="BP69" s="184">
        <v>0</v>
      </c>
      <c r="BQ69" s="184">
        <v>0</v>
      </c>
      <c r="BR69" s="184">
        <v>475.99</v>
      </c>
      <c r="BS69" s="184">
        <v>0</v>
      </c>
      <c r="BT69" s="184">
        <v>21148.780000000002</v>
      </c>
      <c r="BU69" s="184">
        <v>0</v>
      </c>
      <c r="BV69" s="184">
        <v>0</v>
      </c>
      <c r="BW69" s="184">
        <v>0</v>
      </c>
      <c r="BX69" s="184">
        <v>0</v>
      </c>
      <c r="BY69" s="184">
        <v>4525.71</v>
      </c>
      <c r="BZ69" s="184">
        <v>0</v>
      </c>
      <c r="CA69" s="184">
        <v>424</v>
      </c>
      <c r="CB69" s="184">
        <v>14720.68</v>
      </c>
      <c r="CC69" s="184">
        <v>-1150795.1700000002</v>
      </c>
      <c r="CD69" s="293">
        <f>7025576.56+164600.79+28745347.59</f>
        <v>35935524.939999998</v>
      </c>
      <c r="CE69" s="195">
        <f t="shared" si="0"/>
        <v>44034625.549999997</v>
      </c>
      <c r="CF69" s="252"/>
    </row>
    <row r="70" spans="1:84" ht="12.6" customHeight="1" x14ac:dyDescent="0.25">
      <c r="A70" s="171" t="s">
        <v>242</v>
      </c>
      <c r="B70" s="175"/>
      <c r="C70" s="184">
        <f>IF(ISERR(VLOOKUP(C$44,'SJ data'!$A$4:$AC$58,6,0)="TRUE"),0,VLOOKUP(C$44,'SJ data'!$A$4:$AC$58,6,0))</f>
        <v>15000</v>
      </c>
      <c r="D70" s="184">
        <f>IF(ISERR(VLOOKUP(D$44,'SJ data'!$A$4:$AC$58,6,0)="TRUE"),0,VLOOKUP(D$44,'SJ data'!$A$4:$AC$58,6,0))</f>
        <v>0</v>
      </c>
      <c r="E70" s="184">
        <f>IF(ISERR(VLOOKUP(E$44,'SJ data'!$A$4:$AC$58,6,0)="TRUE"),0,VLOOKUP(E$44,'SJ data'!$A$4:$AC$58,6,0))</f>
        <v>13133.33</v>
      </c>
      <c r="F70" s="184">
        <f>IF(ISERR(VLOOKUP(F$44,'SJ data'!$A$4:$AC$58,6,0)="TRUE"),0,VLOOKUP(F$44,'SJ data'!$A$4:$AC$58,6,0))</f>
        <v>0</v>
      </c>
      <c r="G70" s="184">
        <f>IF(ISERR(VLOOKUP(G$44,'SJ data'!$A$4:$AC$58,6,0)="TRUE"),0,VLOOKUP(G$44,'SJ data'!$A$4:$AC$58,6,0))</f>
        <v>0</v>
      </c>
      <c r="H70" s="184">
        <f>IF(ISERR(VLOOKUP(H$44,'SJ data'!$A$4:$AC$58,6,0)="TRUE"),0,VLOOKUP(H$44,'SJ data'!$A$4:$AC$58,6,0))</f>
        <v>8456.98</v>
      </c>
      <c r="I70" s="184">
        <f>IF(ISERR(VLOOKUP(I$44,'SJ data'!$A$4:$AC$58,6,0)="TRUE"),0,VLOOKUP(I$44,'SJ data'!$A$4:$AC$58,6,0))</f>
        <v>0</v>
      </c>
      <c r="J70" s="184">
        <f>IF(ISERR(VLOOKUP(J$44,'SJ data'!$A$4:$AC$58,6,0)="TRUE"),0,VLOOKUP(J$44,'SJ data'!$A$4:$AC$58,6,0))</f>
        <v>43220.77</v>
      </c>
      <c r="K70" s="184">
        <f>IF(ISERR(VLOOKUP(K$44,'SJ data'!$A$4:$AC$58,6,0)="TRUE"),0,VLOOKUP(K$44,'SJ data'!$A$4:$AC$58,6,0))</f>
        <v>0</v>
      </c>
      <c r="L70" s="184">
        <f>IF(ISERR(VLOOKUP(L$44,'SJ data'!$A$4:$AC$58,6,0)="TRUE"),0,VLOOKUP(L$44,'SJ data'!$A$4:$AC$58,6,0))</f>
        <v>0</v>
      </c>
      <c r="M70" s="184">
        <f>IF(ISERR(VLOOKUP(M$44,'SJ data'!$A$4:$AC$58,6,0)="TRUE"),0,VLOOKUP(M$44,'SJ data'!$A$4:$AC$58,6,0))</f>
        <v>0</v>
      </c>
      <c r="N70" s="184">
        <f>IF(ISERR(VLOOKUP(N$44,'SJ data'!$A$4:$AC$58,6,0)="TRUE"),0,VLOOKUP(N$44,'SJ data'!$A$4:$AC$58,6,0))</f>
        <v>0</v>
      </c>
      <c r="O70" s="184">
        <f>IF(ISERR(VLOOKUP(O$44,'SJ data'!$A$4:$AC$58,6,0)="TRUE"),0,VLOOKUP(O$44,'SJ data'!$A$4:$AC$58,6,0))</f>
        <v>51324.39</v>
      </c>
      <c r="P70" s="184">
        <f>IF(ISERR(VLOOKUP(P$44,'SJ data'!$A$4:$AC$58,6,0)="TRUE"),0,VLOOKUP(P$44,'SJ data'!$A$4:$AC$58,6,0))</f>
        <v>2000</v>
      </c>
      <c r="Q70" s="184">
        <f>IF(ISERR(VLOOKUP(Q$44,'SJ data'!$A$4:$AC$58,6,0)="TRUE"),0,VLOOKUP(Q$44,'SJ data'!$A$4:$AC$58,6,0))</f>
        <v>0</v>
      </c>
      <c r="R70" s="184">
        <f>IF(ISERR(VLOOKUP(R$44,'SJ data'!$A$4:$AC$58,6,0)="TRUE"),0,VLOOKUP(R$44,'SJ data'!$A$4:$AC$58,6,0))</f>
        <v>0</v>
      </c>
      <c r="S70" s="184">
        <f>IF(ISERR(VLOOKUP(S$44,'SJ data'!$A$4:$AC$58,6,0)="TRUE"),0,VLOOKUP(S$44,'SJ data'!$A$4:$AC$58,6,0))</f>
        <v>0</v>
      </c>
      <c r="T70" s="184">
        <f>IF(ISERR(VLOOKUP(T$44,'SJ data'!$A$4:$AC$58,6,0)="TRUE"),0,VLOOKUP(T$44,'SJ data'!$A$4:$AC$58,6,0))</f>
        <v>3133.34</v>
      </c>
      <c r="U70" s="184">
        <f>IF(ISERR(VLOOKUP(U$44,'SJ data'!$A$4:$AC$58,6,0)="TRUE"),0,VLOOKUP(U$44,'SJ data'!$A$4:$AC$58,6,0))</f>
        <v>1696360.6800000002</v>
      </c>
      <c r="V70" s="184">
        <f>IF(ISERR(VLOOKUP(V$44,'SJ data'!$A$4:$AC$58,6,0)="TRUE"),0,VLOOKUP(V$44,'SJ data'!$A$4:$AC$58,6,0))</f>
        <v>2901.18</v>
      </c>
      <c r="W70" s="184">
        <f>IF(ISERR(VLOOKUP(W$44,'SJ data'!$A$4:$AC$58,6,0)="TRUE"),0,VLOOKUP(W$44,'SJ data'!$A$4:$AC$58,6,0))</f>
        <v>0</v>
      </c>
      <c r="X70" s="184">
        <f>IF(ISERR(VLOOKUP(X$44,'SJ data'!$A$4:$AC$58,6,0)="TRUE"),0,VLOOKUP(X$44,'SJ data'!$A$4:$AC$58,6,0))</f>
        <v>0</v>
      </c>
      <c r="Y70" s="184">
        <f>IF(ISERR(VLOOKUP(Y$44,'SJ data'!$A$4:$AC$58,6,0)="TRUE"),0,VLOOKUP(Y$44,'SJ data'!$A$4:$AC$58,6,0))</f>
        <v>42684.79</v>
      </c>
      <c r="Z70" s="184">
        <f>IF(ISERR(VLOOKUP(Z$44,'SJ data'!$A$4:$AC$58,6,0)="TRUE"),0,VLOOKUP(Z$44,'SJ data'!$A$4:$AC$58,6,0))</f>
        <v>0</v>
      </c>
      <c r="AA70" s="184">
        <f>IF(ISERR(VLOOKUP(AA$44,'SJ data'!$A$4:$AC$58,6,0)="TRUE"),0,VLOOKUP(AA$44,'SJ data'!$A$4:$AC$58,6,0))</f>
        <v>0</v>
      </c>
      <c r="AB70" s="184">
        <f>IF(ISERR(VLOOKUP(AB$44,'SJ data'!$A$4:$AC$58,6,0)="TRUE"),0,VLOOKUP(AB$44,'SJ data'!$A$4:$AC$58,6,0))</f>
        <v>4805212.92</v>
      </c>
      <c r="AC70" s="184">
        <f>IF(ISERR(VLOOKUP(AC$44,'SJ data'!$A$4:$AC$58,6,0)="TRUE"),0,VLOOKUP(AC$44,'SJ data'!$A$4:$AC$58,6,0))</f>
        <v>0</v>
      </c>
      <c r="AD70" s="184">
        <f>IF(ISERR(VLOOKUP(AD$44,'SJ data'!$A$4:$AC$58,6,0)="TRUE"),0,VLOOKUP(AD$44,'SJ data'!$A$4:$AC$58,6,0))</f>
        <v>572604.43999999994</v>
      </c>
      <c r="AE70" s="184">
        <f>IF(ISERR(VLOOKUP(AE$44,'SJ data'!$A$4:$AC$58,6,0)="TRUE"),0,VLOOKUP(AE$44,'SJ data'!$A$4:$AC$58,6,0))</f>
        <v>320</v>
      </c>
      <c r="AF70" s="184">
        <f>IF(ISERR(VLOOKUP(AF$44,'SJ data'!$A$4:$AC$58,6,0)="TRUE"),0,VLOOKUP(AF$44,'SJ data'!$A$4:$AC$58,6,0))</f>
        <v>0</v>
      </c>
      <c r="AG70" s="184">
        <f>IF(ISERR(VLOOKUP(AG$44,'SJ data'!$A$4:$AC$58,6,0)="TRUE"),0,VLOOKUP(AG$44,'SJ data'!$A$4:$AC$58,6,0))</f>
        <v>3133.33</v>
      </c>
      <c r="AH70" s="184">
        <f>IF(ISERR(VLOOKUP(AH$44,'SJ data'!$A$4:$AC$58,6,0)="TRUE"),0,VLOOKUP(AH$44,'SJ data'!$A$4:$AC$58,6,0))</f>
        <v>0</v>
      </c>
      <c r="AI70" s="184">
        <f>IF(ISERR(VLOOKUP(AI$44,'SJ data'!$A$4:$AC$58,6,0)="TRUE"),0,VLOOKUP(AI$44,'SJ data'!$A$4:$AC$58,6,0))</f>
        <v>9750</v>
      </c>
      <c r="AJ70" s="184">
        <f>IF(ISERR(VLOOKUP(AJ$44,'SJ data'!$A$4:$AC$58,6,0)="TRUE"),0,VLOOKUP(AJ$44,'SJ data'!$A$4:$AC$58,6,0))</f>
        <v>5287438.4800000004</v>
      </c>
      <c r="AK70" s="184">
        <f>IF(ISERR(VLOOKUP(AK$44,'SJ data'!$A$4:$AC$58,6,0)="TRUE"),0,VLOOKUP(AK$44,'SJ data'!$A$4:$AC$58,6,0))</f>
        <v>160</v>
      </c>
      <c r="AL70" s="184">
        <f>IF(ISERR(VLOOKUP(AL$44,'SJ data'!$A$4:$AC$58,6,0)="TRUE"),0,VLOOKUP(AL$44,'SJ data'!$A$4:$AC$58,6,0))</f>
        <v>250</v>
      </c>
      <c r="AM70" s="184">
        <f>IF(ISERR(VLOOKUP(AM$44,'SJ data'!$A$4:$AC$58,6,0)="TRUE"),0,VLOOKUP(AM$44,'SJ data'!$A$4:$AC$58,6,0))</f>
        <v>0</v>
      </c>
      <c r="AN70" s="184">
        <f>IF(ISERR(VLOOKUP(AN$44,'SJ data'!$A$4:$AC$58,6,0)="TRUE"),0,VLOOKUP(AN$44,'SJ data'!$A$4:$AC$58,6,0))</f>
        <v>0</v>
      </c>
      <c r="AO70" s="184">
        <f>IF(ISERR(VLOOKUP(AO$44,'SJ data'!$A$4:$AC$58,6,0)="TRUE"),0,VLOOKUP(AO$44,'SJ data'!$A$4:$AC$58,6,0))</f>
        <v>0</v>
      </c>
      <c r="AP70" s="184">
        <f>IF(ISERR(VLOOKUP(AP$44,'SJ data'!$A$4:$AC$58,6,0)="TRUE"),0,VLOOKUP(AP$44,'SJ data'!$A$4:$AC$58,6,0))</f>
        <v>456078.43000000005</v>
      </c>
      <c r="AQ70" s="184">
        <f>IF(ISERR(VLOOKUP(AQ$44,'SJ data'!$A$4:$AC$58,6,0)="TRUE"),0,VLOOKUP(AQ$44,'SJ data'!$A$4:$AC$58,6,0))</f>
        <v>0</v>
      </c>
      <c r="AR70" s="184">
        <f>IF(ISERR(VLOOKUP(AR$44,'SJ data'!$A$4:$AC$58,6,0)="TRUE"),0,VLOOKUP(AR$44,'SJ data'!$A$4:$AC$58,6,0))</f>
        <v>338304.88999999996</v>
      </c>
      <c r="AS70" s="184">
        <f>IF(ISERR(VLOOKUP(AS$44,'SJ data'!$A$4:$AC$58,6,0)="TRUE"),0,VLOOKUP(AS$44,'SJ data'!$A$4:$AC$58,6,0))</f>
        <v>0</v>
      </c>
      <c r="AT70" s="184">
        <f>IF(ISERR(VLOOKUP(AT$44,'SJ data'!$A$4:$AC$58,6,0)="TRUE"),0,VLOOKUP(AT$44,'SJ data'!$A$4:$AC$58,6,0))</f>
        <v>0</v>
      </c>
      <c r="AU70" s="184">
        <f>IF(ISERR(VLOOKUP(AU$44,'SJ data'!$A$4:$AC$58,6,0)="TRUE"),0,VLOOKUP(AU$44,'SJ data'!$A$4:$AC$58,6,0))</f>
        <v>0</v>
      </c>
      <c r="AV70" s="184">
        <f>IF(ISERR(VLOOKUP(AV$44,'SJ data'!$A$4:$AC$58,6,0)="TRUE"),0,VLOOKUP(AV$44,'SJ data'!$A$4:$AC$58,6,0))+'SJ data'!F57</f>
        <v>4123399.5599999996</v>
      </c>
      <c r="AW70" s="184">
        <f>IF(ISERR(VLOOKUP(AW$44,'SJ data'!$A$4:$AC$58,6,0)="TRUE"),0,VLOOKUP(AW$44,'SJ data'!$A$4:$AC$58,6,0))</f>
        <v>0</v>
      </c>
      <c r="AX70" s="184">
        <f>IF(ISERR(VLOOKUP(AX$44,'SJ data'!$A$4:$AC$58,6,0)="TRUE"),0,VLOOKUP(AX$44,'SJ data'!$A$4:$AC$58,6,0))</f>
        <v>0</v>
      </c>
      <c r="AY70" s="184">
        <f>IF(ISERR(VLOOKUP(AY$44,'SJ data'!$A$4:$AC$58,6,0)="TRUE"),0,VLOOKUP(AY$44,'SJ data'!$A$4:$AC$58,6,0))</f>
        <v>0</v>
      </c>
      <c r="AZ70" s="184">
        <f>IF(ISERR(VLOOKUP(AZ$44,'SJ data'!$A$4:$AC$58,6,0)="TRUE"),0,VLOOKUP(AZ$44,'SJ data'!$A$4:$AC$58,6,0))</f>
        <v>3648038.2899999996</v>
      </c>
      <c r="BA70" s="184">
        <f>IF(ISERR(VLOOKUP(BA$44,'SJ data'!$A$4:$AC$58,6,0)="TRUE"),0,VLOOKUP(BA$44,'SJ data'!$A$4:$AC$58,6,0))</f>
        <v>0</v>
      </c>
      <c r="BB70" s="184">
        <f>IF(ISERR(VLOOKUP(BB$44,'SJ data'!$A$4:$AC$58,6,0)="TRUE"),0,VLOOKUP(BB$44,'SJ data'!$A$4:$AC$58,6,0))</f>
        <v>0</v>
      </c>
      <c r="BC70" s="184">
        <f>IF(ISERR(VLOOKUP(BC$44,'SJ data'!$A$4:$AC$58,6,0)="TRUE"),0,VLOOKUP(BC$44,'SJ data'!$A$4:$AC$58,6,0))</f>
        <v>500</v>
      </c>
      <c r="BD70" s="184">
        <f>IF(ISERR(VLOOKUP(BD$44,'SJ data'!$A$4:$AC$58,6,0)="TRUE"),0,VLOOKUP(BD$44,'SJ data'!$A$4:$AC$58,6,0))</f>
        <v>0</v>
      </c>
      <c r="BE70" s="184">
        <f>IF(ISERR(VLOOKUP(BE$44,'SJ data'!$A$4:$AC$58,6,0)="TRUE"),0,VLOOKUP(BE$44,'SJ data'!$A$4:$AC$58,6,0))</f>
        <v>649.94000000000005</v>
      </c>
      <c r="BF70" s="184">
        <f>IF(ISERR(VLOOKUP(BF$44,'SJ data'!$A$4:$AC$58,6,0)="TRUE"),0,VLOOKUP(BF$44,'SJ data'!$A$4:$AC$58,6,0))</f>
        <v>0</v>
      </c>
      <c r="BG70" s="184">
        <f>IF(ISERR(VLOOKUP(BG$44,'SJ data'!$A$4:$AC$58,6,0)="TRUE"),0,VLOOKUP(BG$44,'SJ data'!$A$4:$AC$58,6,0))</f>
        <v>0</v>
      </c>
      <c r="BH70" s="184">
        <f>IF(ISERR(VLOOKUP(BH$44,'SJ data'!$A$4:$AC$58,6,0)="TRUE"),0,VLOOKUP(BH$44,'SJ data'!$A$4:$AC$58,6,0))</f>
        <v>0</v>
      </c>
      <c r="BI70" s="184">
        <f>IF(ISERR(VLOOKUP(BI$44,'SJ data'!$A$4:$AC$58,6,0)="TRUE"),0,VLOOKUP(BI$44,'SJ data'!$A$4:$AC$58,6,0))</f>
        <v>509705.63</v>
      </c>
      <c r="BJ70" s="184">
        <f>IF(ISERR(VLOOKUP(BJ$44,'SJ data'!$A$4:$AC$58,6,0)="TRUE"),0,VLOOKUP(BJ$44,'SJ data'!$A$4:$AC$58,6,0))</f>
        <v>0</v>
      </c>
      <c r="BK70" s="184">
        <f>IF(ISERR(VLOOKUP(BK$44,'SJ data'!$A$4:$AC$58,6,0)="TRUE"),0,VLOOKUP(BK$44,'SJ data'!$A$4:$AC$58,6,0))</f>
        <v>0</v>
      </c>
      <c r="BL70" s="184">
        <f>IF(ISERR(VLOOKUP(BL$44,'SJ data'!$A$4:$AC$58,6,0)="TRUE"),0,VLOOKUP(BL$44,'SJ data'!$A$4:$AC$58,6,0))</f>
        <v>0</v>
      </c>
      <c r="BM70" s="184">
        <f>IF(ISERR(VLOOKUP(BM$44,'SJ data'!$A$4:$AC$58,6,0)="TRUE"),0,VLOOKUP(BM$44,'SJ data'!$A$4:$AC$58,6,0))</f>
        <v>0</v>
      </c>
      <c r="BN70" s="184">
        <f>IF(ISERR(VLOOKUP(BN$44,'SJ data'!$A$4:$AC$58,6,0)="TRUE"),0,VLOOKUP(BN$44,'SJ data'!$A$4:$AC$58,6,0))</f>
        <v>-3645522.48</v>
      </c>
      <c r="BO70" s="184">
        <f>IF(ISERR(VLOOKUP(BO$44,'SJ data'!$A$4:$AC$58,6,0)="TRUE"),0,VLOOKUP(BO$44,'SJ data'!$A$4:$AC$58,6,0))</f>
        <v>0</v>
      </c>
      <c r="BP70" s="184">
        <f>IF(ISERR(VLOOKUP(BP$44,'SJ data'!$A$4:$AC$58,6,0)="TRUE"),0,VLOOKUP(BP$44,'SJ data'!$A$4:$AC$58,6,0))</f>
        <v>0</v>
      </c>
      <c r="BQ70" s="184">
        <f>IF(ISERR(VLOOKUP(BQ$44,'SJ data'!$A$4:$AC$58,6,0)="TRUE"),0,VLOOKUP(BQ$44,'SJ data'!$A$4:$AC$58,6,0))</f>
        <v>0</v>
      </c>
      <c r="BR70" s="184">
        <f>IF(ISERR(VLOOKUP(BR$44,'SJ data'!$A$4:$AC$58,6,0)="TRUE"),0,VLOOKUP(BR$44,'SJ data'!$A$4:$AC$58,6,0))</f>
        <v>0</v>
      </c>
      <c r="BS70" s="184">
        <f>IF(ISERR(VLOOKUP(BS$44,'SJ data'!$A$4:$AC$58,6,0)="TRUE"),0,VLOOKUP(BS$44,'SJ data'!$A$4:$AC$58,6,0))</f>
        <v>0</v>
      </c>
      <c r="BT70" s="184">
        <f>IF(ISERR(VLOOKUP(BT$44,'SJ data'!$A$4:$AC$58,6,0)="TRUE"),0,VLOOKUP(BT$44,'SJ data'!$A$4:$AC$58,6,0))</f>
        <v>20375</v>
      </c>
      <c r="BU70" s="184">
        <f>IF(ISERR(VLOOKUP(BU$44,'SJ data'!$A$4:$AC$58,6,0)="TRUE"),0,VLOOKUP(BU$44,'SJ data'!$A$4:$AC$58,6,0))</f>
        <v>0</v>
      </c>
      <c r="BV70" s="184">
        <f>IF(ISERR(VLOOKUP(BV$44,'SJ data'!$A$4:$AC$58,6,0)="TRUE"),0,VLOOKUP(BV$44,'SJ data'!$A$4:$AC$58,6,0))</f>
        <v>0</v>
      </c>
      <c r="BW70" s="184">
        <f>IF(ISERR(VLOOKUP(BW$44,'SJ data'!$A$4:$AC$58,6,0)="TRUE"),0,VLOOKUP(BW$44,'SJ data'!$A$4:$AC$58,6,0))</f>
        <v>0</v>
      </c>
      <c r="BX70" s="184">
        <f>IF(ISERR(VLOOKUP(BX$44,'SJ data'!$A$4:$AC$58,6,0)="TRUE"),0,VLOOKUP(BX$44,'SJ data'!$A$4:$AC$58,6,0))</f>
        <v>0</v>
      </c>
      <c r="BY70" s="184">
        <f>IF(ISERR(VLOOKUP(BY$44,'SJ data'!$A$4:$AC$58,6,0)="TRUE"),0,VLOOKUP(BY$44,'SJ data'!$A$4:$AC$58,6,0))</f>
        <v>0</v>
      </c>
      <c r="BZ70" s="184">
        <f>IF(ISERR(VLOOKUP(BZ$44,'SJ data'!$A$4:$AC$58,6,0)="TRUE"),0,VLOOKUP(BZ$44,'SJ data'!$A$4:$AC$58,6,0))</f>
        <v>0</v>
      </c>
      <c r="CA70" s="184">
        <f>IF(ISERR(VLOOKUP(CA$44,'SJ data'!$A$4:$AC$58,6,0)="TRUE"),0,VLOOKUP(CA$44,'SJ data'!$A$4:$AC$58,6,0))</f>
        <v>0</v>
      </c>
      <c r="CB70" s="184">
        <f>IF(ISERR(VLOOKUP(CB$44,'SJ data'!$A$4:$AC$58,6,0)="TRUE"),0,VLOOKUP(CB$44,'SJ data'!$A$4:$AC$58,6,0))</f>
        <v>125022.39</v>
      </c>
      <c r="CC70" s="184">
        <f>IF(ISERR(VLOOKUP(CC$44,'SJ data'!$A$4:$AC$58,6,0)="TRUE"),0,VLOOKUP(CC$44,'SJ data'!$A$4:$AC$58,6,0))</f>
        <v>0</v>
      </c>
      <c r="CD70" s="184">
        <f>IF(ISERR(VLOOKUP(CD$44,'SJ data'!$A$4:$AC$58,6,0)="TRUE"),0,VLOOKUP(CD$44,'SJ data'!$A$4:$AC$58,6,0))</f>
        <v>0</v>
      </c>
      <c r="CE70" s="195">
        <f t="shared" si="0"/>
        <v>18133636.280000001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27564346.390000001</v>
      </c>
      <c r="D71" s="195">
        <f t="shared" ref="D71:AI71" si="5">SUM(D61:D69)-D70</f>
        <v>0</v>
      </c>
      <c r="E71" s="195">
        <f t="shared" si="5"/>
        <v>52160928.861550003</v>
      </c>
      <c r="F71" s="195">
        <f t="shared" si="5"/>
        <v>0</v>
      </c>
      <c r="G71" s="195">
        <f t="shared" si="5"/>
        <v>170094.19945000001</v>
      </c>
      <c r="H71" s="195">
        <f t="shared" si="5"/>
        <v>5266565.74</v>
      </c>
      <c r="I71" s="195">
        <f t="shared" si="5"/>
        <v>0</v>
      </c>
      <c r="J71" s="195">
        <f t="shared" si="5"/>
        <v>8539303.3199999984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20741144.960000005</v>
      </c>
      <c r="P71" s="195">
        <f t="shared" si="5"/>
        <v>91747162.649300203</v>
      </c>
      <c r="Q71" s="195">
        <f t="shared" si="5"/>
        <v>2586207.71</v>
      </c>
      <c r="R71" s="195">
        <f t="shared" si="5"/>
        <v>0</v>
      </c>
      <c r="S71" s="195">
        <f t="shared" si="5"/>
        <v>5104517.4126225486</v>
      </c>
      <c r="T71" s="195">
        <f t="shared" si="5"/>
        <v>2400977.1987000005</v>
      </c>
      <c r="U71" s="195">
        <f t="shared" si="5"/>
        <v>21200214.919999994</v>
      </c>
      <c r="V71" s="195">
        <f t="shared" si="5"/>
        <v>14006000.57</v>
      </c>
      <c r="W71" s="195">
        <f t="shared" si="5"/>
        <v>0</v>
      </c>
      <c r="X71" s="195">
        <f t="shared" si="5"/>
        <v>1848614.98</v>
      </c>
      <c r="Y71" s="195">
        <f t="shared" si="5"/>
        <v>14684452.969999999</v>
      </c>
      <c r="Z71" s="195">
        <f t="shared" si="5"/>
        <v>0</v>
      </c>
      <c r="AA71" s="195">
        <f t="shared" si="5"/>
        <v>1696094.2</v>
      </c>
      <c r="AB71" s="195">
        <f t="shared" si="5"/>
        <v>29155082.859999999</v>
      </c>
      <c r="AC71" s="195">
        <f t="shared" si="5"/>
        <v>4473415.92</v>
      </c>
      <c r="AD71" s="195">
        <f t="shared" si="5"/>
        <v>2321837.2499999995</v>
      </c>
      <c r="AE71" s="195">
        <f t="shared" si="5"/>
        <v>4691192.8900000006</v>
      </c>
      <c r="AF71" s="195">
        <f t="shared" si="5"/>
        <v>0</v>
      </c>
      <c r="AG71" s="195">
        <f t="shared" si="5"/>
        <v>21230375.7234</v>
      </c>
      <c r="AH71" s="195">
        <f t="shared" si="5"/>
        <v>0</v>
      </c>
      <c r="AI71" s="195">
        <f t="shared" si="5"/>
        <v>14803782.939999998</v>
      </c>
      <c r="AJ71" s="195">
        <f t="shared" ref="AJ71:BO71" si="6">SUM(AJ61:AJ69)-AJ70</f>
        <v>140945366.35000002</v>
      </c>
      <c r="AK71" s="195">
        <f t="shared" si="6"/>
        <v>1823776.4700000002</v>
      </c>
      <c r="AL71" s="195">
        <f t="shared" si="6"/>
        <v>591806.84999999986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513959.37</v>
      </c>
      <c r="AQ71" s="195">
        <f t="shared" si="6"/>
        <v>0</v>
      </c>
      <c r="AR71" s="195">
        <f t="shared" si="6"/>
        <v>55385424.979999997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11892882.373459999</v>
      </c>
      <c r="AW71" s="195">
        <f t="shared" si="6"/>
        <v>0</v>
      </c>
      <c r="AX71" s="195">
        <f t="shared" si="6"/>
        <v>276736.07519999996</v>
      </c>
      <c r="AY71" s="195">
        <f t="shared" si="6"/>
        <v>0</v>
      </c>
      <c r="AZ71" s="195">
        <f t="shared" si="6"/>
        <v>9308161.3900000025</v>
      </c>
      <c r="BA71" s="195">
        <f t="shared" si="6"/>
        <v>408574.01000000007</v>
      </c>
      <c r="BB71" s="195">
        <f t="shared" si="6"/>
        <v>0</v>
      </c>
      <c r="BC71" s="195">
        <f t="shared" si="6"/>
        <v>664600.69000000006</v>
      </c>
      <c r="BD71" s="195">
        <f t="shared" si="6"/>
        <v>0</v>
      </c>
      <c r="BE71" s="195">
        <f t="shared" si="6"/>
        <v>28700266.812399995</v>
      </c>
      <c r="BF71" s="195">
        <f t="shared" si="6"/>
        <v>6825132.8600000003</v>
      </c>
      <c r="BG71" s="195">
        <f t="shared" si="6"/>
        <v>1191320.3351499999</v>
      </c>
      <c r="BH71" s="195">
        <f t="shared" si="6"/>
        <v>5189987.8909999998</v>
      </c>
      <c r="BI71" s="195">
        <f t="shared" si="6"/>
        <v>-193721.75000000006</v>
      </c>
      <c r="BJ71" s="195">
        <f t="shared" si="6"/>
        <v>1239152.4813499996</v>
      </c>
      <c r="BK71" s="195">
        <f t="shared" si="6"/>
        <v>8085774.038851345</v>
      </c>
      <c r="BL71" s="195">
        <f t="shared" si="6"/>
        <v>7802620.0387800001</v>
      </c>
      <c r="BM71" s="195">
        <f t="shared" si="6"/>
        <v>0</v>
      </c>
      <c r="BN71" s="195">
        <f t="shared" si="6"/>
        <v>23548762.266933471</v>
      </c>
      <c r="BO71" s="195">
        <f t="shared" si="6"/>
        <v>903228.29629999993</v>
      </c>
      <c r="BP71" s="195">
        <f t="shared" ref="BP71:CC71" si="7">SUM(BP61:BP69)-BP70</f>
        <v>4759957.9238999989</v>
      </c>
      <c r="BQ71" s="195">
        <f t="shared" si="7"/>
        <v>0</v>
      </c>
      <c r="BR71" s="195">
        <f t="shared" si="7"/>
        <v>3041936.1810500063</v>
      </c>
      <c r="BS71" s="195">
        <f t="shared" si="7"/>
        <v>249573.94244999991</v>
      </c>
      <c r="BT71" s="195">
        <f t="shared" si="7"/>
        <v>725438.13594999991</v>
      </c>
      <c r="BU71" s="195">
        <f t="shared" si="7"/>
        <v>148855.08905000004</v>
      </c>
      <c r="BV71" s="195">
        <f t="shared" si="7"/>
        <v>11279047.736275665</v>
      </c>
      <c r="BW71" s="195">
        <f t="shared" si="7"/>
        <v>2193227.9204805247</v>
      </c>
      <c r="BX71" s="195">
        <f t="shared" si="7"/>
        <v>11463193.24275312</v>
      </c>
      <c r="BY71" s="195">
        <f t="shared" si="7"/>
        <v>5797849.101449999</v>
      </c>
      <c r="BZ71" s="195">
        <f t="shared" si="7"/>
        <v>0</v>
      </c>
      <c r="CA71" s="195">
        <f t="shared" si="7"/>
        <v>2111521.1044000005</v>
      </c>
      <c r="CB71" s="195">
        <f t="shared" si="7"/>
        <v>149799.47584999999</v>
      </c>
      <c r="CC71" s="195">
        <f t="shared" si="7"/>
        <v>42714031.482459575</v>
      </c>
      <c r="CD71" s="245">
        <f>CD69-CD70</f>
        <v>35935524.939999998</v>
      </c>
      <c r="CE71" s="195">
        <f>SUM(CE61:CE69)-CE70</f>
        <v>772066081.77051663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IF(ISERR(VLOOKUP(C$44,'SJ data'!$A$4:$AC$58,3,0)="TRUE"),0,VLOOKUP(C$44,'SJ data'!$A$4:$AC$58,3,0))</f>
        <v>103108242.73000002</v>
      </c>
      <c r="D73" s="184">
        <f>IF(ISERR(VLOOKUP(D$44,'SJ data'!$A$4:$AC$58,3,0)="TRUE"),0,VLOOKUP(D$44,'SJ data'!$A$4:$AC$58,3,0))</f>
        <v>0</v>
      </c>
      <c r="E73" s="184">
        <f>IF(ISERR(VLOOKUP(E$44,'SJ data'!$A$4:$AC$58,3,0)="TRUE"),0,VLOOKUP(E$44,'SJ data'!$A$4:$AC$58,3,0))</f>
        <v>223391974.67999995</v>
      </c>
      <c r="F73" s="184">
        <f>IF(ISERR(VLOOKUP(F$44,'SJ data'!$A$4:$AC$58,3,0)="TRUE"),0,VLOOKUP(F$44,'SJ data'!$A$4:$AC$58,3,0))</f>
        <v>0</v>
      </c>
      <c r="G73" s="184">
        <f>IF(ISERR(VLOOKUP(G$44,'SJ data'!$A$4:$AC$58,3,0)="TRUE"),0,VLOOKUP(G$44,'SJ data'!$A$4:$AC$58,3,0))</f>
        <v>0</v>
      </c>
      <c r="H73" s="184">
        <f>IF(ISERR(VLOOKUP(H$44,'SJ data'!$A$4:$AC$58,3,0)="TRUE"),0,VLOOKUP(H$44,'SJ data'!$A$4:$AC$58,3,0))</f>
        <v>19919171.980000004</v>
      </c>
      <c r="I73" s="184">
        <f>IF(ISERR(VLOOKUP(I$44,'SJ data'!$A$4:$AC$58,3,0)="TRUE"),0,VLOOKUP(I$44,'SJ data'!$A$4:$AC$58,3,0))</f>
        <v>0</v>
      </c>
      <c r="J73" s="184">
        <f>IF(ISERR(VLOOKUP(J$44,'SJ data'!$A$4:$AC$58,3,0)="TRUE"),0,VLOOKUP(J$44,'SJ data'!$A$4:$AC$58,3,0))</f>
        <v>48143161.229999989</v>
      </c>
      <c r="K73" s="184">
        <f>IF(ISERR(VLOOKUP(K$44,'SJ data'!$A$4:$AC$58,3,0)="TRUE"),0,VLOOKUP(K$44,'SJ data'!$A$4:$AC$58,3,0))</f>
        <v>0</v>
      </c>
      <c r="L73" s="184">
        <f>IF(ISERR(VLOOKUP(L$44,'SJ data'!$A$4:$AC$58,3,0)="TRUE"),0,VLOOKUP(L$44,'SJ data'!$A$4:$AC$58,3,0))</f>
        <v>0</v>
      </c>
      <c r="M73" s="184">
        <f>IF(ISERR(VLOOKUP(M$44,'SJ data'!$A$4:$AC$58,3,0)="TRUE"),0,VLOOKUP(M$44,'SJ data'!$A$4:$AC$58,3,0))</f>
        <v>0</v>
      </c>
      <c r="N73" s="184">
        <f>IF(ISERR(VLOOKUP(N$44,'SJ data'!$A$4:$AC$58,3,0)="TRUE"),0,VLOOKUP(N$44,'SJ data'!$A$4:$AC$58,3,0))</f>
        <v>0</v>
      </c>
      <c r="O73" s="184">
        <f>IF(ISERR(VLOOKUP(O$44,'SJ data'!$A$4:$AC$58,3,0)="TRUE"),0,VLOOKUP(O$44,'SJ data'!$A$4:$AC$58,3,0))</f>
        <v>132666706.41</v>
      </c>
      <c r="P73" s="184">
        <f>IF(ISERR(VLOOKUP(P$44,'SJ data'!$A$4:$AC$58,3,0)="TRUE"),0,VLOOKUP(P$44,'SJ data'!$A$4:$AC$58,3,0))</f>
        <v>532433330.89999998</v>
      </c>
      <c r="Q73" s="184">
        <f>IF(ISERR(VLOOKUP(Q$44,'SJ data'!$A$4:$AC$58,3,0)="TRUE"),0,VLOOKUP(Q$44,'SJ data'!$A$4:$AC$58,3,0))</f>
        <v>15198269.490000002</v>
      </c>
      <c r="R73" s="184">
        <f>IF(ISERR(VLOOKUP(R$44,'SJ data'!$A$4:$AC$58,3,0)="TRUE"),0,VLOOKUP(R$44,'SJ data'!$A$4:$AC$58,3,0))</f>
        <v>0</v>
      </c>
      <c r="S73" s="184">
        <f>IF(ISERR(VLOOKUP(S$44,'SJ data'!$A$4:$AC$58,3,0)="TRUE"),0,VLOOKUP(S$44,'SJ data'!$A$4:$AC$58,3,0))</f>
        <v>0</v>
      </c>
      <c r="T73" s="184">
        <f>IF(ISERR(VLOOKUP(T$44,'SJ data'!$A$4:$AC$58,3,0)="TRUE"),0,VLOOKUP(T$44,'SJ data'!$A$4:$AC$58,3,0))</f>
        <v>12318367.75</v>
      </c>
      <c r="U73" s="184">
        <f>IF(ISERR(VLOOKUP(U$44,'SJ data'!$A$4:$AC$58,3,0)="TRUE"),0,VLOOKUP(U$44,'SJ data'!$A$4:$AC$58,3,0))</f>
        <v>102211637.50999999</v>
      </c>
      <c r="V73" s="184">
        <f>IF(ISERR(VLOOKUP(V$44,'SJ data'!$A$4:$AC$58,3,0)="TRUE"),0,VLOOKUP(V$44,'SJ data'!$A$4:$AC$58,3,0))</f>
        <v>34323895.439999998</v>
      </c>
      <c r="W73" s="184">
        <f>IF(ISERR(VLOOKUP(W$44,'SJ data'!$A$4:$AC$58,3,0)="TRUE"),0,VLOOKUP(W$44,'SJ data'!$A$4:$AC$58,3,0))</f>
        <v>0</v>
      </c>
      <c r="X73" s="184">
        <f>IF(ISERR(VLOOKUP(X$44,'SJ data'!$A$4:$AC$58,3,0)="TRUE"),0,VLOOKUP(X$44,'SJ data'!$A$4:$AC$58,3,0))</f>
        <v>66736788.920000009</v>
      </c>
      <c r="Y73" s="184">
        <f>IF(ISERR(VLOOKUP(Y$44,'SJ data'!$A$4:$AC$58,3,0)="TRUE"),0,VLOOKUP(Y$44,'SJ data'!$A$4:$AC$58,3,0))</f>
        <v>66943845.68999999</v>
      </c>
      <c r="Z73" s="184">
        <f>IF(ISERR(VLOOKUP(Z$44,'SJ data'!$A$4:$AC$58,3,0)="TRUE"),0,VLOOKUP(Z$44,'SJ data'!$A$4:$AC$58,3,0))</f>
        <v>0</v>
      </c>
      <c r="AA73" s="184">
        <f>IF(ISERR(VLOOKUP(AA$44,'SJ data'!$A$4:$AC$58,3,0)="TRUE"),0,VLOOKUP(AA$44,'SJ data'!$A$4:$AC$58,3,0))</f>
        <v>4121080.9699999993</v>
      </c>
      <c r="AB73" s="184">
        <f>IF(ISERR(VLOOKUP(AB$44,'SJ data'!$A$4:$AC$58,3,0)="TRUE"),0,VLOOKUP(AB$44,'SJ data'!$A$4:$AC$58,3,0))</f>
        <v>290419303.39999998</v>
      </c>
      <c r="AC73" s="184">
        <f>IF(ISERR(VLOOKUP(AC$44,'SJ data'!$A$4:$AC$58,3,0)="TRUE"),0,VLOOKUP(AC$44,'SJ data'!$A$4:$AC$58,3,0))</f>
        <v>58993710.18</v>
      </c>
      <c r="AD73" s="184">
        <f>IF(ISERR(VLOOKUP(AD$44,'SJ data'!$A$4:$AC$58,3,0)="TRUE"),0,VLOOKUP(AD$44,'SJ data'!$A$4:$AC$58,3,0))</f>
        <v>9194436.0200000014</v>
      </c>
      <c r="AE73" s="184">
        <f>IF(ISERR(VLOOKUP(AE$44,'SJ data'!$A$4:$AC$58,3,0)="TRUE"),0,VLOOKUP(AE$44,'SJ data'!$A$4:$AC$58,3,0))</f>
        <v>8187153.1600000001</v>
      </c>
      <c r="AF73" s="184">
        <f>IF(ISERR(VLOOKUP(AF$44,'SJ data'!$A$4:$AC$58,3,0)="TRUE"),0,VLOOKUP(AF$44,'SJ data'!$A$4:$AC$58,3,0))</f>
        <v>0</v>
      </c>
      <c r="AG73" s="184">
        <f>IF(ISERR(VLOOKUP(AG$44,'SJ data'!$A$4:$AC$58,3,0)="TRUE"),0,VLOOKUP(AG$44,'SJ data'!$A$4:$AC$58,3,0))</f>
        <v>63076688.789999999</v>
      </c>
      <c r="AH73" s="184">
        <f>IF(ISERR(VLOOKUP(AH$44,'SJ data'!$A$4:$AC$58,3,0)="TRUE"),0,VLOOKUP(AH$44,'SJ data'!$A$4:$AC$58,3,0))</f>
        <v>0</v>
      </c>
      <c r="AI73" s="184">
        <f>IF(ISERR(VLOOKUP(AI$44,'SJ data'!$A$4:$AC$58,3,0)="TRUE"),0,VLOOKUP(AI$44,'SJ data'!$A$4:$AC$58,3,0))</f>
        <v>49686320.769999996</v>
      </c>
      <c r="AJ73" s="184">
        <f>IF(ISERR(VLOOKUP(AJ$44,'SJ data'!$A$4:$AC$58,3,0)="TRUE"),0,VLOOKUP(AJ$44,'SJ data'!$A$4:$AC$58,3,0))</f>
        <v>59077.849999999991</v>
      </c>
      <c r="AK73" s="184">
        <f>IF(ISERR(VLOOKUP(AK$44,'SJ data'!$A$4:$AC$58,3,0)="TRUE"),0,VLOOKUP(AK$44,'SJ data'!$A$4:$AC$58,3,0))</f>
        <v>6001370.1500000004</v>
      </c>
      <c r="AL73" s="184">
        <f>IF(ISERR(VLOOKUP(AL$44,'SJ data'!$A$4:$AC$58,3,0)="TRUE"),0,VLOOKUP(AL$44,'SJ data'!$A$4:$AC$58,3,0))</f>
        <v>2343972.2800000003</v>
      </c>
      <c r="AM73" s="184">
        <f>IF(ISERR(VLOOKUP(AM$44,'SJ data'!$A$4:$AC$58,3,0)="TRUE"),0,VLOOKUP(AM$44,'SJ data'!$A$4:$AC$58,3,0))</f>
        <v>0</v>
      </c>
      <c r="AN73" s="184">
        <f>IF(ISERR(VLOOKUP(AN$44,'SJ data'!$A$4:$AC$58,3,0)="TRUE"),0,VLOOKUP(AN$44,'SJ data'!$A$4:$AC$58,3,0))</f>
        <v>0</v>
      </c>
      <c r="AO73" s="184">
        <f>IF(ISERR(VLOOKUP(AO$44,'SJ data'!$A$4:$AC$58,3,0)="TRUE"),0,VLOOKUP(AO$44,'SJ data'!$A$4:$AC$58,3,0))</f>
        <v>0</v>
      </c>
      <c r="AP73" s="184">
        <f>IF(ISERR(VLOOKUP(AP$44,'SJ data'!$A$4:$AC$58,3,0)="TRUE"),0,VLOOKUP(AP$44,'SJ data'!$A$4:$AC$58,3,0))</f>
        <v>23382.18</v>
      </c>
      <c r="AQ73" s="184">
        <f>IF(ISERR(VLOOKUP(AQ$44,'SJ data'!$A$4:$AC$58,3,0)="TRUE"),0,VLOOKUP(AQ$44,'SJ data'!$A$4:$AC$58,3,0))</f>
        <v>0</v>
      </c>
      <c r="AR73" s="184">
        <f>IF(ISERR(VLOOKUP(AR$44,'SJ data'!$A$4:$AC$58,3,0)="TRUE"),0,VLOOKUP(AR$44,'SJ data'!$A$4:$AC$58,3,0))</f>
        <v>0</v>
      </c>
      <c r="AS73" s="184">
        <f>IF(ISERR(VLOOKUP(AS$44,'SJ data'!$A$4:$AC$58,3,0)="TRUE"),0,VLOOKUP(AS$44,'SJ data'!$A$4:$AC$58,3,0))</f>
        <v>0</v>
      </c>
      <c r="AT73" s="184">
        <f>IF(ISERR(VLOOKUP(AT$44,'SJ data'!$A$4:$AC$58,3,0)="TRUE"),0,VLOOKUP(AT$44,'SJ data'!$A$4:$AC$58,3,0))</f>
        <v>0</v>
      </c>
      <c r="AU73" s="184">
        <f>IF(ISERR(VLOOKUP(AU$44,'SJ data'!$A$4:$AC$58,3,0)="TRUE"),0,VLOOKUP(AU$44,'SJ data'!$A$4:$AC$58,3,0))</f>
        <v>0</v>
      </c>
      <c r="AV73" s="184">
        <f>IF(ISERR(VLOOKUP(AV$44,'SJ data'!$A$4:$AC$58,3,0)="TRUE"),0,VLOOKUP(AV$44,'SJ data'!$A$4:$AC$58,3,0))+'SJ data'!C57</f>
        <v>97014.870000000112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1849598903.3499999</v>
      </c>
      <c r="CF73" s="252"/>
    </row>
    <row r="74" spans="1:84" ht="12.6" customHeight="1" x14ac:dyDescent="0.25">
      <c r="A74" s="171" t="s">
        <v>246</v>
      </c>
      <c r="B74" s="175"/>
      <c r="C74" s="184">
        <f>IF(ISERR(VLOOKUP(C$44,'SJ data'!$A$4:$AC$58,4,0)="TRUE"),0,VLOOKUP(C$44,'SJ data'!$A$4:$AC$58,4,0))</f>
        <v>426847.15</v>
      </c>
      <c r="D74" s="184">
        <f>IF(ISERR(VLOOKUP(D$44,'SJ data'!$A$4:$AC$58,4,0)="TRUE"),0,VLOOKUP(D$44,'SJ data'!$A$4:$AC$58,4,0))</f>
        <v>0</v>
      </c>
      <c r="E74" s="184">
        <f>IF(ISERR(VLOOKUP(E$44,'SJ data'!$A$4:$AC$58,4,0)="TRUE"),0,VLOOKUP(E$44,'SJ data'!$A$4:$AC$58,4,0))</f>
        <v>19206823.530000001</v>
      </c>
      <c r="F74" s="184">
        <f>IF(ISERR(VLOOKUP(F$44,'SJ data'!$A$4:$AC$58,4,0)="TRUE"),0,VLOOKUP(F$44,'SJ data'!$A$4:$AC$58,4,0))</f>
        <v>0</v>
      </c>
      <c r="G74" s="184">
        <f>IF(ISERR(VLOOKUP(G$44,'SJ data'!$A$4:$AC$58,4,0)="TRUE"),0,VLOOKUP(G$44,'SJ data'!$A$4:$AC$58,4,0))</f>
        <v>0</v>
      </c>
      <c r="H74" s="184">
        <f>IF(ISERR(VLOOKUP(H$44,'SJ data'!$A$4:$AC$58,4,0)="TRUE"),0,VLOOKUP(H$44,'SJ data'!$A$4:$AC$58,4,0))</f>
        <v>1062923.55</v>
      </c>
      <c r="I74" s="184">
        <f>IF(ISERR(VLOOKUP(I$44,'SJ data'!$A$4:$AC$58,4,0)="TRUE"),0,VLOOKUP(I$44,'SJ data'!$A$4:$AC$58,4,0))</f>
        <v>0</v>
      </c>
      <c r="J74" s="184">
        <f>IF(ISERR(VLOOKUP(J$44,'SJ data'!$A$4:$AC$58,4,0)="TRUE"),0,VLOOKUP(J$44,'SJ data'!$A$4:$AC$58,4,0))</f>
        <v>628.8599999999999</v>
      </c>
      <c r="K74" s="184">
        <f>IF(ISERR(VLOOKUP(K$44,'SJ data'!$A$4:$AC$58,4,0)="TRUE"),0,VLOOKUP(K$44,'SJ data'!$A$4:$AC$58,4,0))</f>
        <v>0</v>
      </c>
      <c r="L74" s="184">
        <f>IF(ISERR(VLOOKUP(L$44,'SJ data'!$A$4:$AC$58,4,0)="TRUE"),0,VLOOKUP(L$44,'SJ data'!$A$4:$AC$58,4,0))</f>
        <v>0</v>
      </c>
      <c r="M74" s="184">
        <f>IF(ISERR(VLOOKUP(M$44,'SJ data'!$A$4:$AC$58,4,0)="TRUE"),0,VLOOKUP(M$44,'SJ data'!$A$4:$AC$58,4,0))</f>
        <v>0</v>
      </c>
      <c r="N74" s="184">
        <f>IF(ISERR(VLOOKUP(N$44,'SJ data'!$A$4:$AC$58,4,0)="TRUE"),0,VLOOKUP(N$44,'SJ data'!$A$4:$AC$58,4,0))</f>
        <v>0</v>
      </c>
      <c r="O74" s="184">
        <f>IF(ISERR(VLOOKUP(O$44,'SJ data'!$A$4:$AC$58,4,0)="TRUE"),0,VLOOKUP(O$44,'SJ data'!$A$4:$AC$58,4,0))</f>
        <v>10888246.739999998</v>
      </c>
      <c r="P74" s="184">
        <f>IF(ISERR(VLOOKUP(P$44,'SJ data'!$A$4:$AC$58,4,0)="TRUE"),0,VLOOKUP(P$44,'SJ data'!$A$4:$AC$58,4,0))</f>
        <v>436226191.91000003</v>
      </c>
      <c r="Q74" s="184">
        <f>IF(ISERR(VLOOKUP(Q$44,'SJ data'!$A$4:$AC$58,4,0)="TRUE"),0,VLOOKUP(Q$44,'SJ data'!$A$4:$AC$58,4,0))</f>
        <v>11040690.049999999</v>
      </c>
      <c r="R74" s="184">
        <f>IF(ISERR(VLOOKUP(R$44,'SJ data'!$A$4:$AC$58,4,0)="TRUE"),0,VLOOKUP(R$44,'SJ data'!$A$4:$AC$58,4,0))</f>
        <v>0</v>
      </c>
      <c r="S74" s="184">
        <f>IF(ISERR(VLOOKUP(S$44,'SJ data'!$A$4:$AC$58,4,0)="TRUE"),0,VLOOKUP(S$44,'SJ data'!$A$4:$AC$58,4,0))</f>
        <v>0</v>
      </c>
      <c r="T74" s="184">
        <f>IF(ISERR(VLOOKUP(T$44,'SJ data'!$A$4:$AC$58,4,0)="TRUE"),0,VLOOKUP(T$44,'SJ data'!$A$4:$AC$58,4,0))</f>
        <v>483811.59</v>
      </c>
      <c r="U74" s="184">
        <f>IF(ISERR(VLOOKUP(U$44,'SJ data'!$A$4:$AC$58,4,0)="TRUE"),0,VLOOKUP(U$44,'SJ data'!$A$4:$AC$58,4,0))</f>
        <v>36947234.760000005</v>
      </c>
      <c r="V74" s="184">
        <f>IF(ISERR(VLOOKUP(V$44,'SJ data'!$A$4:$AC$58,4,0)="TRUE"),0,VLOOKUP(V$44,'SJ data'!$A$4:$AC$58,4,0))</f>
        <v>68190952.560000002</v>
      </c>
      <c r="W74" s="184">
        <f>IF(ISERR(VLOOKUP(W$44,'SJ data'!$A$4:$AC$58,4,0)="TRUE"),0,VLOOKUP(W$44,'SJ data'!$A$4:$AC$58,4,0))</f>
        <v>0</v>
      </c>
      <c r="X74" s="184">
        <f>IF(ISERR(VLOOKUP(X$44,'SJ data'!$A$4:$AC$58,4,0)="TRUE"),0,VLOOKUP(X$44,'SJ data'!$A$4:$AC$58,4,0))</f>
        <v>77865351.310000002</v>
      </c>
      <c r="Y74" s="184">
        <f>IF(ISERR(VLOOKUP(Y$44,'SJ data'!$A$4:$AC$58,4,0)="TRUE"),0,VLOOKUP(Y$44,'SJ data'!$A$4:$AC$58,4,0))</f>
        <v>67580171.530000001</v>
      </c>
      <c r="Z74" s="184">
        <f>IF(ISERR(VLOOKUP(Z$44,'SJ data'!$A$4:$AC$58,4,0)="TRUE"),0,VLOOKUP(Z$44,'SJ data'!$A$4:$AC$58,4,0))</f>
        <v>0</v>
      </c>
      <c r="AA74" s="184">
        <f>IF(ISERR(VLOOKUP(AA$44,'SJ data'!$A$4:$AC$58,4,0)="TRUE"),0,VLOOKUP(AA$44,'SJ data'!$A$4:$AC$58,4,0))</f>
        <v>20505251.740000002</v>
      </c>
      <c r="AB74" s="184">
        <f>IF(ISERR(VLOOKUP(AB$44,'SJ data'!$A$4:$AC$58,4,0)="TRUE"),0,VLOOKUP(AB$44,'SJ data'!$A$4:$AC$58,4,0))</f>
        <v>115104425.08</v>
      </c>
      <c r="AC74" s="184">
        <f>IF(ISERR(VLOOKUP(AC$44,'SJ data'!$A$4:$AC$58,4,0)="TRUE"),0,VLOOKUP(AC$44,'SJ data'!$A$4:$AC$58,4,0))</f>
        <v>7560155.5800000001</v>
      </c>
      <c r="AD74" s="184">
        <f>IF(ISERR(VLOOKUP(AD$44,'SJ data'!$A$4:$AC$58,4,0)="TRUE"),0,VLOOKUP(AD$44,'SJ data'!$A$4:$AC$58,4,0))</f>
        <v>528707.83000000007</v>
      </c>
      <c r="AE74" s="184">
        <f>IF(ISERR(VLOOKUP(AE$44,'SJ data'!$A$4:$AC$58,4,0)="TRUE"),0,VLOOKUP(AE$44,'SJ data'!$A$4:$AC$58,4,0))</f>
        <v>16138578.91</v>
      </c>
      <c r="AF74" s="184">
        <f>IF(ISERR(VLOOKUP(AF$44,'SJ data'!$A$4:$AC$58,4,0)="TRUE"),0,VLOOKUP(AF$44,'SJ data'!$A$4:$AC$58,4,0))</f>
        <v>0</v>
      </c>
      <c r="AG74" s="184">
        <f>IF(ISERR(VLOOKUP(AG$44,'SJ data'!$A$4:$AC$58,4,0)="TRUE"),0,VLOOKUP(AG$44,'SJ data'!$A$4:$AC$58,4,0))</f>
        <v>115548181.39</v>
      </c>
      <c r="AH74" s="184">
        <f>IF(ISERR(VLOOKUP(AH$44,'SJ data'!$A$4:$AC$58,4,0)="TRUE"),0,VLOOKUP(AH$44,'SJ data'!$A$4:$AC$58,4,0))</f>
        <v>0</v>
      </c>
      <c r="AI74" s="184">
        <f>IF(ISERR(VLOOKUP(AI$44,'SJ data'!$A$4:$AC$58,4,0)="TRUE"),0,VLOOKUP(AI$44,'SJ data'!$A$4:$AC$58,4,0))</f>
        <v>40292809.469999999</v>
      </c>
      <c r="AJ74" s="184">
        <f>IF(ISERR(VLOOKUP(AJ$44,'SJ data'!$A$4:$AC$58,4,0)="TRUE"),0,VLOOKUP(AJ$44,'SJ data'!$A$4:$AC$58,4,0))</f>
        <v>244195161.88999999</v>
      </c>
      <c r="AK74" s="184">
        <f>IF(ISERR(VLOOKUP(AK$44,'SJ data'!$A$4:$AC$58,4,0)="TRUE"),0,VLOOKUP(AK$44,'SJ data'!$A$4:$AC$58,4,0))</f>
        <v>4215701.87</v>
      </c>
      <c r="AL74" s="184">
        <f>IF(ISERR(VLOOKUP(AL$44,'SJ data'!$A$4:$AC$58,4,0)="TRUE"),0,VLOOKUP(AL$44,'SJ data'!$A$4:$AC$58,4,0))</f>
        <v>783901.7</v>
      </c>
      <c r="AM74" s="184">
        <f>IF(ISERR(VLOOKUP(AM$44,'SJ data'!$A$4:$AC$58,4,0)="TRUE"),0,VLOOKUP(AM$44,'SJ data'!$A$4:$AC$58,4,0))</f>
        <v>0</v>
      </c>
      <c r="AN74" s="184">
        <f>IF(ISERR(VLOOKUP(AN$44,'SJ data'!$A$4:$AC$58,4,0)="TRUE"),0,VLOOKUP(AN$44,'SJ data'!$A$4:$AC$58,4,0))</f>
        <v>0</v>
      </c>
      <c r="AO74" s="184">
        <f>IF(ISERR(VLOOKUP(AO$44,'SJ data'!$A$4:$AC$58,4,0)="TRUE"),0,VLOOKUP(AO$44,'SJ data'!$A$4:$AC$58,4,0))</f>
        <v>0</v>
      </c>
      <c r="AP74" s="184">
        <f>IF(ISERR(VLOOKUP(AP$44,'SJ data'!$A$4:$AC$58,4,0)="TRUE"),0,VLOOKUP(AP$44,'SJ data'!$A$4:$AC$58,4,0))</f>
        <v>3812062.7</v>
      </c>
      <c r="AQ74" s="184">
        <f>IF(ISERR(VLOOKUP(AQ$44,'SJ data'!$A$4:$AC$58,4,0)="TRUE"),0,VLOOKUP(AQ$44,'SJ data'!$A$4:$AC$58,4,0))</f>
        <v>0</v>
      </c>
      <c r="AR74" s="184">
        <f>IF(ISERR(VLOOKUP(AR$44,'SJ data'!$A$4:$AC$58,4,0)="TRUE"),0,VLOOKUP(AR$44,'SJ data'!$A$4:$AC$58,4,0))</f>
        <v>72461817.030000001</v>
      </c>
      <c r="AS74" s="184">
        <f>IF(ISERR(VLOOKUP(AS$44,'SJ data'!$A$4:$AC$58,4,0)="TRUE"),0,VLOOKUP(AS$44,'SJ data'!$A$4:$AC$58,4,0))</f>
        <v>0</v>
      </c>
      <c r="AT74" s="184">
        <f>IF(ISERR(VLOOKUP(AT$44,'SJ data'!$A$4:$AC$58,4,0)="TRUE"),0,VLOOKUP(AT$44,'SJ data'!$A$4:$AC$58,4,0))</f>
        <v>0</v>
      </c>
      <c r="AU74" s="184">
        <f>IF(ISERR(VLOOKUP(AU$44,'SJ data'!$A$4:$AC$58,4,0)="TRUE"),0,VLOOKUP(AU$44,'SJ data'!$A$4:$AC$58,4,0))</f>
        <v>0</v>
      </c>
      <c r="AV74" s="184">
        <f>IF(ISERR(VLOOKUP(AV$44,'SJ data'!$A$4:$AC$58,4,0)="TRUE"),0,VLOOKUP(AV$44,'SJ data'!$A$4:$AC$58,4,0))+'SJ data'!D57+'SJ data'!D32</f>
        <v>244308.1400000001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1371310936.8700001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103535089.88000003</v>
      </c>
      <c r="D75" s="195">
        <f t="shared" si="9"/>
        <v>0</v>
      </c>
      <c r="E75" s="195">
        <f t="shared" si="9"/>
        <v>242598798.20999995</v>
      </c>
      <c r="F75" s="195">
        <f t="shared" si="9"/>
        <v>0</v>
      </c>
      <c r="G75" s="195">
        <f t="shared" si="9"/>
        <v>0</v>
      </c>
      <c r="H75" s="195">
        <f t="shared" si="9"/>
        <v>20982095.530000005</v>
      </c>
      <c r="I75" s="195">
        <f t="shared" si="9"/>
        <v>0</v>
      </c>
      <c r="J75" s="195">
        <f t="shared" si="9"/>
        <v>48143790.089999989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143554953.15000001</v>
      </c>
      <c r="P75" s="195">
        <f t="shared" si="9"/>
        <v>968659522.80999994</v>
      </c>
      <c r="Q75" s="195">
        <f t="shared" si="9"/>
        <v>26238959.539999999</v>
      </c>
      <c r="R75" s="195">
        <f t="shared" si="9"/>
        <v>0</v>
      </c>
      <c r="S75" s="195">
        <f t="shared" si="9"/>
        <v>0</v>
      </c>
      <c r="T75" s="195">
        <f t="shared" si="9"/>
        <v>12802179.34</v>
      </c>
      <c r="U75" s="195">
        <f t="shared" si="9"/>
        <v>139158872.26999998</v>
      </c>
      <c r="V75" s="195">
        <f t="shared" si="9"/>
        <v>102514848</v>
      </c>
      <c r="W75" s="195">
        <f t="shared" si="9"/>
        <v>0</v>
      </c>
      <c r="X75" s="195">
        <f t="shared" si="9"/>
        <v>144602140.23000002</v>
      </c>
      <c r="Y75" s="195">
        <f t="shared" si="9"/>
        <v>134524017.22</v>
      </c>
      <c r="Z75" s="195">
        <f t="shared" si="9"/>
        <v>0</v>
      </c>
      <c r="AA75" s="195">
        <f t="shared" si="9"/>
        <v>24626332.710000001</v>
      </c>
      <c r="AB75" s="195">
        <f t="shared" si="9"/>
        <v>405523728.47999996</v>
      </c>
      <c r="AC75" s="195">
        <f t="shared" si="9"/>
        <v>66553865.759999998</v>
      </c>
      <c r="AD75" s="195">
        <f t="shared" si="9"/>
        <v>9723143.8500000015</v>
      </c>
      <c r="AE75" s="195">
        <f t="shared" si="9"/>
        <v>24325732.07</v>
      </c>
      <c r="AF75" s="195">
        <f t="shared" si="9"/>
        <v>0</v>
      </c>
      <c r="AG75" s="195">
        <f t="shared" si="9"/>
        <v>178624870.18000001</v>
      </c>
      <c r="AH75" s="195">
        <f t="shared" si="9"/>
        <v>0</v>
      </c>
      <c r="AI75" s="195">
        <f t="shared" si="9"/>
        <v>89979130.239999995</v>
      </c>
      <c r="AJ75" s="195">
        <f t="shared" si="9"/>
        <v>244254239.73999998</v>
      </c>
      <c r="AK75" s="195">
        <f t="shared" si="9"/>
        <v>10217072.02</v>
      </c>
      <c r="AL75" s="195">
        <f t="shared" si="9"/>
        <v>3127873.9800000004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3835444.8800000004</v>
      </c>
      <c r="AQ75" s="195">
        <f t="shared" si="9"/>
        <v>0</v>
      </c>
      <c r="AR75" s="195">
        <f t="shared" si="9"/>
        <v>72461817.030000001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341323.01000000024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3220909840.2200003</v>
      </c>
      <c r="CF75" s="252"/>
    </row>
    <row r="76" spans="1:84" ht="12.6" customHeight="1" x14ac:dyDescent="0.25">
      <c r="A76" s="171" t="s">
        <v>248</v>
      </c>
      <c r="B76" s="175"/>
      <c r="C76" s="293">
        <v>20827</v>
      </c>
      <c r="D76" s="293">
        <v>0</v>
      </c>
      <c r="E76" s="293">
        <v>104971.58749999999</v>
      </c>
      <c r="F76" s="293">
        <v>0</v>
      </c>
      <c r="G76" s="293">
        <v>0</v>
      </c>
      <c r="H76" s="293">
        <v>2001</v>
      </c>
      <c r="I76" s="293">
        <v>0</v>
      </c>
      <c r="J76" s="293">
        <v>2522</v>
      </c>
      <c r="K76" s="293">
        <v>0</v>
      </c>
      <c r="L76" s="293">
        <v>0</v>
      </c>
      <c r="M76" s="293">
        <v>0</v>
      </c>
      <c r="N76" s="293">
        <v>0</v>
      </c>
      <c r="O76" s="293">
        <v>17618.916666666668</v>
      </c>
      <c r="P76" s="293">
        <v>89564</v>
      </c>
      <c r="Q76" s="293">
        <v>2369</v>
      </c>
      <c r="R76" s="293">
        <v>0</v>
      </c>
      <c r="S76" s="293">
        <v>17441</v>
      </c>
      <c r="T76" s="293">
        <v>0</v>
      </c>
      <c r="U76" s="293">
        <v>16657</v>
      </c>
      <c r="V76" s="293">
        <v>3310</v>
      </c>
      <c r="W76" s="293">
        <v>0</v>
      </c>
      <c r="X76" s="293">
        <v>0</v>
      </c>
      <c r="Y76" s="293">
        <v>46104</v>
      </c>
      <c r="Z76" s="293">
        <v>0</v>
      </c>
      <c r="AA76" s="293">
        <v>0</v>
      </c>
      <c r="AB76" s="293">
        <v>16636</v>
      </c>
      <c r="AC76" s="293">
        <v>981</v>
      </c>
      <c r="AD76" s="293">
        <v>16507</v>
      </c>
      <c r="AE76" s="293">
        <v>11376</v>
      </c>
      <c r="AF76" s="293">
        <v>0</v>
      </c>
      <c r="AG76" s="293">
        <v>20182</v>
      </c>
      <c r="AH76" s="293">
        <v>0</v>
      </c>
      <c r="AI76" s="293">
        <v>0</v>
      </c>
      <c r="AJ76" s="293">
        <v>22003</v>
      </c>
      <c r="AK76" s="293">
        <v>5815</v>
      </c>
      <c r="AL76" s="293">
        <v>4171</v>
      </c>
      <c r="AM76" s="293">
        <v>0</v>
      </c>
      <c r="AN76" s="293">
        <v>0</v>
      </c>
      <c r="AO76" s="293">
        <v>0</v>
      </c>
      <c r="AP76" s="293">
        <v>1797</v>
      </c>
      <c r="AQ76" s="293">
        <v>0</v>
      </c>
      <c r="AR76" s="293">
        <v>44604</v>
      </c>
      <c r="AS76" s="293">
        <v>0</v>
      </c>
      <c r="AT76" s="293">
        <v>0</v>
      </c>
      <c r="AU76" s="293">
        <v>0</v>
      </c>
      <c r="AV76" s="293">
        <v>1394</v>
      </c>
      <c r="AW76" s="293">
        <v>0</v>
      </c>
      <c r="AX76" s="293">
        <v>0</v>
      </c>
      <c r="AY76" s="293">
        <v>0</v>
      </c>
      <c r="AZ76" s="293">
        <v>19038.408800000001</v>
      </c>
      <c r="BA76" s="293">
        <v>4244</v>
      </c>
      <c r="BB76" s="293">
        <v>0</v>
      </c>
      <c r="BC76" s="293">
        <v>0</v>
      </c>
      <c r="BD76" s="293">
        <v>0</v>
      </c>
      <c r="BE76" s="293">
        <v>174493</v>
      </c>
      <c r="BF76" s="293">
        <v>2066</v>
      </c>
      <c r="BG76" s="293">
        <v>0</v>
      </c>
      <c r="BH76" s="293">
        <v>0</v>
      </c>
      <c r="BI76" s="293">
        <v>1333</v>
      </c>
      <c r="BJ76" s="293">
        <v>0</v>
      </c>
      <c r="BK76" s="293">
        <v>0</v>
      </c>
      <c r="BL76" s="293">
        <v>0</v>
      </c>
      <c r="BM76" s="293">
        <v>0</v>
      </c>
      <c r="BN76" s="293">
        <v>169688.95833333331</v>
      </c>
      <c r="BO76" s="293">
        <v>0</v>
      </c>
      <c r="BP76" s="293">
        <v>0</v>
      </c>
      <c r="BQ76" s="293">
        <v>0</v>
      </c>
      <c r="BR76" s="293">
        <v>0</v>
      </c>
      <c r="BS76" s="293">
        <v>0</v>
      </c>
      <c r="BT76" s="293">
        <v>0</v>
      </c>
      <c r="BU76" s="293">
        <v>0</v>
      </c>
      <c r="BV76" s="293">
        <v>9455</v>
      </c>
      <c r="BW76" s="293">
        <v>0</v>
      </c>
      <c r="BX76" s="293">
        <v>0</v>
      </c>
      <c r="BY76" s="293">
        <v>978</v>
      </c>
      <c r="BZ76" s="293">
        <v>0</v>
      </c>
      <c r="CA76" s="293">
        <v>0</v>
      </c>
      <c r="CB76" s="293">
        <v>0</v>
      </c>
      <c r="CC76" s="293" t="s">
        <v>1336</v>
      </c>
      <c r="CD76" s="249" t="s">
        <v>221</v>
      </c>
      <c r="CE76" s="195">
        <f t="shared" si="8"/>
        <v>850147.8713</v>
      </c>
      <c r="CF76" s="195">
        <f>+BE59-CE76</f>
        <v>0.12870000000111759</v>
      </c>
    </row>
    <row r="77" spans="1:84" ht="12.6" customHeight="1" x14ac:dyDescent="0.25">
      <c r="A77" s="171" t="s">
        <v>249</v>
      </c>
      <c r="B77" s="175"/>
      <c r="C77" s="184">
        <v>66835</v>
      </c>
      <c r="D77" s="184"/>
      <c r="E77" s="184">
        <f>141246+4430+77774</f>
        <v>223450</v>
      </c>
      <c r="F77" s="184"/>
      <c r="G77" s="184"/>
      <c r="H77" s="184">
        <v>20222</v>
      </c>
      <c r="I77" s="184"/>
      <c r="J77" s="184"/>
      <c r="K77" s="184"/>
      <c r="L77" s="184"/>
      <c r="M77" s="184"/>
      <c r="N77" s="184"/>
      <c r="O77" s="184"/>
      <c r="P77" s="184">
        <v>3618</v>
      </c>
      <c r="Q77" s="184"/>
      <c r="R77" s="184"/>
      <c r="S77" s="184"/>
      <c r="T77" s="184">
        <f>23029+40422</f>
        <v>63451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9236</v>
      </c>
      <c r="AH77" s="293"/>
      <c r="AI77" s="293"/>
      <c r="AJ77" s="184"/>
      <c r="AK77" s="184"/>
      <c r="AL77" s="184"/>
      <c r="AM77" s="184"/>
      <c r="AN77" s="184"/>
      <c r="AO77" s="293"/>
      <c r="AP77" s="293"/>
      <c r="AQ77" s="293"/>
      <c r="AR77" s="293"/>
      <c r="AS77" s="293"/>
      <c r="AT77" s="293"/>
      <c r="AU77" s="293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>
        <v>29293</v>
      </c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416105</v>
      </c>
      <c r="CF77" s="195">
        <f>+AY59-CE77</f>
        <v>0</v>
      </c>
    </row>
    <row r="78" spans="1:84" ht="12" customHeight="1" x14ac:dyDescent="0.25">
      <c r="A78" s="171" t="s">
        <v>250</v>
      </c>
      <c r="B78" s="175"/>
      <c r="C78" s="184">
        <v>7279.9997250898814</v>
      </c>
      <c r="D78" s="184">
        <v>0</v>
      </c>
      <c r="E78" s="184">
        <v>36692.424647920896</v>
      </c>
      <c r="F78" s="184">
        <v>0</v>
      </c>
      <c r="G78" s="184">
        <v>0</v>
      </c>
      <c r="H78" s="184">
        <v>699.44204397680198</v>
      </c>
      <c r="I78" s="184">
        <v>0</v>
      </c>
      <c r="J78" s="184">
        <v>881.55563963492978</v>
      </c>
      <c r="K78" s="184">
        <v>0</v>
      </c>
      <c r="L78" s="184">
        <v>0</v>
      </c>
      <c r="M78" s="184">
        <v>0</v>
      </c>
      <c r="N78" s="184">
        <v>0</v>
      </c>
      <c r="O78" s="184">
        <v>6158.6262298801976</v>
      </c>
      <c r="P78" s="184">
        <v>31306.760233252517</v>
      </c>
      <c r="Q78" s="184">
        <v>828.0750635587425</v>
      </c>
      <c r="R78" s="184">
        <v>0</v>
      </c>
      <c r="S78" s="184">
        <v>6096.4361264364825</v>
      </c>
      <c r="T78" s="184">
        <v>0</v>
      </c>
      <c r="U78" s="184">
        <v>5822.391867327131</v>
      </c>
      <c r="V78" s="184">
        <v>1156.9980837397372</v>
      </c>
      <c r="W78" s="184">
        <v>0</v>
      </c>
      <c r="X78" s="184">
        <v>0</v>
      </c>
      <c r="Y78" s="184">
        <v>16115.480257624426</v>
      </c>
      <c r="Z78" s="184">
        <v>0</v>
      </c>
      <c r="AA78" s="184">
        <v>0</v>
      </c>
      <c r="AB78" s="184">
        <v>5815.0513961009874</v>
      </c>
      <c r="AC78" s="184">
        <v>342.90487013555355</v>
      </c>
      <c r="AD78" s="184">
        <v>5769.9599299975353</v>
      </c>
      <c r="AE78" s="184">
        <v>3976.4381270765107</v>
      </c>
      <c r="AF78" s="184">
        <v>0</v>
      </c>
      <c r="AG78" s="184">
        <v>7054.5423945726216</v>
      </c>
      <c r="AH78" s="184">
        <v>0</v>
      </c>
      <c r="AI78" s="184">
        <v>0</v>
      </c>
      <c r="AJ78" s="184">
        <v>7691.0661137539091</v>
      </c>
      <c r="AK78" s="184">
        <v>2032.6114371439796</v>
      </c>
      <c r="AL78" s="184">
        <v>1457.9574040116147</v>
      </c>
      <c r="AM78" s="184">
        <v>0</v>
      </c>
      <c r="AN78" s="184">
        <v>0</v>
      </c>
      <c r="AO78" s="184">
        <v>0</v>
      </c>
      <c r="AP78" s="184">
        <v>628.13460920855221</v>
      </c>
      <c r="AQ78" s="184">
        <v>0</v>
      </c>
      <c r="AR78" s="184">
        <v>15591.160884328472</v>
      </c>
      <c r="AS78" s="184">
        <v>0</v>
      </c>
      <c r="AT78" s="184">
        <v>0</v>
      </c>
      <c r="AU78" s="184">
        <v>0</v>
      </c>
      <c r="AV78" s="184">
        <v>487.26747091637276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1483.4742801786842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465.94514973567067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3304.9597830088264</v>
      </c>
      <c r="BW78" s="184">
        <v>0</v>
      </c>
      <c r="BX78" s="184">
        <v>0</v>
      </c>
      <c r="BY78" s="184">
        <v>341.8562313889617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169481.52000000002</v>
      </c>
      <c r="CF78" s="195"/>
    </row>
    <row r="79" spans="1:84" ht="12.6" customHeight="1" x14ac:dyDescent="0.25">
      <c r="A79" s="171" t="s">
        <v>251</v>
      </c>
      <c r="B79" s="175"/>
      <c r="C79" s="225">
        <v>276905.26999999996</v>
      </c>
      <c r="D79" s="184">
        <v>0</v>
      </c>
      <c r="E79" s="225">
        <f>9214.87+807590.55</f>
        <v>816805.42</v>
      </c>
      <c r="F79" s="225" t="s">
        <v>1336</v>
      </c>
      <c r="G79" s="225" t="s">
        <v>1336</v>
      </c>
      <c r="H79" s="225">
        <v>26047.55</v>
      </c>
      <c r="I79" s="225" t="s">
        <v>1336</v>
      </c>
      <c r="J79" s="225" t="s">
        <v>1336</v>
      </c>
      <c r="K79" s="225" t="s">
        <v>1336</v>
      </c>
      <c r="L79" s="225" t="s">
        <v>1336</v>
      </c>
      <c r="M79" s="225" t="s">
        <v>1336</v>
      </c>
      <c r="N79" s="225" t="s">
        <v>1336</v>
      </c>
      <c r="O79" s="225">
        <v>295333.21000000002</v>
      </c>
      <c r="P79" s="225">
        <v>739794.85000000009</v>
      </c>
      <c r="Q79" s="225">
        <v>56493.479999999996</v>
      </c>
      <c r="R79" s="225" t="s">
        <v>1336</v>
      </c>
      <c r="S79" s="225">
        <v>16508.52</v>
      </c>
      <c r="T79" s="225" t="s">
        <v>1336</v>
      </c>
      <c r="U79" s="225">
        <v>9767.33</v>
      </c>
      <c r="V79" s="225" t="s">
        <v>1336</v>
      </c>
      <c r="W79" s="225" t="s">
        <v>1336</v>
      </c>
      <c r="X79" s="225" t="s">
        <v>1336</v>
      </c>
      <c r="Y79" s="225">
        <v>127482.87000000001</v>
      </c>
      <c r="Z79" s="225" t="s">
        <v>1336</v>
      </c>
      <c r="AA79" s="225">
        <v>12144.51</v>
      </c>
      <c r="AB79" s="225" t="s">
        <v>1336</v>
      </c>
      <c r="AC79" s="225" t="s">
        <v>1336</v>
      </c>
      <c r="AD79" s="225">
        <v>23578.48</v>
      </c>
      <c r="AE79" s="225" t="s">
        <v>1336</v>
      </c>
      <c r="AF79" s="225" t="s">
        <v>1336</v>
      </c>
      <c r="AG79" s="225">
        <v>307170.28999999998</v>
      </c>
      <c r="AH79" s="225" t="s">
        <v>1336</v>
      </c>
      <c r="AI79" s="225" t="s">
        <v>1336</v>
      </c>
      <c r="AJ79" s="225">
        <v>24057.88</v>
      </c>
      <c r="AK79" s="225">
        <v>22405.54</v>
      </c>
      <c r="AL79" s="225" t="s">
        <v>1336</v>
      </c>
      <c r="AM79" s="225" t="s">
        <v>1336</v>
      </c>
      <c r="AN79" s="225" t="s">
        <v>1336</v>
      </c>
      <c r="AO79" s="225" t="s">
        <v>1336</v>
      </c>
      <c r="AP79" s="225">
        <v>97.65</v>
      </c>
      <c r="AQ79" s="225" t="s">
        <v>1336</v>
      </c>
      <c r="AR79" s="225" t="s">
        <v>1336</v>
      </c>
      <c r="AS79" s="225" t="s">
        <v>1336</v>
      </c>
      <c r="AT79" s="225" t="s">
        <v>1336</v>
      </c>
      <c r="AU79" s="225" t="s">
        <v>1336</v>
      </c>
      <c r="AV79" s="225">
        <v>13119.97</v>
      </c>
      <c r="AW79" s="225" t="s">
        <v>1336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225" t="str">
        <f>IFERROR(VLOOKUP(VALUE(BH$55),#REF!, 2,FALSE),"")</f>
        <v/>
      </c>
      <c r="BI79" s="225" t="str">
        <f>IFERROR(VLOOKUP(VALUE(BI$55),#REF!, 2,FALSE),"")</f>
        <v/>
      </c>
      <c r="BJ79" s="249" t="s">
        <v>221</v>
      </c>
      <c r="BK79" s="225" t="str">
        <f>IFERROR(VLOOKUP(VALUE(BK$55),#REF!, 2,FALSE),"")</f>
        <v/>
      </c>
      <c r="BL79" s="225" t="str">
        <f>IFERROR(VLOOKUP(VALUE(BL$55),#REF!, 2,FALSE),"")</f>
        <v/>
      </c>
      <c r="BM79" s="225" t="str">
        <f>IFERROR(VLOOKUP(VALUE(BM$55),#REF!, 2,FALSE),"")</f>
        <v/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5" t="str">
        <f>IFERROR(VLOOKUP(VALUE(BS$55),#REF!, 2,FALSE),"")</f>
        <v/>
      </c>
      <c r="BT79" s="225" t="str">
        <f>IFERROR(VLOOKUP(VALUE(BT$55),#REF!, 2,FALSE),"")</f>
        <v/>
      </c>
      <c r="BU79" s="225" t="str">
        <f>IFERROR(VLOOKUP(VALUE(BU$55),#REF!, 2,FALSE),"")</f>
        <v/>
      </c>
      <c r="BV79" s="225" t="str">
        <f>IFERROR(VLOOKUP(VALUE(BV$55),#REF!, 2,FALSE),"")</f>
        <v/>
      </c>
      <c r="BW79" s="225" t="str">
        <f>IFERROR(VLOOKUP(VALUE(BW$55),#REF!, 2,FALSE),"")</f>
        <v/>
      </c>
      <c r="BX79" s="225" t="str">
        <f>IFERROR(VLOOKUP(VALUE(BX$55),#REF!, 2,FALSE),"")</f>
        <v/>
      </c>
      <c r="BY79" s="225" t="str">
        <f>IFERROR(VLOOKUP(VALUE(BY$55),#REF!, 2,FALSE),"")</f>
        <v/>
      </c>
      <c r="BZ79" s="225" t="str">
        <f>IFERROR(VLOOKUP(VALUE(BZ$55),#REF!, 2,FALSE),"")</f>
        <v/>
      </c>
      <c r="CA79" s="225" t="str">
        <f>IFERROR(VLOOKUP(VALUE(CA$55),#REF!, 2,FALSE),"")</f>
        <v/>
      </c>
      <c r="CB79" s="225" t="str">
        <f>IFERROR(VLOOKUP(VALUE(CB$55),#REF!, 2,FALSE),"")</f>
        <v/>
      </c>
      <c r="CC79" s="249" t="s">
        <v>221</v>
      </c>
      <c r="CD79" s="249" t="s">
        <v>221</v>
      </c>
      <c r="CE79" s="195">
        <f t="shared" si="8"/>
        <v>2767712.82</v>
      </c>
      <c r="CF79" s="195">
        <f>2773544.86-5832-CE79</f>
        <v>4.0000000037252903E-2</v>
      </c>
    </row>
    <row r="80" spans="1:84" ht="21" customHeight="1" x14ac:dyDescent="0.25">
      <c r="A80" s="171" t="s">
        <v>252</v>
      </c>
      <c r="B80" s="175"/>
      <c r="C80" s="187">
        <v>118.85188942307693</v>
      </c>
      <c r="D80" s="184">
        <v>0</v>
      </c>
      <c r="E80" s="187">
        <v>235.84392788461537</v>
      </c>
      <c r="F80" s="187">
        <v>0</v>
      </c>
      <c r="G80" s="187">
        <v>0</v>
      </c>
      <c r="H80" s="187">
        <v>17.554639423076924</v>
      </c>
      <c r="I80" s="187">
        <v>0</v>
      </c>
      <c r="J80" s="187">
        <v>32.354158653846149</v>
      </c>
      <c r="K80" s="187">
        <v>0</v>
      </c>
      <c r="L80" s="187">
        <v>0</v>
      </c>
      <c r="M80" s="187">
        <v>0</v>
      </c>
      <c r="N80" s="187">
        <v>0</v>
      </c>
      <c r="O80" s="187">
        <v>85.221831730769239</v>
      </c>
      <c r="P80" s="187">
        <v>76.822427884615394</v>
      </c>
      <c r="Q80" s="187">
        <v>13.578211538461538</v>
      </c>
      <c r="R80" s="187">
        <v>0</v>
      </c>
      <c r="S80" s="187">
        <v>0</v>
      </c>
      <c r="T80" s="187">
        <v>11.938725961538461</v>
      </c>
      <c r="U80" s="187">
        <v>4.6017596153846156</v>
      </c>
      <c r="V80" s="187">
        <v>4.5830144230769232</v>
      </c>
      <c r="W80" s="187">
        <v>0</v>
      </c>
      <c r="X80" s="187">
        <v>0</v>
      </c>
      <c r="Y80" s="187">
        <v>5.8228317307692308</v>
      </c>
      <c r="Z80" s="187">
        <v>0</v>
      </c>
      <c r="AA80" s="187">
        <v>0</v>
      </c>
      <c r="AB80" s="187">
        <v>2.394740384615385</v>
      </c>
      <c r="AC80" s="187">
        <v>6.610576923076923E-3</v>
      </c>
      <c r="AD80" s="187">
        <v>0</v>
      </c>
      <c r="AE80" s="187">
        <v>0</v>
      </c>
      <c r="AF80" s="187">
        <v>0</v>
      </c>
      <c r="AG80" s="187">
        <v>50.984418269230773</v>
      </c>
      <c r="AH80" s="187">
        <v>0</v>
      </c>
      <c r="AI80" s="187">
        <v>75.960841346153842</v>
      </c>
      <c r="AJ80" s="315">
        <f>16.03+129.83</f>
        <v>145.86000000000001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1.0880576923076923</v>
      </c>
      <c r="AQ80" s="187">
        <v>0</v>
      </c>
      <c r="AR80" s="187">
        <v>112.60193750000001</v>
      </c>
      <c r="AS80" s="187">
        <v>0</v>
      </c>
      <c r="AT80" s="187">
        <v>0</v>
      </c>
      <c r="AU80" s="187">
        <v>0</v>
      </c>
      <c r="AV80" s="187">
        <v>2.5847403846153849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998.65476442307704</v>
      </c>
      <c r="CF80" s="255"/>
    </row>
    <row r="81" spans="1:5" ht="12.6" customHeight="1" x14ac:dyDescent="0.25">
      <c r="A81" s="208" t="s">
        <v>253</v>
      </c>
      <c r="B81" s="208"/>
      <c r="C81" s="208"/>
      <c r="D81" s="328"/>
      <c r="E81" s="208"/>
    </row>
    <row r="82" spans="1:5" ht="12.6" customHeight="1" x14ac:dyDescent="0.25">
      <c r="A82" s="171" t="s">
        <v>254</v>
      </c>
      <c r="B82" s="172"/>
      <c r="C82" s="282" t="s">
        <v>1267</v>
      </c>
      <c r="D82" s="32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32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330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330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330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330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330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330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330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330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329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329"/>
      <c r="E93" s="175"/>
    </row>
    <row r="94" spans="1:5" ht="12.6" customHeight="1" x14ac:dyDescent="0.25">
      <c r="A94" s="173"/>
      <c r="B94" s="173"/>
      <c r="C94" s="191"/>
      <c r="D94" s="195"/>
      <c r="E94" s="175"/>
    </row>
    <row r="95" spans="1:5" ht="12.6" customHeight="1" x14ac:dyDescent="0.25">
      <c r="A95" s="208" t="s">
        <v>265</v>
      </c>
      <c r="B95" s="208"/>
      <c r="C95" s="208"/>
      <c r="D95" s="328"/>
      <c r="E95" s="208"/>
    </row>
    <row r="96" spans="1:5" ht="12.6" customHeight="1" x14ac:dyDescent="0.25">
      <c r="A96" s="257" t="s">
        <v>266</v>
      </c>
      <c r="B96" s="257"/>
      <c r="C96" s="257"/>
      <c r="D96" s="331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9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9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95"/>
      <c r="E99" s="175"/>
    </row>
    <row r="100" spans="1:5" ht="12.6" customHeight="1" x14ac:dyDescent="0.25">
      <c r="A100" s="257" t="s">
        <v>269</v>
      </c>
      <c r="B100" s="257"/>
      <c r="C100" s="257"/>
      <c r="D100" s="331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9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95"/>
      <c r="E102" s="175"/>
    </row>
    <row r="103" spans="1:5" ht="12.6" customHeight="1" x14ac:dyDescent="0.25">
      <c r="A103" s="257" t="s">
        <v>271</v>
      </c>
      <c r="B103" s="257"/>
      <c r="C103" s="257"/>
      <c r="D103" s="331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9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9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95"/>
      <c r="E106" s="175"/>
    </row>
    <row r="107" spans="1:5" ht="21.75" customHeight="1" x14ac:dyDescent="0.25">
      <c r="A107" s="173"/>
      <c r="B107" s="172"/>
      <c r="C107" s="190"/>
      <c r="D107" s="195"/>
      <c r="E107" s="175"/>
    </row>
    <row r="108" spans="1:5" ht="13.5" customHeight="1" x14ac:dyDescent="0.25">
      <c r="A108" s="207" t="s">
        <v>275</v>
      </c>
      <c r="B108" s="208"/>
      <c r="C108" s="208"/>
      <c r="D108" s="328"/>
      <c r="E108" s="208"/>
    </row>
    <row r="109" spans="1:5" ht="13.5" customHeight="1" x14ac:dyDescent="0.25">
      <c r="A109" s="173"/>
      <c r="B109" s="172"/>
      <c r="C109" s="190"/>
      <c r="D109" s="19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326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20309</v>
      </c>
      <c r="D111" s="332">
        <v>106940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332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332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4361</v>
      </c>
      <c r="D114" s="333">
        <v>10866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9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48</v>
      </c>
      <c r="D116" s="19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34</v>
      </c>
      <c r="D117" s="19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214</v>
      </c>
      <c r="D118" s="19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9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32</v>
      </c>
      <c r="D120" s="19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9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9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9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9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9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23</v>
      </c>
      <c r="D126" s="195"/>
      <c r="E126" s="175"/>
    </row>
    <row r="127" spans="1:5" ht="12.6" customHeight="1" x14ac:dyDescent="0.25">
      <c r="A127" s="173" t="s">
        <v>291</v>
      </c>
      <c r="B127" s="175"/>
      <c r="C127" s="191"/>
      <c r="D127" s="195"/>
      <c r="E127" s="175">
        <f>SUM(C116:C126)</f>
        <v>351</v>
      </c>
    </row>
    <row r="128" spans="1:5" ht="12.6" customHeight="1" x14ac:dyDescent="0.25">
      <c r="A128" s="173" t="s">
        <v>292</v>
      </c>
      <c r="B128" s="172" t="s">
        <v>256</v>
      </c>
      <c r="C128" s="189">
        <v>351</v>
      </c>
      <c r="D128" s="19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35</v>
      </c>
      <c r="D129" s="195"/>
      <c r="E129" s="175"/>
    </row>
    <row r="130" spans="1:6" ht="12.6" customHeight="1" x14ac:dyDescent="0.25">
      <c r="A130" s="173"/>
      <c r="B130" s="175"/>
      <c r="C130" s="191"/>
      <c r="D130" s="19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95"/>
      <c r="E131" s="175"/>
    </row>
    <row r="132" spans="1:6" ht="12.6" customHeight="1" x14ac:dyDescent="0.25">
      <c r="A132" s="173"/>
      <c r="B132" s="173"/>
      <c r="C132" s="191"/>
      <c r="D132" s="195"/>
      <c r="E132" s="175"/>
    </row>
    <row r="133" spans="1:6" ht="12.6" customHeight="1" x14ac:dyDescent="0.25">
      <c r="A133" s="173"/>
      <c r="B133" s="173"/>
      <c r="C133" s="191"/>
      <c r="D133" s="195"/>
      <c r="E133" s="175"/>
    </row>
    <row r="134" spans="1:6" ht="12.6" customHeight="1" x14ac:dyDescent="0.25">
      <c r="A134" s="173"/>
      <c r="B134" s="173"/>
      <c r="C134" s="191"/>
      <c r="D134" s="195"/>
      <c r="E134" s="175"/>
    </row>
    <row r="135" spans="1:6" ht="18" customHeight="1" x14ac:dyDescent="0.25">
      <c r="A135" s="173"/>
      <c r="B135" s="173"/>
      <c r="C135" s="191"/>
      <c r="D135" s="195"/>
      <c r="E135" s="175"/>
    </row>
    <row r="136" spans="1:6" ht="12.6" customHeight="1" x14ac:dyDescent="0.25">
      <c r="A136" s="208" t="s">
        <v>1240</v>
      </c>
      <c r="B136" s="207"/>
      <c r="C136" s="207"/>
      <c r="D136" s="334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335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4820+3788</f>
        <v>8608</v>
      </c>
      <c r="C138" s="189">
        <f>563+4203+3</f>
        <v>4769</v>
      </c>
      <c r="D138" s="332">
        <f>20309-8608-4769</f>
        <v>6932</v>
      </c>
      <c r="E138" s="175">
        <f>SUM(B138:D138)</f>
        <v>20309</v>
      </c>
    </row>
    <row r="139" spans="1:6" ht="12.6" customHeight="1" x14ac:dyDescent="0.25">
      <c r="A139" s="173" t="s">
        <v>215</v>
      </c>
      <c r="B139" s="174">
        <f>29391+24521</f>
        <v>53912</v>
      </c>
      <c r="C139" s="189">
        <f>2925+21419+3</f>
        <v>24347</v>
      </c>
      <c r="D139" s="332">
        <f>23870+200+3395+804+412</f>
        <v>28681</v>
      </c>
      <c r="E139" s="175">
        <f>SUM(B139:D139)</f>
        <v>106940</v>
      </c>
    </row>
    <row r="140" spans="1:6" ht="12.6" customHeight="1" x14ac:dyDescent="0.25">
      <c r="A140" s="173" t="s">
        <v>298</v>
      </c>
      <c r="B140" s="174"/>
      <c r="C140" s="174"/>
      <c r="D140" s="332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919775877.69000006</v>
      </c>
      <c r="C141" s="189">
        <v>388238722.38</v>
      </c>
      <c r="D141" s="332">
        <f>1849598903.35-919775877.69-388238722.38</f>
        <v>541584303.27999985</v>
      </c>
      <c r="E141" s="175">
        <f>SUM(B141:D141)</f>
        <v>1849598903.3499999</v>
      </c>
      <c r="F141" s="199"/>
    </row>
    <row r="142" spans="1:6" ht="12.6" customHeight="1" x14ac:dyDescent="0.25">
      <c r="A142" s="173" t="s">
        <v>246</v>
      </c>
      <c r="B142" s="174">
        <f>433538550.12+1032864.2+72756276.89+53950028.43+2481361.65</f>
        <v>563759081.28999996</v>
      </c>
      <c r="C142" s="189">
        <f>213025729.74+4839373.4+42704062.7+9630265.6+353151.09</f>
        <v>270552582.53000003</v>
      </c>
      <c r="D142" s="332">
        <f>(1086924100.52+12758654.31+201969605.24+66175180.91+3483395.89)-(433538550.12+213025729.74+1032864.2+4839373.4+72756276.89+42704062.7+53950028.43+9630265.6+2481361.65+353151.09)</f>
        <v>536999273.05000007</v>
      </c>
      <c r="E142" s="175">
        <f>SUM(B142:D142)</f>
        <v>1371310936.8699999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335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332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332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332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332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332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335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332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332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332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332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332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336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95"/>
      <c r="E156" s="175"/>
    </row>
    <row r="157" spans="1:5" ht="12.6" customHeight="1" x14ac:dyDescent="0.25">
      <c r="A157" s="177" t="s">
        <v>304</v>
      </c>
      <c r="B157" s="174"/>
      <c r="C157" s="174"/>
      <c r="D157" s="195"/>
      <c r="E157" s="175"/>
    </row>
    <row r="158" spans="1:5" ht="12.6" customHeight="1" x14ac:dyDescent="0.25">
      <c r="A158" s="177"/>
      <c r="B158" s="178"/>
      <c r="C158" s="193"/>
      <c r="D158" s="195"/>
      <c r="E158" s="175"/>
    </row>
    <row r="159" spans="1:5" ht="12.6" customHeight="1" x14ac:dyDescent="0.25">
      <c r="A159" s="177"/>
      <c r="B159" s="177"/>
      <c r="C159" s="193"/>
      <c r="D159" s="336"/>
      <c r="E159" s="175"/>
    </row>
    <row r="160" spans="1:5" ht="12.6" customHeight="1" x14ac:dyDescent="0.25">
      <c r="A160" s="177"/>
      <c r="B160" s="177"/>
      <c r="C160" s="193"/>
      <c r="D160" s="336"/>
      <c r="E160" s="175"/>
    </row>
    <row r="161" spans="1:5" ht="12.6" customHeight="1" x14ac:dyDescent="0.25">
      <c r="A161" s="177"/>
      <c r="B161" s="177"/>
      <c r="C161" s="193"/>
      <c r="D161" s="336"/>
      <c r="E161" s="175"/>
    </row>
    <row r="162" spans="1:5" ht="21.75" customHeight="1" x14ac:dyDescent="0.25">
      <c r="A162" s="177"/>
      <c r="B162" s="177"/>
      <c r="C162" s="193"/>
      <c r="D162" s="336"/>
      <c r="E162" s="175"/>
    </row>
    <row r="163" spans="1:5" ht="11.4" customHeight="1" x14ac:dyDescent="0.25">
      <c r="A163" s="207" t="s">
        <v>305</v>
      </c>
      <c r="B163" s="208"/>
      <c r="C163" s="208"/>
      <c r="D163" s="328"/>
      <c r="E163" s="208"/>
    </row>
    <row r="164" spans="1:5" ht="11.4" customHeight="1" x14ac:dyDescent="0.25">
      <c r="A164" s="257" t="s">
        <v>306</v>
      </c>
      <c r="B164" s="257"/>
      <c r="C164" s="257"/>
      <c r="D164" s="331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14807442.76+4546766.3</f>
        <v>19354209.059999999</v>
      </c>
      <c r="D165" s="19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461285.91+73261.77</f>
        <v>534547.67999999993</v>
      </c>
      <c r="D166" s="19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2946959.64+175338.6</f>
        <v>3122298.24</v>
      </c>
      <c r="D167" s="19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27850718.48-3950671.11+72.25+927818.52+81011.8+1692930.63-626876.85+3.43+268353.59-267464.25+658322.37+6781701.23</f>
        <v>33415920.09</v>
      </c>
      <c r="D168" s="19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536642.73-390470.15+84834.78</f>
        <v>231007.35999999996</v>
      </c>
      <c r="D169" s="19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5737198.72+4068205.1+188893.99+3476859.61</f>
        <v>13471157.42</v>
      </c>
      <c r="D170" s="19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277930.16+116708.37+132119.26+9002.53-15+999952.61+15000+43414.67</f>
        <v>1594112.6</v>
      </c>
      <c r="D171" s="19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-104909.19+474424.79+864368.17</f>
        <v>1233883.77</v>
      </c>
      <c r="D172" s="195"/>
      <c r="E172" s="175"/>
    </row>
    <row r="173" spans="1:5" ht="11.4" customHeight="1" x14ac:dyDescent="0.25">
      <c r="A173" s="173" t="s">
        <v>203</v>
      </c>
      <c r="B173" s="175"/>
      <c r="C173" s="191"/>
      <c r="D173" s="195">
        <f>SUM(C165:C172)</f>
        <v>72957136.219999984</v>
      </c>
      <c r="E173" s="175"/>
    </row>
    <row r="174" spans="1:5" ht="11.4" customHeight="1" x14ac:dyDescent="0.25">
      <c r="A174" s="257" t="s">
        <v>314</v>
      </c>
      <c r="B174" s="257"/>
      <c r="C174" s="257"/>
      <c r="D174" s="331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9039724.79+2870747.84+1060000.83</f>
        <v>12970473.459999999</v>
      </c>
      <c r="D175" s="19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2309463.91+718845.47</f>
        <v>3028309.38</v>
      </c>
      <c r="D176" s="195"/>
      <c r="E176" s="175"/>
    </row>
    <row r="177" spans="1:5" ht="11.4" customHeight="1" x14ac:dyDescent="0.25">
      <c r="A177" s="173" t="s">
        <v>203</v>
      </c>
      <c r="B177" s="175"/>
      <c r="C177" s="191"/>
      <c r="D177" s="195">
        <f>SUM(C175:C176)</f>
        <v>15998782.84</v>
      </c>
      <c r="E177" s="175"/>
    </row>
    <row r="178" spans="1:5" ht="11.4" customHeight="1" x14ac:dyDescent="0.25">
      <c r="A178" s="257" t="s">
        <v>317</v>
      </c>
      <c r="B178" s="257"/>
      <c r="C178" s="257"/>
      <c r="D178" s="331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4911411.32+1530174.46+17692.4</f>
        <v>6459278.1800000006</v>
      </c>
      <c r="D179" s="19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767602.51-201304.13</f>
        <v>566298.38</v>
      </c>
      <c r="D180" s="195"/>
      <c r="E180" s="175"/>
    </row>
    <row r="181" spans="1:5" ht="11.4" customHeight="1" x14ac:dyDescent="0.25">
      <c r="A181" s="173" t="s">
        <v>203</v>
      </c>
      <c r="B181" s="175"/>
      <c r="C181" s="191"/>
      <c r="D181" s="195">
        <f>SUM(C179:C180)</f>
        <v>7025576.5600000005</v>
      </c>
      <c r="E181" s="175"/>
    </row>
    <row r="182" spans="1:5" ht="11.4" customHeight="1" x14ac:dyDescent="0.25">
      <c r="A182" s="257" t="s">
        <v>320</v>
      </c>
      <c r="B182" s="257"/>
      <c r="C182" s="257"/>
      <c r="D182" s="331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206489.85+53676.64+30354.97</f>
        <v>290521.45999999996</v>
      </c>
      <c r="D183" s="19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28454826.13</f>
        <v>28454826.129999999</v>
      </c>
      <c r="D184" s="19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95"/>
      <c r="E185" s="175"/>
    </row>
    <row r="186" spans="1:5" ht="11.4" customHeight="1" x14ac:dyDescent="0.25">
      <c r="A186" s="173" t="s">
        <v>203</v>
      </c>
      <c r="B186" s="175"/>
      <c r="C186" s="191"/>
      <c r="D186" s="195">
        <f>SUM(C183:C185)</f>
        <v>28745347.59</v>
      </c>
      <c r="E186" s="175"/>
    </row>
    <row r="187" spans="1:5" ht="11.4" customHeight="1" x14ac:dyDescent="0.25">
      <c r="A187" s="257" t="s">
        <v>323</v>
      </c>
      <c r="B187" s="257"/>
      <c r="C187" s="257"/>
      <c r="D187" s="331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9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164600.79</v>
      </c>
      <c r="D189" s="195"/>
      <c r="E189" s="175"/>
    </row>
    <row r="190" spans="1:5" ht="11.4" customHeight="1" x14ac:dyDescent="0.25">
      <c r="A190" s="173" t="s">
        <v>203</v>
      </c>
      <c r="B190" s="175"/>
      <c r="C190" s="191"/>
      <c r="D190" s="195">
        <f>SUM(C188:C189)</f>
        <v>164600.79</v>
      </c>
      <c r="E190" s="175"/>
    </row>
    <row r="191" spans="1:5" ht="18" customHeight="1" x14ac:dyDescent="0.25">
      <c r="A191" s="173"/>
      <c r="B191" s="175"/>
      <c r="C191" s="191"/>
      <c r="D191" s="195"/>
      <c r="E191" s="175"/>
    </row>
    <row r="192" spans="1:5" ht="12.6" customHeight="1" x14ac:dyDescent="0.25">
      <c r="A192" s="208" t="s">
        <v>326</v>
      </c>
      <c r="B192" s="208"/>
      <c r="C192" s="208"/>
      <c r="D192" s="328"/>
      <c r="E192" s="208"/>
    </row>
    <row r="193" spans="1:8" ht="12.6" customHeight="1" x14ac:dyDescent="0.25">
      <c r="A193" s="207" t="s">
        <v>327</v>
      </c>
      <c r="B193" s="208"/>
      <c r="C193" s="208"/>
      <c r="D193" s="32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326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7877314.96</f>
        <v>7877314.96</v>
      </c>
      <c r="C195" s="189">
        <v>0</v>
      </c>
      <c r="D195" s="332"/>
      <c r="E195" s="175">
        <f t="shared" ref="E195:E203" si="10">SUM(B195:C195)-D195</f>
        <v>7877314.96</v>
      </c>
    </row>
    <row r="196" spans="1:8" ht="12.6" customHeight="1" x14ac:dyDescent="0.25">
      <c r="A196" s="173" t="s">
        <v>333</v>
      </c>
      <c r="B196" s="174">
        <v>4412190.25</v>
      </c>
      <c r="C196" s="189"/>
      <c r="D196" s="332"/>
      <c r="E196" s="175">
        <f t="shared" si="10"/>
        <v>4412190.25</v>
      </c>
    </row>
    <row r="197" spans="1:8" ht="12.6" customHeight="1" x14ac:dyDescent="0.25">
      <c r="A197" s="173" t="s">
        <v>334</v>
      </c>
      <c r="B197" s="174">
        <f>122860258.49+53731138.59+103883.39</f>
        <v>176695280.46999997</v>
      </c>
      <c r="C197" s="189">
        <f>5536503.16+673864.46</f>
        <v>6210367.6200000001</v>
      </c>
      <c r="D197" s="332"/>
      <c r="E197" s="175">
        <f t="shared" si="10"/>
        <v>182905648.08999997</v>
      </c>
    </row>
    <row r="198" spans="1:8" ht="12.6" customHeight="1" x14ac:dyDescent="0.25">
      <c r="A198" s="173" t="s">
        <v>335</v>
      </c>
      <c r="B198" s="174"/>
      <c r="C198" s="189"/>
      <c r="D198" s="332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f>78021103.97+509666.16</f>
        <v>78530770.129999995</v>
      </c>
      <c r="C199" s="189">
        <f>2673685.31+1270562.11+45532.89</f>
        <v>3989780.31</v>
      </c>
      <c r="D199" s="332">
        <v>35846.86</v>
      </c>
      <c r="E199" s="175">
        <f t="shared" si="10"/>
        <v>82484703.579999998</v>
      </c>
    </row>
    <row r="200" spans="1:8" ht="12.6" customHeight="1" x14ac:dyDescent="0.25">
      <c r="A200" s="173" t="s">
        <v>337</v>
      </c>
      <c r="B200" s="174">
        <f>253157514.61+25583164.22</f>
        <v>278740678.83000004</v>
      </c>
      <c r="C200" s="189">
        <f>9214492.56+1094646.36+1174566.94</f>
        <v>11483705.859999999</v>
      </c>
      <c r="D200" s="332">
        <f>1057550.06+105077.0255</f>
        <v>1162627.0855</v>
      </c>
      <c r="E200" s="175">
        <f t="shared" si="10"/>
        <v>289061757.60450006</v>
      </c>
    </row>
    <row r="201" spans="1:8" ht="12.6" customHeight="1" x14ac:dyDescent="0.25">
      <c r="A201" s="173" t="s">
        <v>338</v>
      </c>
      <c r="B201" s="174"/>
      <c r="C201" s="189"/>
      <c r="D201" s="332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33745293.34+12775277.21</f>
        <v>46520570.550000004</v>
      </c>
      <c r="C202" s="189">
        <f>2330645.07+1654644.54</f>
        <v>3985289.61</v>
      </c>
      <c r="D202" s="332">
        <f>20439.61</f>
        <v>20439.61</v>
      </c>
      <c r="E202" s="175">
        <f t="shared" si="10"/>
        <v>50485420.550000004</v>
      </c>
    </row>
    <row r="203" spans="1:8" ht="12.6" customHeight="1" x14ac:dyDescent="0.25">
      <c r="A203" s="173" t="s">
        <v>340</v>
      </c>
      <c r="B203" s="174">
        <f>12934752.62+5020127.62+2259422.81+159987.21</f>
        <v>20374290.259999998</v>
      </c>
      <c r="C203" s="189">
        <f>11144062.45+46191.04-22478986.01-2104300.12-101468.63</f>
        <v>-13494501.270000005</v>
      </c>
      <c r="D203" s="332"/>
      <c r="E203" s="175">
        <f t="shared" si="10"/>
        <v>6879788.9899999928</v>
      </c>
    </row>
    <row r="204" spans="1:8" ht="12.6" customHeight="1" x14ac:dyDescent="0.25">
      <c r="A204" s="173" t="s">
        <v>203</v>
      </c>
      <c r="B204" s="175">
        <f>SUM(B195:B203)</f>
        <v>613151095.44999993</v>
      </c>
      <c r="C204" s="191">
        <f>SUM(C195:C203)</f>
        <v>12174642.129999993</v>
      </c>
      <c r="D204" s="195">
        <f>SUM(D195:D203)</f>
        <v>1218913.5555000002</v>
      </c>
      <c r="E204" s="175">
        <f>SUM(E195:E203)</f>
        <v>624106824.02450001</v>
      </c>
    </row>
    <row r="205" spans="1:8" ht="12.6" customHeight="1" x14ac:dyDescent="0.25">
      <c r="A205" s="173"/>
      <c r="B205" s="173"/>
      <c r="C205" s="191"/>
      <c r="D205" s="195"/>
      <c r="E205" s="175"/>
    </row>
    <row r="206" spans="1:8" ht="12.6" customHeight="1" x14ac:dyDescent="0.25">
      <c r="A206" s="207" t="s">
        <v>341</v>
      </c>
      <c r="B206" s="207"/>
      <c r="C206" s="207"/>
      <c r="D206" s="334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326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336"/>
      <c r="E208" s="175"/>
      <c r="H208" s="259"/>
    </row>
    <row r="209" spans="1:8" ht="12.6" customHeight="1" x14ac:dyDescent="0.25">
      <c r="A209" s="173" t="s">
        <v>333</v>
      </c>
      <c r="B209" s="174">
        <f>3340859.78</f>
        <v>3340859.78</v>
      </c>
      <c r="C209" s="308">
        <f>165528.48</f>
        <v>165528.48000000001</v>
      </c>
      <c r="D209" s="332"/>
      <c r="E209" s="175">
        <f t="shared" ref="E209:E216" si="11">SUM(B209:C209)-D209</f>
        <v>3506388.26</v>
      </c>
      <c r="H209" s="259"/>
    </row>
    <row r="210" spans="1:8" ht="12.6" customHeight="1" x14ac:dyDescent="0.25">
      <c r="A210" s="173" t="s">
        <v>334</v>
      </c>
      <c r="B210" s="174">
        <f>71632901.71+15494491.03+16877.66</f>
        <v>87144270.399999991</v>
      </c>
      <c r="C210" s="308">
        <f>2385755.48+3639053.59+16811.27+77498.1</f>
        <v>6119118.4399999995</v>
      </c>
      <c r="D210" s="332"/>
      <c r="E210" s="175">
        <f t="shared" si="11"/>
        <v>93263388.839999989</v>
      </c>
      <c r="H210" s="259"/>
    </row>
    <row r="211" spans="1:8" ht="12.6" customHeight="1" x14ac:dyDescent="0.25">
      <c r="A211" s="173" t="s">
        <v>335</v>
      </c>
      <c r="B211" s="174"/>
      <c r="C211" s="308"/>
      <c r="D211" s="332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f>62902392.05+290229.7</f>
        <v>63192621.75</v>
      </c>
      <c r="C212" s="308">
        <f>1833185.48+33885.26+53550.67</f>
        <v>1920621.41</v>
      </c>
      <c r="D212" s="332">
        <v>35846.86</v>
      </c>
      <c r="E212" s="175">
        <f t="shared" si="11"/>
        <v>65077396.299999997</v>
      </c>
      <c r="H212" s="259"/>
    </row>
    <row r="213" spans="1:8" ht="12.6" customHeight="1" x14ac:dyDescent="0.25">
      <c r="A213" s="173" t="s">
        <v>337</v>
      </c>
      <c r="B213" s="174">
        <f>189047683.54+14554268.35</f>
        <v>203601951.88999999</v>
      </c>
      <c r="C213" s="308">
        <f>18656555.91-118609.92+295000+2570917.3+314750.06</f>
        <v>21718613.349999998</v>
      </c>
      <c r="D213" s="332">
        <f>926158.81+314750.06</f>
        <v>1240908.8700000001</v>
      </c>
      <c r="E213" s="175">
        <f t="shared" si="11"/>
        <v>224079656.36999997</v>
      </c>
      <c r="F213" s="197"/>
      <c r="H213" s="259"/>
    </row>
    <row r="214" spans="1:8" ht="12.6" customHeight="1" x14ac:dyDescent="0.25">
      <c r="A214" s="173" t="s">
        <v>338</v>
      </c>
      <c r="B214" s="174"/>
      <c r="C214" s="308"/>
      <c r="D214" s="332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f>11392077.05+6384715.22</f>
        <v>17776792.27</v>
      </c>
      <c r="C215" s="308">
        <f>2501638.52+1437310.08</f>
        <v>3938948.6</v>
      </c>
      <c r="D215" s="332"/>
      <c r="E215" s="175">
        <f t="shared" si="11"/>
        <v>21715740.870000001</v>
      </c>
      <c r="H215" s="259"/>
    </row>
    <row r="216" spans="1:8" ht="12.6" customHeight="1" x14ac:dyDescent="0.25">
      <c r="A216" s="173" t="s">
        <v>340</v>
      </c>
      <c r="B216" s="174"/>
      <c r="C216" s="308"/>
      <c r="D216" s="332"/>
      <c r="E216" s="175">
        <f t="shared" si="11"/>
        <v>0</v>
      </c>
      <c r="H216" s="313"/>
    </row>
    <row r="217" spans="1:8" ht="12.6" customHeight="1" x14ac:dyDescent="0.25">
      <c r="A217" s="173" t="s">
        <v>203</v>
      </c>
      <c r="B217" s="175">
        <f>SUM(B208:B216)</f>
        <v>375056496.08999997</v>
      </c>
      <c r="C217" s="191">
        <f>SUM(C208:C216)</f>
        <v>33862830.280000001</v>
      </c>
      <c r="D217" s="195">
        <f>SUM(D208:D216)</f>
        <v>1276755.7300000002</v>
      </c>
      <c r="E217" s="175">
        <f>SUM(E208:E216)</f>
        <v>407642570.63999999</v>
      </c>
      <c r="H217" s="304"/>
    </row>
    <row r="218" spans="1:8" ht="21.75" customHeight="1" x14ac:dyDescent="0.25">
      <c r="A218" s="173"/>
      <c r="B218" s="175"/>
      <c r="C218" s="191"/>
      <c r="D218" s="195"/>
      <c r="E218" s="175"/>
      <c r="H218" s="304"/>
    </row>
    <row r="219" spans="1:8" ht="12.6" customHeight="1" x14ac:dyDescent="0.25">
      <c r="A219" s="208" t="s">
        <v>342</v>
      </c>
      <c r="B219" s="208"/>
      <c r="C219" s="208"/>
      <c r="D219" s="328"/>
      <c r="E219" s="208"/>
      <c r="G219" s="304"/>
      <c r="H219" s="304"/>
    </row>
    <row r="220" spans="1:8" ht="12.6" customHeight="1" x14ac:dyDescent="0.25">
      <c r="A220" s="208"/>
      <c r="B220" s="347" t="s">
        <v>1255</v>
      </c>
      <c r="C220" s="347"/>
      <c r="D220" s="328"/>
      <c r="E220" s="208"/>
    </row>
    <row r="221" spans="1:8" ht="12.6" customHeight="1" x14ac:dyDescent="0.25">
      <c r="A221" s="272" t="s">
        <v>1255</v>
      </c>
      <c r="B221" s="208"/>
      <c r="C221" s="189">
        <v>12550417.58</v>
      </c>
      <c r="D221" s="337">
        <f>C221</f>
        <v>12550417.58</v>
      </c>
      <c r="E221" s="208"/>
    </row>
    <row r="222" spans="1:8" ht="12.6" customHeight="1" x14ac:dyDescent="0.25">
      <c r="A222" s="257" t="s">
        <v>343</v>
      </c>
      <c r="B222" s="257"/>
      <c r="C222" s="257"/>
      <c r="D222" s="331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768619957.74+378536691.35+667096.86+49261662.58+161708.55</f>
        <v>1197247117.0799999</v>
      </c>
      <c r="D223" s="19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326422094.97+198909912.41+3557997.47+31145443.96+3150</f>
        <v>560038598.81000006</v>
      </c>
      <c r="D224" s="19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9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58954212.17+45397711.02+435273.07+6806107.43</f>
        <v>111593303.69</v>
      </c>
      <c r="D226" s="19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2404869706.21-C223-C224-C225-C228-C238-C226</f>
        <v>467374345.16000003</v>
      </c>
      <c r="D227" s="19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18557722.27+24555013.25+3414008.6</f>
        <v>46526744.119999997</v>
      </c>
      <c r="D228" s="195"/>
      <c r="E228" s="175"/>
    </row>
    <row r="229" spans="1:5" ht="12.6" customHeight="1" x14ac:dyDescent="0.25">
      <c r="A229" s="173" t="s">
        <v>350</v>
      </c>
      <c r="B229" s="175"/>
      <c r="C229" s="191"/>
      <c r="D229" s="195">
        <f>SUM(C223:C228)</f>
        <v>2382780108.8599997</v>
      </c>
      <c r="E229" s="175"/>
    </row>
    <row r="230" spans="1:5" ht="12.6" customHeight="1" x14ac:dyDescent="0.25">
      <c r="A230" s="257" t="s">
        <v>351</v>
      </c>
      <c r="B230" s="257"/>
      <c r="C230" s="257"/>
      <c r="D230" s="331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11923</v>
      </c>
      <c r="D231" s="195"/>
      <c r="E231" s="175"/>
    </row>
    <row r="232" spans="1:5" ht="12.6" customHeight="1" x14ac:dyDescent="0.25">
      <c r="A232" s="171"/>
      <c r="B232" s="172"/>
      <c r="C232" s="191"/>
      <c r="D232" s="19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7624468.9299999997</v>
      </c>
      <c r="D233" s="19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15816035.87+1624719.33+144975.89+66155.07</f>
        <v>17651886.16</v>
      </c>
      <c r="D234" s="195"/>
      <c r="E234" s="175"/>
    </row>
    <row r="235" spans="1:5" ht="12.6" customHeight="1" x14ac:dyDescent="0.25">
      <c r="A235" s="173"/>
      <c r="B235" s="175"/>
      <c r="C235" s="191"/>
      <c r="D235" s="195"/>
      <c r="E235" s="175"/>
    </row>
    <row r="236" spans="1:5" ht="12.6" customHeight="1" x14ac:dyDescent="0.25">
      <c r="A236" s="171" t="s">
        <v>355</v>
      </c>
      <c r="B236" s="175"/>
      <c r="C236" s="191"/>
      <c r="D236" s="195">
        <f>SUM(C233:C235)</f>
        <v>25276355.09</v>
      </c>
      <c r="E236" s="175"/>
    </row>
    <row r="237" spans="1:5" ht="12.6" customHeight="1" x14ac:dyDescent="0.25">
      <c r="A237" s="257" t="s">
        <v>356</v>
      </c>
      <c r="B237" s="257"/>
      <c r="C237" s="257"/>
      <c r="D237" s="331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8327715.27+11814201.35+92119.38+1696423.71+141809.88+17327.76</f>
        <v>22089597.349999998</v>
      </c>
      <c r="D238" s="19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95"/>
      <c r="E239" s="175"/>
    </row>
    <row r="240" spans="1:5" ht="12.6" customHeight="1" x14ac:dyDescent="0.25">
      <c r="A240" s="173" t="s">
        <v>358</v>
      </c>
      <c r="B240" s="175"/>
      <c r="C240" s="191"/>
      <c r="D240" s="195">
        <f>SUM(C238:C239)</f>
        <v>22089597.349999998</v>
      </c>
      <c r="E240" s="175"/>
    </row>
    <row r="241" spans="1:5" ht="12.6" customHeight="1" x14ac:dyDescent="0.25">
      <c r="A241" s="173"/>
      <c r="B241" s="175"/>
      <c r="C241" s="191"/>
      <c r="D241" s="195"/>
      <c r="E241" s="175"/>
    </row>
    <row r="242" spans="1:5" ht="12.6" customHeight="1" x14ac:dyDescent="0.25">
      <c r="A242" s="173" t="s">
        <v>359</v>
      </c>
      <c r="B242" s="175"/>
      <c r="C242" s="191"/>
      <c r="D242" s="195">
        <f>D221+D229+D236+D240</f>
        <v>2442696478.8799996</v>
      </c>
      <c r="E242" s="175"/>
    </row>
    <row r="243" spans="1:5" ht="12.6" customHeight="1" x14ac:dyDescent="0.25">
      <c r="A243" s="173"/>
      <c r="B243" s="173"/>
      <c r="C243" s="191"/>
      <c r="D243" s="195"/>
      <c r="E243" s="175"/>
    </row>
    <row r="244" spans="1:5" ht="12.6" customHeight="1" x14ac:dyDescent="0.25">
      <c r="A244" s="173"/>
      <c r="B244" s="173"/>
      <c r="C244" s="191"/>
      <c r="D244" s="195"/>
      <c r="E244" s="175"/>
    </row>
    <row r="245" spans="1:5" ht="12.6" customHeight="1" x14ac:dyDescent="0.25">
      <c r="A245" s="173"/>
      <c r="B245" s="173"/>
      <c r="C245" s="191"/>
      <c r="D245" s="195"/>
      <c r="E245" s="175"/>
    </row>
    <row r="246" spans="1:5" ht="12.6" customHeight="1" x14ac:dyDescent="0.25">
      <c r="A246" s="173"/>
      <c r="B246" s="173"/>
      <c r="C246" s="191"/>
      <c r="D246" s="195"/>
      <c r="E246" s="175"/>
    </row>
    <row r="247" spans="1:5" ht="21.75" customHeight="1" x14ac:dyDescent="0.25">
      <c r="A247" s="173"/>
      <c r="B247" s="173"/>
      <c r="C247" s="191"/>
      <c r="D247" s="195"/>
      <c r="E247" s="175"/>
    </row>
    <row r="248" spans="1:5" ht="12.45" customHeight="1" x14ac:dyDescent="0.25">
      <c r="A248" s="208" t="s">
        <v>360</v>
      </c>
      <c r="B248" s="208"/>
      <c r="C248" s="208"/>
      <c r="D248" s="328"/>
      <c r="E248" s="208"/>
    </row>
    <row r="249" spans="1:5" ht="11.25" customHeight="1" x14ac:dyDescent="0.25">
      <c r="A249" s="257" t="s">
        <v>361</v>
      </c>
      <c r="B249" s="257"/>
      <c r="C249" s="257"/>
      <c r="D249" s="331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35805897.79+3178694.05</f>
        <v>38984591.839999996</v>
      </c>
      <c r="D250" s="19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9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423245677.46+33280741.88</f>
        <v>456526419.33999997</v>
      </c>
      <c r="D252" s="19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301894969.22+20262445.12+20713010.04</f>
        <v>342870424.38000005</v>
      </c>
      <c r="D253" s="19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9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7494519.74+259281.8+26917752.38+798311.26</f>
        <v>35469865.18</v>
      </c>
      <c r="D255" s="19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9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f>15706021.54+684569.41</f>
        <v>16390590.949999999</v>
      </c>
      <c r="D257" s="19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801700.78+736654.37</f>
        <v>1538355.15</v>
      </c>
      <c r="D258" s="19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95"/>
      <c r="E259" s="175"/>
    </row>
    <row r="260" spans="1:5" ht="12.45" customHeight="1" x14ac:dyDescent="0.25">
      <c r="A260" s="173" t="s">
        <v>371</v>
      </c>
      <c r="B260" s="175"/>
      <c r="C260" s="191"/>
      <c r="D260" s="195">
        <f>SUM(C250:C252)-C253+SUM(C254:C259)</f>
        <v>206039398.07999989</v>
      </c>
      <c r="E260" s="175"/>
    </row>
    <row r="261" spans="1:5" ht="11.25" customHeight="1" x14ac:dyDescent="0.25">
      <c r="A261" s="257" t="s">
        <v>372</v>
      </c>
      <c r="B261" s="257"/>
      <c r="C261" s="257"/>
      <c r="D261" s="331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9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9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95"/>
      <c r="E264" s="175"/>
    </row>
    <row r="265" spans="1:5" ht="12.45" customHeight="1" x14ac:dyDescent="0.25">
      <c r="A265" s="173" t="s">
        <v>374</v>
      </c>
      <c r="B265" s="175"/>
      <c r="C265" s="191"/>
      <c r="D265" s="19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331"/>
      <c r="E266" s="257"/>
    </row>
    <row r="267" spans="1:5" ht="12.45" customHeight="1" x14ac:dyDescent="0.25">
      <c r="A267" s="173" t="s">
        <v>332</v>
      </c>
      <c r="B267" s="172" t="s">
        <v>256</v>
      </c>
      <c r="C267" s="174">
        <f>7877314.96</f>
        <v>7877314.96</v>
      </c>
      <c r="D267" s="19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4412190.25</v>
      </c>
      <c r="D268" s="19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182801764.7+103883.39</f>
        <v>182905648.08999997</v>
      </c>
      <c r="D269" s="19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9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82484703.579999998</v>
      </c>
      <c r="D271" s="19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289061757.60450006</v>
      </c>
      <c r="D272" s="19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50485420.550000004</v>
      </c>
      <c r="D273" s="19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6879788.9899999984</v>
      </c>
      <c r="D274" s="195"/>
      <c r="E274" s="175"/>
    </row>
    <row r="275" spans="1:5" ht="12.45" customHeight="1" x14ac:dyDescent="0.25">
      <c r="A275" s="173" t="s">
        <v>379</v>
      </c>
      <c r="B275" s="175"/>
      <c r="C275" s="191"/>
      <c r="D275" s="195">
        <f>SUM(C267:C274)</f>
        <v>624106824.02450001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382257203.56+25385367.08</f>
        <v>407642570.63999999</v>
      </c>
      <c r="D276" s="195"/>
      <c r="E276" s="175"/>
    </row>
    <row r="277" spans="1:5" ht="12.6" customHeight="1" x14ac:dyDescent="0.25">
      <c r="A277" s="173" t="s">
        <v>381</v>
      </c>
      <c r="B277" s="175"/>
      <c r="C277" s="191"/>
      <c r="D277" s="195">
        <f>D275-C276</f>
        <v>216464253.38450003</v>
      </c>
      <c r="E277" s="175"/>
    </row>
    <row r="278" spans="1:5" ht="12.6" customHeight="1" x14ac:dyDescent="0.25">
      <c r="A278" s="257" t="s">
        <v>382</v>
      </c>
      <c r="B278" s="257"/>
      <c r="C278" s="257"/>
      <c r="D278" s="331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9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9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26148996.85+6338153.35</f>
        <v>32487150.200000003</v>
      </c>
      <c r="D281" s="19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32737+1221429+26471.92</f>
        <v>1280637.92</v>
      </c>
      <c r="D282" s="195"/>
      <c r="E282" s="175"/>
    </row>
    <row r="283" spans="1:5" ht="12.6" customHeight="1" x14ac:dyDescent="0.25">
      <c r="A283" s="173" t="s">
        <v>386</v>
      </c>
      <c r="B283" s="175"/>
      <c r="C283" s="191"/>
      <c r="D283" s="195">
        <f>C279-C280+C281+C282</f>
        <v>33767788.120000005</v>
      </c>
      <c r="E283" s="175"/>
    </row>
    <row r="284" spans="1:5" ht="12.6" customHeight="1" x14ac:dyDescent="0.25">
      <c r="A284" s="173"/>
      <c r="B284" s="175"/>
      <c r="C284" s="191"/>
      <c r="D284" s="195"/>
      <c r="E284" s="175"/>
    </row>
    <row r="285" spans="1:5" ht="12.6" customHeight="1" x14ac:dyDescent="0.25">
      <c r="A285" s="257" t="s">
        <v>387</v>
      </c>
      <c r="B285" s="257"/>
      <c r="C285" s="257"/>
      <c r="D285" s="331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4497898.8</v>
      </c>
      <c r="D286" s="19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9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9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411987.6</v>
      </c>
      <c r="D289" s="195"/>
      <c r="E289" s="175"/>
    </row>
    <row r="290" spans="1:5" ht="12.6" customHeight="1" x14ac:dyDescent="0.25">
      <c r="A290" s="173" t="s">
        <v>392</v>
      </c>
      <c r="B290" s="175"/>
      <c r="C290" s="191"/>
      <c r="D290" s="195">
        <f>SUM(C286:C289)</f>
        <v>4909886.3999999994</v>
      </c>
      <c r="E290" s="175"/>
    </row>
    <row r="291" spans="1:5" ht="12.6" customHeight="1" x14ac:dyDescent="0.25">
      <c r="A291" s="173"/>
      <c r="B291" s="175"/>
      <c r="C291" s="191"/>
      <c r="D291" s="195"/>
      <c r="E291" s="175"/>
    </row>
    <row r="292" spans="1:5" ht="12.6" customHeight="1" x14ac:dyDescent="0.25">
      <c r="A292" s="173" t="s">
        <v>393</v>
      </c>
      <c r="B292" s="175"/>
      <c r="C292" s="191"/>
      <c r="D292" s="195">
        <f>D260+D265+D277+D283+D290</f>
        <v>461181325.98449993</v>
      </c>
      <c r="E292" s="175"/>
    </row>
    <row r="293" spans="1:5" ht="12.6" customHeight="1" x14ac:dyDescent="0.25">
      <c r="A293" s="173"/>
      <c r="B293" s="173"/>
      <c r="C293" s="191"/>
      <c r="D293" s="195"/>
      <c r="E293" s="175"/>
    </row>
    <row r="294" spans="1:5" ht="12.6" customHeight="1" x14ac:dyDescent="0.25">
      <c r="A294" s="173"/>
      <c r="B294" s="173"/>
      <c r="C294" s="191"/>
      <c r="D294" s="195"/>
      <c r="E294" s="175"/>
    </row>
    <row r="295" spans="1:5" ht="12.6" customHeight="1" x14ac:dyDescent="0.25">
      <c r="A295" s="173"/>
      <c r="B295" s="173"/>
      <c r="C295" s="191"/>
      <c r="D295" s="195"/>
      <c r="E295" s="175"/>
    </row>
    <row r="296" spans="1:5" ht="12.6" customHeight="1" x14ac:dyDescent="0.25">
      <c r="A296" s="173"/>
      <c r="B296" s="173"/>
      <c r="C296" s="191"/>
      <c r="D296" s="195"/>
      <c r="E296" s="175"/>
    </row>
    <row r="297" spans="1:5" ht="12.6" customHeight="1" x14ac:dyDescent="0.25">
      <c r="A297" s="173"/>
      <c r="B297" s="173"/>
      <c r="C297" s="191"/>
      <c r="D297" s="195"/>
      <c r="E297" s="175"/>
    </row>
    <row r="298" spans="1:5" ht="12.6" customHeight="1" x14ac:dyDescent="0.25">
      <c r="A298" s="173"/>
      <c r="B298" s="173"/>
      <c r="C298" s="191"/>
      <c r="D298" s="195"/>
      <c r="E298" s="175"/>
    </row>
    <row r="299" spans="1:5" ht="12.6" customHeight="1" x14ac:dyDescent="0.25">
      <c r="A299" s="173"/>
      <c r="B299" s="173"/>
      <c r="C299" s="191"/>
      <c r="D299" s="195"/>
      <c r="E299" s="175"/>
    </row>
    <row r="300" spans="1:5" ht="12.6" customHeight="1" x14ac:dyDescent="0.25">
      <c r="A300" s="173"/>
      <c r="B300" s="173"/>
      <c r="C300" s="191"/>
      <c r="D300" s="195"/>
      <c r="E300" s="175"/>
    </row>
    <row r="301" spans="1:5" ht="20.25" customHeight="1" x14ac:dyDescent="0.25">
      <c r="A301" s="173"/>
      <c r="B301" s="173"/>
      <c r="C301" s="191"/>
      <c r="D301" s="195"/>
      <c r="E301" s="175"/>
    </row>
    <row r="302" spans="1:5" ht="12.6" customHeight="1" x14ac:dyDescent="0.25">
      <c r="A302" s="208" t="s">
        <v>394</v>
      </c>
      <c r="B302" s="208"/>
      <c r="C302" s="208"/>
      <c r="D302" s="328"/>
      <c r="E302" s="208"/>
    </row>
    <row r="303" spans="1:5" ht="14.25" customHeight="1" x14ac:dyDescent="0.25">
      <c r="A303" s="257" t="s">
        <v>395</v>
      </c>
      <c r="B303" s="257"/>
      <c r="C303" s="257"/>
      <c r="D303" s="331"/>
      <c r="E303" s="257"/>
    </row>
    <row r="304" spans="1:5" ht="12.6" customHeight="1" x14ac:dyDescent="0.25">
      <c r="A304" s="173" t="s">
        <v>396</v>
      </c>
      <c r="B304" s="172" t="s">
        <v>256</v>
      </c>
      <c r="C304" s="317"/>
      <c r="D304" s="19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6581262.51+541089.11</f>
        <v>7122351.6200000001</v>
      </c>
      <c r="D305" s="19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24373914.72+6959032.23</f>
        <v>31332946.949999999</v>
      </c>
      <c r="D306" s="19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22927474.75+15651699.12+548021.58+8242183.85</f>
        <v>47369379.299999997</v>
      </c>
      <c r="D307" s="19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9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6526583.9800000004</v>
      </c>
      <c r="D309" s="19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9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9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34754685.979999997</v>
      </c>
      <c r="D312" s="19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952925.09+508435.44</f>
        <v>1461360.53</v>
      </c>
      <c r="D313" s="195"/>
      <c r="E313" s="175"/>
    </row>
    <row r="314" spans="1:5" ht="12.6" customHeight="1" x14ac:dyDescent="0.25">
      <c r="A314" s="173" t="s">
        <v>405</v>
      </c>
      <c r="B314" s="175"/>
      <c r="C314" s="318"/>
      <c r="D314" s="195">
        <f>SUM(C304:C313)</f>
        <v>128567308.36000001</v>
      </c>
      <c r="E314" s="175"/>
    </row>
    <row r="315" spans="1:5" ht="12.6" customHeight="1" x14ac:dyDescent="0.25">
      <c r="A315" s="257" t="s">
        <v>406</v>
      </c>
      <c r="B315" s="257"/>
      <c r="C315" s="319"/>
      <c r="D315" s="331"/>
      <c r="E315" s="257"/>
    </row>
    <row r="316" spans="1:5" ht="12.6" customHeight="1" x14ac:dyDescent="0.25">
      <c r="A316" s="173" t="s">
        <v>407</v>
      </c>
      <c r="B316" s="172" t="s">
        <v>256</v>
      </c>
      <c r="C316" s="317"/>
      <c r="D316" s="195"/>
      <c r="E316" s="175"/>
    </row>
    <row r="317" spans="1:5" ht="12.6" customHeight="1" x14ac:dyDescent="0.25">
      <c r="A317" s="173" t="s">
        <v>408</v>
      </c>
      <c r="B317" s="172" t="s">
        <v>256</v>
      </c>
      <c r="C317" s="317"/>
      <c r="D317" s="19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9711838.6500000004</v>
      </c>
      <c r="D318" s="195"/>
      <c r="E318" s="175"/>
    </row>
    <row r="319" spans="1:5" ht="12.6" customHeight="1" x14ac:dyDescent="0.25">
      <c r="A319" s="173" t="s">
        <v>410</v>
      </c>
      <c r="B319" s="175"/>
      <c r="C319" s="318"/>
      <c r="D319" s="195">
        <f>SUM(C316:C318)</f>
        <v>9711838.6500000004</v>
      </c>
      <c r="E319" s="175"/>
    </row>
    <row r="320" spans="1:5" ht="12.6" customHeight="1" x14ac:dyDescent="0.25">
      <c r="A320" s="257" t="s">
        <v>411</v>
      </c>
      <c r="B320" s="257"/>
      <c r="C320" s="319"/>
      <c r="D320" s="331"/>
      <c r="E320" s="257"/>
    </row>
    <row r="321" spans="1:5" ht="12.6" customHeight="1" x14ac:dyDescent="0.25">
      <c r="A321" s="173" t="s">
        <v>412</v>
      </c>
      <c r="B321" s="172" t="s">
        <v>256</v>
      </c>
      <c r="C321" s="317"/>
      <c r="D321" s="195"/>
      <c r="E321" s="175"/>
    </row>
    <row r="322" spans="1:5" ht="12.6" customHeight="1" x14ac:dyDescent="0.25">
      <c r="A322" s="173" t="s">
        <v>413</v>
      </c>
      <c r="B322" s="172" t="s">
        <v>256</v>
      </c>
      <c r="C322" s="317"/>
      <c r="D322" s="19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1525306.32</v>
      </c>
      <c r="D323" s="19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2333074.79</v>
      </c>
      <c r="D324" s="19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9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9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1256300.03</v>
      </c>
      <c r="D327" s="195"/>
      <c r="E327" s="175"/>
    </row>
    <row r="328" spans="1:5" ht="19.5" customHeight="1" x14ac:dyDescent="0.25">
      <c r="A328" s="173" t="s">
        <v>203</v>
      </c>
      <c r="B328" s="175"/>
      <c r="C328" s="318"/>
      <c r="D328" s="195">
        <f>SUM(C321:C327)</f>
        <v>5114681.1400000006</v>
      </c>
      <c r="E328" s="175"/>
    </row>
    <row r="329" spans="1:5" ht="12.6" customHeight="1" x14ac:dyDescent="0.25">
      <c r="A329" s="173" t="s">
        <v>419</v>
      </c>
      <c r="B329" s="175"/>
      <c r="C329" s="318"/>
      <c r="D329" s="195">
        <f>C313</f>
        <v>1461360.53</v>
      </c>
      <c r="E329" s="175"/>
    </row>
    <row r="330" spans="1:5" ht="12.6" customHeight="1" x14ac:dyDescent="0.25">
      <c r="A330" s="173" t="s">
        <v>420</v>
      </c>
      <c r="B330" s="175"/>
      <c r="C330" s="318"/>
      <c r="D330" s="195">
        <f>D328-D329</f>
        <v>3653320.6100000003</v>
      </c>
      <c r="E330" s="175"/>
    </row>
    <row r="331" spans="1:5" ht="12.6" customHeight="1" x14ac:dyDescent="0.25">
      <c r="A331" s="173"/>
      <c r="B331" s="175"/>
      <c r="C331" s="318"/>
      <c r="D331" s="19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303571604.48+15677253.81</f>
        <v>319248858.29000002</v>
      </c>
      <c r="D332" s="195"/>
      <c r="E332" s="175"/>
    </row>
    <row r="333" spans="1:5" ht="12.6" customHeight="1" x14ac:dyDescent="0.25">
      <c r="A333" s="173"/>
      <c r="B333" s="172"/>
      <c r="C333" s="321"/>
      <c r="D333" s="195"/>
      <c r="E333" s="175"/>
    </row>
    <row r="334" spans="1:5" ht="12.6" customHeight="1" x14ac:dyDescent="0.25">
      <c r="A334" s="173" t="s">
        <v>1142</v>
      </c>
      <c r="B334" s="172" t="s">
        <v>256</v>
      </c>
      <c r="C334" s="320"/>
      <c r="D334" s="195"/>
      <c r="E334" s="175"/>
    </row>
    <row r="335" spans="1:5" ht="12.6" customHeight="1" x14ac:dyDescent="0.25">
      <c r="A335" s="173" t="s">
        <v>1143</v>
      </c>
      <c r="B335" s="172" t="s">
        <v>256</v>
      </c>
      <c r="C335" s="320"/>
      <c r="D335" s="195"/>
      <c r="E335" s="175"/>
    </row>
    <row r="336" spans="1:5" ht="12.6" customHeight="1" x14ac:dyDescent="0.25">
      <c r="A336" s="173" t="s">
        <v>423</v>
      </c>
      <c r="B336" s="172" t="s">
        <v>256</v>
      </c>
      <c r="C336" s="320"/>
      <c r="D336" s="195"/>
      <c r="E336" s="175"/>
    </row>
    <row r="337" spans="1:5" ht="12.6" customHeight="1" x14ac:dyDescent="0.25">
      <c r="A337" s="173" t="s">
        <v>422</v>
      </c>
      <c r="B337" s="172" t="s">
        <v>256</v>
      </c>
      <c r="C337" s="317"/>
      <c r="D337" s="195"/>
      <c r="E337" s="175"/>
    </row>
    <row r="338" spans="1:5" ht="12.6" customHeight="1" x14ac:dyDescent="0.25">
      <c r="A338" s="173" t="s">
        <v>1253</v>
      </c>
      <c r="B338" s="172" t="s">
        <v>256</v>
      </c>
      <c r="C338" s="317"/>
      <c r="D338" s="195"/>
      <c r="E338" s="175"/>
    </row>
    <row r="339" spans="1:5" ht="12.6" customHeight="1" x14ac:dyDescent="0.25">
      <c r="A339" s="173" t="s">
        <v>424</v>
      </c>
      <c r="B339" s="175"/>
      <c r="C339" s="191"/>
      <c r="D339" s="248">
        <f>D314+D319+D330+C332+C336+C337</f>
        <v>461181325.91000009</v>
      </c>
      <c r="E339" s="175"/>
    </row>
    <row r="340" spans="1:5" ht="12.6" customHeight="1" x14ac:dyDescent="0.25">
      <c r="A340" s="173"/>
      <c r="B340" s="175"/>
      <c r="C340" s="191"/>
      <c r="D340" s="248"/>
      <c r="E340" s="175"/>
    </row>
    <row r="341" spans="1:5" ht="12.6" customHeight="1" x14ac:dyDescent="0.25">
      <c r="A341" s="173" t="s">
        <v>425</v>
      </c>
      <c r="B341" s="175"/>
      <c r="C341" s="191"/>
      <c r="D341" s="248">
        <f>D292</f>
        <v>461181325.98449993</v>
      </c>
      <c r="E341" s="175"/>
    </row>
    <row r="342" spans="1:5" ht="12.6" customHeight="1" x14ac:dyDescent="0.25">
      <c r="A342" s="173"/>
      <c r="B342" s="173"/>
      <c r="C342" s="191"/>
      <c r="D342" s="195"/>
      <c r="E342" s="175"/>
    </row>
    <row r="343" spans="1:5" ht="12.6" customHeight="1" x14ac:dyDescent="0.25">
      <c r="A343" s="173"/>
      <c r="B343" s="173"/>
      <c r="C343" s="191"/>
      <c r="D343" s="195"/>
      <c r="E343" s="175"/>
    </row>
    <row r="344" spans="1:5" ht="12.6" customHeight="1" x14ac:dyDescent="0.25">
      <c r="A344" s="173"/>
      <c r="B344" s="173"/>
      <c r="C344" s="191"/>
      <c r="D344" s="195"/>
      <c r="E344" s="175"/>
    </row>
    <row r="345" spans="1:5" ht="12.6" customHeight="1" x14ac:dyDescent="0.25">
      <c r="A345" s="173"/>
      <c r="B345" s="173"/>
      <c r="C345" s="191"/>
      <c r="D345" s="195"/>
      <c r="E345" s="175"/>
    </row>
    <row r="346" spans="1:5" ht="12.6" customHeight="1" x14ac:dyDescent="0.25">
      <c r="A346" s="173"/>
      <c r="B346" s="173"/>
      <c r="C346" s="191"/>
      <c r="D346" s="195"/>
      <c r="E346" s="175"/>
    </row>
    <row r="347" spans="1:5" ht="12.6" customHeight="1" x14ac:dyDescent="0.25">
      <c r="A347" s="173"/>
      <c r="B347" s="173"/>
      <c r="C347" s="191"/>
      <c r="D347" s="195"/>
      <c r="E347" s="175"/>
    </row>
    <row r="348" spans="1:5" ht="12.6" customHeight="1" x14ac:dyDescent="0.25">
      <c r="A348" s="173"/>
      <c r="B348" s="173"/>
      <c r="C348" s="191"/>
      <c r="D348" s="195"/>
      <c r="E348" s="175"/>
    </row>
    <row r="349" spans="1:5" ht="12.6" customHeight="1" x14ac:dyDescent="0.25">
      <c r="A349" s="173"/>
      <c r="B349" s="173"/>
      <c r="C349" s="191"/>
      <c r="D349" s="195"/>
      <c r="E349" s="175"/>
    </row>
    <row r="350" spans="1:5" ht="12.6" customHeight="1" x14ac:dyDescent="0.25">
      <c r="A350" s="173"/>
      <c r="B350" s="173"/>
      <c r="C350" s="191"/>
      <c r="D350" s="195"/>
      <c r="E350" s="175"/>
    </row>
    <row r="351" spans="1:5" ht="12.6" customHeight="1" x14ac:dyDescent="0.25">
      <c r="A351" s="173"/>
      <c r="B351" s="173"/>
      <c r="C351" s="191"/>
      <c r="D351" s="195"/>
      <c r="E351" s="175"/>
    </row>
    <row r="352" spans="1:5" ht="12.6" customHeight="1" x14ac:dyDescent="0.25">
      <c r="A352" s="173"/>
      <c r="B352" s="173"/>
      <c r="C352" s="191"/>
      <c r="D352" s="195"/>
      <c r="E352" s="175"/>
    </row>
    <row r="353" spans="1:5" ht="12.6" customHeight="1" x14ac:dyDescent="0.25">
      <c r="A353" s="173"/>
      <c r="B353" s="173"/>
      <c r="C353" s="191"/>
      <c r="D353" s="195"/>
      <c r="E353" s="175"/>
    </row>
    <row r="354" spans="1:5" ht="12.6" customHeight="1" x14ac:dyDescent="0.25">
      <c r="A354" s="173"/>
      <c r="B354" s="173"/>
      <c r="C354" s="191"/>
      <c r="D354" s="195"/>
      <c r="E354" s="175"/>
    </row>
    <row r="355" spans="1:5" ht="12.6" customHeight="1" x14ac:dyDescent="0.25">
      <c r="A355" s="173"/>
      <c r="B355" s="173"/>
      <c r="C355" s="191"/>
      <c r="D355" s="195"/>
      <c r="E355" s="175"/>
    </row>
    <row r="356" spans="1:5" ht="20.25" customHeight="1" x14ac:dyDescent="0.25">
      <c r="A356" s="173"/>
      <c r="B356" s="173"/>
      <c r="C356" s="191"/>
      <c r="D356" s="195"/>
      <c r="E356" s="175"/>
    </row>
    <row r="357" spans="1:5" ht="12.6" customHeight="1" x14ac:dyDescent="0.25">
      <c r="A357" s="208" t="s">
        <v>426</v>
      </c>
      <c r="B357" s="208"/>
      <c r="C357" s="208"/>
      <c r="D357" s="328"/>
      <c r="E357" s="208"/>
    </row>
    <row r="358" spans="1:5" ht="12.6" customHeight="1" x14ac:dyDescent="0.25">
      <c r="A358" s="257" t="s">
        <v>427</v>
      </c>
      <c r="B358" s="257"/>
      <c r="C358" s="257"/>
      <c r="D358" s="331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1849598903.3499999</v>
      </c>
      <c r="D359" s="19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1086924100.52+1515+4445112.45+66175180.91+3483395.89+210281632.1</f>
        <v>1371310936.8700001</v>
      </c>
      <c r="D360" s="195"/>
      <c r="E360" s="175"/>
    </row>
    <row r="361" spans="1:5" ht="12.6" customHeight="1" x14ac:dyDescent="0.25">
      <c r="A361" s="173" t="s">
        <v>430</v>
      </c>
      <c r="B361" s="175"/>
      <c r="C361" s="191"/>
      <c r="D361" s="195">
        <f>SUM(C359:C360)</f>
        <v>3220909840.2200003</v>
      </c>
      <c r="E361" s="175"/>
    </row>
    <row r="362" spans="1:5" ht="12.6" customHeight="1" x14ac:dyDescent="0.25">
      <c r="A362" s="257" t="s">
        <v>431</v>
      </c>
      <c r="B362" s="257"/>
      <c r="C362" s="257"/>
      <c r="D362" s="331"/>
      <c r="E362" s="257"/>
    </row>
    <row r="363" spans="1:5" ht="12.6" customHeight="1" x14ac:dyDescent="0.25">
      <c r="A363" s="173" t="s">
        <v>1255</v>
      </c>
      <c r="B363" s="257"/>
      <c r="C363" s="189">
        <f>11069561.93+1480855.65</f>
        <v>12550417.58</v>
      </c>
      <c r="D363" s="195"/>
      <c r="E363" s="257"/>
    </row>
    <row r="364" spans="1:5" ht="12.6" customHeight="1" x14ac:dyDescent="0.25">
      <c r="A364" s="173" t="s">
        <v>432</v>
      </c>
      <c r="B364" s="172" t="s">
        <v>256</v>
      </c>
      <c r="C364" s="311">
        <f>1416783277.74+863320138.02+6899563.76+117510606.05+141809.88+214310.76-C366</f>
        <v>2382780108.8600011</v>
      </c>
      <c r="D364" s="19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23673678.78+1602676.31</f>
        <v>25276355.09</v>
      </c>
      <c r="D365" s="19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22089597.349999998</v>
      </c>
      <c r="D366" s="195"/>
      <c r="E366" s="175"/>
    </row>
    <row r="367" spans="1:5" ht="12.6" customHeight="1" x14ac:dyDescent="0.25">
      <c r="A367" s="173" t="s">
        <v>359</v>
      </c>
      <c r="B367" s="175"/>
      <c r="C367" s="191"/>
      <c r="D367" s="195">
        <f>SUM(C363:C366)</f>
        <v>2442696478.8800011</v>
      </c>
      <c r="E367" s="175"/>
    </row>
    <row r="368" spans="1:5" ht="12.6" customHeight="1" x14ac:dyDescent="0.25">
      <c r="A368" s="173" t="s">
        <v>435</v>
      </c>
      <c r="B368" s="175"/>
      <c r="C368" s="191"/>
      <c r="D368" s="195">
        <f>D361-D367</f>
        <v>778213361.3399992</v>
      </c>
      <c r="E368" s="175"/>
    </row>
    <row r="369" spans="1:5" ht="12.6" customHeight="1" x14ac:dyDescent="0.25">
      <c r="A369" s="257" t="s">
        <v>436</v>
      </c>
      <c r="B369" s="257"/>
      <c r="C369" s="257"/>
      <c r="D369" s="331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14567057.74+366423.47-1994458.41+5194613.88</f>
        <v>18133636.68</v>
      </c>
      <c r="D370" s="19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95"/>
      <c r="E371" s="175"/>
    </row>
    <row r="372" spans="1:5" ht="12.6" customHeight="1" x14ac:dyDescent="0.25">
      <c r="A372" s="173" t="s">
        <v>439</v>
      </c>
      <c r="B372" s="175"/>
      <c r="C372" s="191"/>
      <c r="D372" s="195">
        <f>SUM(C370:C371)</f>
        <v>18133636.68</v>
      </c>
      <c r="E372" s="175"/>
    </row>
    <row r="373" spans="1:5" ht="12.6" customHeight="1" x14ac:dyDescent="0.25">
      <c r="A373" s="173" t="s">
        <v>440</v>
      </c>
      <c r="B373" s="175"/>
      <c r="C373" s="191"/>
      <c r="D373" s="195">
        <f>D368+D372</f>
        <v>796346998.01999915</v>
      </c>
      <c r="E373" s="175"/>
    </row>
    <row r="374" spans="1:5" ht="12.6" customHeight="1" x14ac:dyDescent="0.25">
      <c r="A374" s="173"/>
      <c r="B374" s="175"/>
      <c r="C374" s="191"/>
      <c r="D374" s="195"/>
      <c r="E374" s="175"/>
    </row>
    <row r="375" spans="1:5" ht="12.6" customHeight="1" x14ac:dyDescent="0.25">
      <c r="A375" s="173"/>
      <c r="B375" s="175"/>
      <c r="C375" s="191"/>
      <c r="D375" s="195"/>
      <c r="E375" s="175"/>
    </row>
    <row r="376" spans="1:5" ht="12.6" customHeight="1" x14ac:dyDescent="0.25">
      <c r="A376" s="173"/>
      <c r="B376" s="175"/>
      <c r="C376" s="191"/>
      <c r="D376" s="195"/>
      <c r="E376" s="175"/>
    </row>
    <row r="377" spans="1:5" ht="12.6" customHeight="1" x14ac:dyDescent="0.25">
      <c r="A377" s="257" t="s">
        <v>441</v>
      </c>
      <c r="B377" s="257"/>
      <c r="C377" s="257"/>
      <c r="D377" s="331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294223409.25999999</v>
      </c>
      <c r="D378" s="19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56954005.76+16003130.46</f>
        <v>72957136.219999999</v>
      </c>
      <c r="D379" s="19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27218521.59+1817810.76</f>
        <v>29036332.350000001</v>
      </c>
      <c r="D380" s="19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108906423.96+4993519.19</f>
        <v>113899943.14999999</v>
      </c>
      <c r="D381" s="19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3953565.72+429171.84</f>
        <v>4382737.5600000005</v>
      </c>
      <c r="D382" s="19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165725112.8+684313.52+6293252.1+9101244.18</f>
        <v>181803922.60000002</v>
      </c>
      <c r="D383" s="19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33862830.280000001</v>
      </c>
      <c r="D384" s="19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7726350.82+8272432.02</f>
        <v>15998782.84</v>
      </c>
      <c r="D385" s="19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5009351.57+2016224.99</f>
        <v>7025576.5600000005</v>
      </c>
      <c r="D386" s="19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206489.85+53676.64+30354.97+28454826.13</f>
        <v>28745347.59</v>
      </c>
      <c r="D387" s="19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85647.03+78953.76</f>
        <v>164600.78999999998</v>
      </c>
      <c r="D388" s="195"/>
      <c r="E388" s="175"/>
      <c r="F388" s="304"/>
    </row>
    <row r="389" spans="1:6" ht="12.6" customHeight="1" x14ac:dyDescent="0.25">
      <c r="A389" s="173" t="s">
        <v>451</v>
      </c>
      <c r="B389" s="172" t="s">
        <v>256</v>
      </c>
      <c r="C389" s="189">
        <v>8099100.6099998951</v>
      </c>
      <c r="D389" s="195"/>
      <c r="E389" s="175"/>
    </row>
    <row r="390" spans="1:6" ht="12.6" customHeight="1" x14ac:dyDescent="0.25">
      <c r="A390" s="173" t="s">
        <v>452</v>
      </c>
      <c r="B390" s="175"/>
      <c r="C390" s="191"/>
      <c r="D390" s="195">
        <f>SUM(C378:C389)</f>
        <v>790199719.80999994</v>
      </c>
      <c r="E390" s="175"/>
    </row>
    <row r="391" spans="1:6" ht="12.6" customHeight="1" x14ac:dyDescent="0.25">
      <c r="A391" s="173" t="s">
        <v>453</v>
      </c>
      <c r="B391" s="175"/>
      <c r="C391" s="191"/>
      <c r="D391" s="195">
        <f>D373-D390</f>
        <v>6147278.2099992037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2763047.88+-2286130-948543.63</f>
        <v>-471625.75000000012</v>
      </c>
      <c r="D392" s="19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5675652.4599992037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9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95"/>
      <c r="E395" s="175"/>
    </row>
    <row r="396" spans="1:6" ht="12.6" customHeight="1" x14ac:dyDescent="0.25">
      <c r="A396" s="173" t="s">
        <v>458</v>
      </c>
      <c r="B396" s="175"/>
      <c r="C396" s="191"/>
      <c r="D396" s="195">
        <f>D393+C394-C395</f>
        <v>5675652.4599992037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325"/>
      <c r="E411" s="260"/>
    </row>
    <row r="412" spans="1:5" ht="12.6" customHeight="1" x14ac:dyDescent="0.25">
      <c r="A412" s="179" t="str">
        <f>C84&amp;"   "&amp;"H-"&amp;FIXED(C83,0,TRUE)&amp;"     FYE "&amp;C82</f>
        <v>St.Joseph Medical Center   H-0     FYE 06/30/2019</v>
      </c>
      <c r="B412" s="179"/>
      <c r="C412" s="179"/>
      <c r="D412" s="325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338" t="s">
        <v>462</v>
      </c>
    </row>
    <row r="414" spans="1:5" ht="12.6" customHeight="1" x14ac:dyDescent="0.25">
      <c r="A414" s="179" t="s">
        <v>463</v>
      </c>
      <c r="B414" s="179">
        <f>C111</f>
        <v>20309</v>
      </c>
      <c r="C414" s="194">
        <f>E138</f>
        <v>20309</v>
      </c>
      <c r="D414" s="325"/>
    </row>
    <row r="415" spans="1:5" ht="12.6" customHeight="1" x14ac:dyDescent="0.25">
      <c r="A415" s="179" t="s">
        <v>464</v>
      </c>
      <c r="B415" s="179">
        <f>D111</f>
        <v>106940</v>
      </c>
      <c r="C415" s="179">
        <f>E139</f>
        <v>106940</v>
      </c>
      <c r="D415" s="339">
        <f>SUM(C59:H59)+N59</f>
        <v>106940.29</v>
      </c>
    </row>
    <row r="416" spans="1:5" ht="12.6" customHeight="1" x14ac:dyDescent="0.25">
      <c r="A416" s="179"/>
      <c r="B416" s="179"/>
      <c r="C416" s="194"/>
      <c r="D416" s="325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325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325">
        <f>K59+L59</f>
        <v>0</v>
      </c>
    </row>
    <row r="419" spans="1:7" ht="12.6" customHeight="1" x14ac:dyDescent="0.25">
      <c r="A419" s="179"/>
      <c r="B419" s="179"/>
      <c r="C419" s="194"/>
      <c r="D419" s="325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325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325">
        <f>I59</f>
        <v>0</v>
      </c>
    </row>
    <row r="422" spans="1:7" ht="12.6" customHeight="1" x14ac:dyDescent="0.25">
      <c r="A422" s="206"/>
      <c r="B422" s="206"/>
      <c r="C422" s="181"/>
      <c r="D422" s="325"/>
    </row>
    <row r="423" spans="1:7" ht="12.6" customHeight="1" x14ac:dyDescent="0.25">
      <c r="A423" s="180" t="s">
        <v>469</v>
      </c>
      <c r="B423" s="180">
        <f>C114</f>
        <v>4361</v>
      </c>
    </row>
    <row r="424" spans="1:7" ht="12.6" customHeight="1" x14ac:dyDescent="0.25">
      <c r="A424" s="179" t="s">
        <v>1244</v>
      </c>
      <c r="B424" s="179">
        <f>D114</f>
        <v>10866</v>
      </c>
      <c r="D424" s="325">
        <f>J59</f>
        <v>10866</v>
      </c>
    </row>
    <row r="425" spans="1:7" ht="12.6" customHeight="1" x14ac:dyDescent="0.25">
      <c r="A425" s="206"/>
      <c r="B425" s="206"/>
      <c r="C425" s="206"/>
      <c r="D425" s="340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338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294223409.25999999</v>
      </c>
      <c r="C427" s="179">
        <f t="shared" ref="C427:C434" si="13">CE61</f>
        <v>294223409.26000011</v>
      </c>
      <c r="D427" s="325"/>
    </row>
    <row r="428" spans="1:7" ht="12.6" customHeight="1" x14ac:dyDescent="0.25">
      <c r="A428" s="179" t="s">
        <v>3</v>
      </c>
      <c r="B428" s="179">
        <f t="shared" si="12"/>
        <v>72957136.219999999</v>
      </c>
      <c r="C428" s="179">
        <f t="shared" si="13"/>
        <v>72957136.220000029</v>
      </c>
      <c r="D428" s="325">
        <f>D173</f>
        <v>72957136.219999984</v>
      </c>
    </row>
    <row r="429" spans="1:7" ht="12.6" customHeight="1" x14ac:dyDescent="0.25">
      <c r="A429" s="194" t="s">
        <v>236</v>
      </c>
      <c r="B429" s="194">
        <f t="shared" si="12"/>
        <v>29036332.350000001</v>
      </c>
      <c r="C429" s="194">
        <f t="shared" si="13"/>
        <v>29036332.350000001</v>
      </c>
      <c r="D429" s="339"/>
      <c r="E429" s="234"/>
    </row>
    <row r="430" spans="1:7" ht="12.6" customHeight="1" x14ac:dyDescent="0.25">
      <c r="A430" s="194" t="s">
        <v>237</v>
      </c>
      <c r="B430" s="194">
        <f t="shared" si="12"/>
        <v>113899943.14999999</v>
      </c>
      <c r="C430" s="194">
        <f t="shared" si="13"/>
        <v>113899943.42000021</v>
      </c>
      <c r="D430" s="339"/>
      <c r="E430" s="234"/>
    </row>
    <row r="431" spans="1:7" ht="12.6" customHeight="1" x14ac:dyDescent="0.25">
      <c r="A431" s="194" t="s">
        <v>444</v>
      </c>
      <c r="B431" s="194">
        <f t="shared" si="12"/>
        <v>4382737.5600000005</v>
      </c>
      <c r="C431" s="194">
        <f t="shared" si="13"/>
        <v>4382737.5599999996</v>
      </c>
      <c r="D431" s="339"/>
      <c r="E431" s="234"/>
    </row>
    <row r="432" spans="1:7" ht="12.6" customHeight="1" x14ac:dyDescent="0.25">
      <c r="A432" s="194" t="s">
        <v>445</v>
      </c>
      <c r="B432" s="194">
        <f t="shared" si="12"/>
        <v>181803922.60000002</v>
      </c>
      <c r="C432" s="194">
        <f t="shared" si="13"/>
        <v>181803922.85051626</v>
      </c>
      <c r="D432" s="339"/>
      <c r="E432" s="234"/>
    </row>
    <row r="433" spans="1:7" ht="12.6" customHeight="1" x14ac:dyDescent="0.25">
      <c r="A433" s="194" t="s">
        <v>6</v>
      </c>
      <c r="B433" s="194">
        <f t="shared" si="12"/>
        <v>33862830.280000001</v>
      </c>
      <c r="C433" s="194">
        <f t="shared" si="13"/>
        <v>33862828</v>
      </c>
      <c r="D433" s="339">
        <f>C217</f>
        <v>33862830.280000001</v>
      </c>
      <c r="E433" s="234"/>
    </row>
    <row r="434" spans="1:7" ht="12.6" customHeight="1" x14ac:dyDescent="0.25">
      <c r="A434" s="194" t="s">
        <v>474</v>
      </c>
      <c r="B434" s="194">
        <f t="shared" si="12"/>
        <v>15998782.84</v>
      </c>
      <c r="C434" s="194">
        <f t="shared" si="13"/>
        <v>15998782.84</v>
      </c>
      <c r="D434" s="339">
        <f>D177</f>
        <v>15998782.84</v>
      </c>
      <c r="E434" s="234"/>
    </row>
    <row r="435" spans="1:7" ht="12.6" customHeight="1" x14ac:dyDescent="0.25">
      <c r="A435" s="194" t="s">
        <v>447</v>
      </c>
      <c r="B435" s="194">
        <f t="shared" si="12"/>
        <v>7025576.5600000005</v>
      </c>
      <c r="C435" s="194"/>
      <c r="D435" s="339">
        <f>D181</f>
        <v>7025576.5600000005</v>
      </c>
    </row>
    <row r="436" spans="1:7" ht="12.6" customHeight="1" x14ac:dyDescent="0.25">
      <c r="A436" s="194" t="s">
        <v>475</v>
      </c>
      <c r="B436" s="194">
        <f t="shared" si="12"/>
        <v>28745347.59</v>
      </c>
      <c r="C436" s="194"/>
      <c r="D436" s="339">
        <f>D186</f>
        <v>28745347.59</v>
      </c>
    </row>
    <row r="437" spans="1:7" ht="12.6" customHeight="1" x14ac:dyDescent="0.25">
      <c r="A437" s="194" t="s">
        <v>449</v>
      </c>
      <c r="B437" s="194">
        <f t="shared" si="12"/>
        <v>164600.78999999998</v>
      </c>
      <c r="C437" s="194"/>
      <c r="D437" s="339">
        <f>D190</f>
        <v>164600.79</v>
      </c>
    </row>
    <row r="438" spans="1:7" ht="12.6" customHeight="1" x14ac:dyDescent="0.25">
      <c r="A438" s="194" t="s">
        <v>476</v>
      </c>
      <c r="B438" s="194">
        <f>C386+C387+C388</f>
        <v>35935524.939999998</v>
      </c>
      <c r="C438" s="194">
        <f>CD69</f>
        <v>35935524.939999998</v>
      </c>
      <c r="D438" s="339">
        <f>D181+D186+D190</f>
        <v>35935524.939999998</v>
      </c>
    </row>
    <row r="439" spans="1:7" ht="12.6" customHeight="1" x14ac:dyDescent="0.25">
      <c r="A439" s="194" t="s">
        <v>451</v>
      </c>
      <c r="B439" s="194">
        <f>C389</f>
        <v>8099100.6099998951</v>
      </c>
      <c r="C439" s="194">
        <f>SUM(C69:CC69)</f>
        <v>8099100.6100000013</v>
      </c>
      <c r="D439" s="341"/>
      <c r="E439" s="234"/>
    </row>
    <row r="440" spans="1:7" ht="12.6" customHeight="1" x14ac:dyDescent="0.25">
      <c r="A440" s="179" t="s">
        <v>477</v>
      </c>
      <c r="B440" s="194">
        <f>B438+B439</f>
        <v>44034625.549999893</v>
      </c>
      <c r="C440" s="194">
        <f>CE69</f>
        <v>44034625.549999997</v>
      </c>
      <c r="D440" s="325"/>
    </row>
    <row r="441" spans="1:7" ht="12.6" customHeight="1" x14ac:dyDescent="0.25">
      <c r="A441" s="179" t="s">
        <v>478</v>
      </c>
      <c r="B441" s="179">
        <f>D390</f>
        <v>790199719.80999994</v>
      </c>
      <c r="C441" s="179">
        <f>SUM(C427:C437)+C440</f>
        <v>790199718.05051661</v>
      </c>
      <c r="D441" s="325"/>
    </row>
    <row r="442" spans="1:7" ht="12.6" customHeight="1" x14ac:dyDescent="0.25">
      <c r="A442" s="206"/>
      <c r="B442" s="206"/>
      <c r="C442" s="206"/>
      <c r="D442" s="340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325"/>
    </row>
    <row r="444" spans="1:7" ht="12.6" customHeight="1" x14ac:dyDescent="0.25">
      <c r="A444" s="179" t="s">
        <v>1257</v>
      </c>
      <c r="B444" s="179">
        <f>D221</f>
        <v>12550417.58</v>
      </c>
      <c r="C444" s="179">
        <f>C363</f>
        <v>12550417.58</v>
      </c>
      <c r="D444" s="325"/>
    </row>
    <row r="445" spans="1:7" ht="12.6" customHeight="1" x14ac:dyDescent="0.25">
      <c r="A445" s="194" t="s">
        <v>343</v>
      </c>
      <c r="B445" s="194">
        <f>D229</f>
        <v>2382780108.8599997</v>
      </c>
      <c r="C445" s="194">
        <f>C364</f>
        <v>2382780108.8600011</v>
      </c>
      <c r="D445" s="339"/>
    </row>
    <row r="446" spans="1:7" ht="12.6" customHeight="1" x14ac:dyDescent="0.25">
      <c r="A446" s="194" t="s">
        <v>351</v>
      </c>
      <c r="B446" s="194">
        <f>D236</f>
        <v>25276355.09</v>
      </c>
      <c r="C446" s="194">
        <f>C365</f>
        <v>25276355.09</v>
      </c>
      <c r="D446" s="339"/>
    </row>
    <row r="447" spans="1:7" ht="12.6" customHeight="1" x14ac:dyDescent="0.25">
      <c r="A447" s="194" t="s">
        <v>356</v>
      </c>
      <c r="B447" s="194">
        <f>D240</f>
        <v>22089597.349999998</v>
      </c>
      <c r="C447" s="194">
        <f>C366</f>
        <v>22089597.349999998</v>
      </c>
      <c r="D447" s="339"/>
    </row>
    <row r="448" spans="1:7" ht="12.6" customHeight="1" x14ac:dyDescent="0.25">
      <c r="A448" s="194" t="s">
        <v>358</v>
      </c>
      <c r="B448" s="194">
        <f>D242</f>
        <v>2442696478.8799996</v>
      </c>
      <c r="C448" s="194">
        <f>D367</f>
        <v>2442696478.8800011</v>
      </c>
      <c r="D448" s="339"/>
    </row>
    <row r="449" spans="1:7" ht="12.6" customHeight="1" x14ac:dyDescent="0.25">
      <c r="A449" s="206"/>
      <c r="B449" s="206"/>
      <c r="C449" s="206"/>
      <c r="D449" s="340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340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11923</v>
      </c>
    </row>
    <row r="454" spans="1:7" ht="12.6" customHeight="1" x14ac:dyDescent="0.25">
      <c r="A454" s="179" t="s">
        <v>168</v>
      </c>
      <c r="B454" s="179">
        <f>C233</f>
        <v>7624468.9299999997</v>
      </c>
      <c r="C454" s="179"/>
      <c r="D454" s="325"/>
    </row>
    <row r="455" spans="1:7" ht="12.6" customHeight="1" x14ac:dyDescent="0.25">
      <c r="A455" s="179" t="s">
        <v>131</v>
      </c>
      <c r="B455" s="179">
        <f>C234</f>
        <v>17651886.16</v>
      </c>
      <c r="C455" s="179"/>
      <c r="D455" s="325"/>
    </row>
    <row r="456" spans="1:7" ht="12.6" customHeight="1" x14ac:dyDescent="0.25">
      <c r="A456" s="206"/>
      <c r="B456" s="206"/>
      <c r="C456" s="206"/>
      <c r="D456" s="340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325"/>
    </row>
    <row r="458" spans="1:7" ht="12.6" customHeight="1" x14ac:dyDescent="0.25">
      <c r="A458" s="179" t="s">
        <v>487</v>
      </c>
      <c r="B458" s="194">
        <f>C370</f>
        <v>18133636.68</v>
      </c>
      <c r="C458" s="194">
        <f>CE70</f>
        <v>18133636.280000001</v>
      </c>
      <c r="D458" s="339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339"/>
    </row>
    <row r="460" spans="1:7" ht="12.6" customHeight="1" x14ac:dyDescent="0.25">
      <c r="A460" s="206"/>
      <c r="B460" s="206"/>
      <c r="C460" s="206"/>
      <c r="D460" s="340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338" t="s">
        <v>1245</v>
      </c>
    </row>
    <row r="462" spans="1:7" ht="12.6" customHeight="1" x14ac:dyDescent="0.25">
      <c r="B462" s="181" t="s">
        <v>471</v>
      </c>
      <c r="C462" s="181" t="s">
        <v>486</v>
      </c>
      <c r="D462" s="338" t="s">
        <v>490</v>
      </c>
    </row>
    <row r="463" spans="1:7" ht="12.6" customHeight="1" x14ac:dyDescent="0.25">
      <c r="A463" s="179" t="s">
        <v>245</v>
      </c>
      <c r="B463" s="194">
        <f>C359</f>
        <v>1849598903.3499999</v>
      </c>
      <c r="C463" s="194">
        <f>CE73</f>
        <v>1849598903.3499999</v>
      </c>
      <c r="D463" s="339">
        <f>E141+E147+E153</f>
        <v>1849598903.3499999</v>
      </c>
    </row>
    <row r="464" spans="1:7" ht="12.6" customHeight="1" x14ac:dyDescent="0.25">
      <c r="A464" s="179" t="s">
        <v>246</v>
      </c>
      <c r="B464" s="194">
        <f>C360</f>
        <v>1371310936.8700001</v>
      </c>
      <c r="C464" s="194">
        <f>CE74</f>
        <v>1371310936.8700001</v>
      </c>
      <c r="D464" s="339">
        <f>E142+E148+E154</f>
        <v>1371310936.8699999</v>
      </c>
    </row>
    <row r="465" spans="1:7" ht="12.6" customHeight="1" x14ac:dyDescent="0.25">
      <c r="A465" s="179" t="s">
        <v>247</v>
      </c>
      <c r="B465" s="194">
        <f>D361</f>
        <v>3220909840.2200003</v>
      </c>
      <c r="C465" s="194">
        <f>CE75</f>
        <v>3220909840.2200003</v>
      </c>
      <c r="D465" s="339">
        <f>D463+D464</f>
        <v>3220909840.2199998</v>
      </c>
    </row>
    <row r="466" spans="1:7" ht="12.6" customHeight="1" x14ac:dyDescent="0.25">
      <c r="A466" s="206"/>
      <c r="B466" s="206"/>
      <c r="C466" s="206"/>
      <c r="D466" s="340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325"/>
    </row>
    <row r="468" spans="1:7" ht="12.6" customHeight="1" x14ac:dyDescent="0.25">
      <c r="A468" s="194" t="s">
        <v>332</v>
      </c>
      <c r="B468" s="194">
        <f t="shared" ref="B468:B475" si="14">C267</f>
        <v>7877314.96</v>
      </c>
      <c r="C468" s="194">
        <f>E195</f>
        <v>7877314.96</v>
      </c>
      <c r="D468" s="339"/>
    </row>
    <row r="469" spans="1:7" ht="12.6" customHeight="1" x14ac:dyDescent="0.25">
      <c r="A469" s="194" t="s">
        <v>333</v>
      </c>
      <c r="B469" s="194">
        <f t="shared" si="14"/>
        <v>4412190.25</v>
      </c>
      <c r="C469" s="194">
        <f>E196</f>
        <v>4412190.25</v>
      </c>
      <c r="D469" s="339"/>
    </row>
    <row r="470" spans="1:7" ht="12.6" customHeight="1" x14ac:dyDescent="0.25">
      <c r="A470" s="194" t="s">
        <v>334</v>
      </c>
      <c r="B470" s="194">
        <f t="shared" si="14"/>
        <v>182905648.08999997</v>
      </c>
      <c r="C470" s="194">
        <f>E197</f>
        <v>182905648.08999997</v>
      </c>
      <c r="D470" s="339"/>
    </row>
    <row r="471" spans="1:7" ht="12.6" customHeight="1" x14ac:dyDescent="0.25">
      <c r="A471" s="194" t="s">
        <v>494</v>
      </c>
      <c r="B471" s="194">
        <f t="shared" si="14"/>
        <v>0</v>
      </c>
      <c r="C471" s="194">
        <f>E198</f>
        <v>0</v>
      </c>
      <c r="D471" s="339"/>
    </row>
    <row r="472" spans="1:7" ht="12.6" customHeight="1" x14ac:dyDescent="0.25">
      <c r="A472" s="194" t="s">
        <v>377</v>
      </c>
      <c r="B472" s="194">
        <f t="shared" si="14"/>
        <v>82484703.579999998</v>
      </c>
      <c r="C472" s="194">
        <f>E199</f>
        <v>82484703.579999998</v>
      </c>
      <c r="D472" s="339">
        <f>B472-C472</f>
        <v>0</v>
      </c>
    </row>
    <row r="473" spans="1:7" ht="12.6" customHeight="1" x14ac:dyDescent="0.25">
      <c r="A473" s="194" t="s">
        <v>495</v>
      </c>
      <c r="B473" s="194">
        <f t="shared" si="14"/>
        <v>289061757.60450006</v>
      </c>
      <c r="C473" s="194">
        <f>SUM(E200:E201)</f>
        <v>289061757.60450006</v>
      </c>
      <c r="D473" s="339"/>
    </row>
    <row r="474" spans="1:7" ht="12.6" customHeight="1" x14ac:dyDescent="0.25">
      <c r="A474" s="194" t="s">
        <v>339</v>
      </c>
      <c r="B474" s="194">
        <f t="shared" si="14"/>
        <v>50485420.550000004</v>
      </c>
      <c r="C474" s="194">
        <f>E202</f>
        <v>50485420.550000004</v>
      </c>
      <c r="D474" s="339"/>
    </row>
    <row r="475" spans="1:7" ht="12.6" customHeight="1" x14ac:dyDescent="0.25">
      <c r="A475" s="194" t="s">
        <v>340</v>
      </c>
      <c r="B475" s="194">
        <f t="shared" si="14"/>
        <v>6879788.9899999984</v>
      </c>
      <c r="C475" s="194">
        <f>E203</f>
        <v>6879788.9899999928</v>
      </c>
      <c r="D475" s="339"/>
    </row>
    <row r="476" spans="1:7" ht="12.6" customHeight="1" x14ac:dyDescent="0.25">
      <c r="A476" s="194" t="s">
        <v>203</v>
      </c>
      <c r="B476" s="194">
        <f>D275</f>
        <v>624106824.02450001</v>
      </c>
      <c r="C476" s="194">
        <f>E204</f>
        <v>624106824.02450001</v>
      </c>
      <c r="D476" s="339">
        <f>B476-C476</f>
        <v>0</v>
      </c>
    </row>
    <row r="477" spans="1:7" ht="12.6" customHeight="1" x14ac:dyDescent="0.25">
      <c r="A477" s="194"/>
      <c r="B477" s="194"/>
      <c r="C477" s="194"/>
      <c r="D477" s="339"/>
      <c r="F477" s="234"/>
    </row>
    <row r="478" spans="1:7" ht="12.6" customHeight="1" x14ac:dyDescent="0.25">
      <c r="A478" s="194" t="s">
        <v>496</v>
      </c>
      <c r="B478" s="194">
        <f>C276</f>
        <v>407642570.63999999</v>
      </c>
      <c r="C478" s="194">
        <f>E217</f>
        <v>407642570.63999999</v>
      </c>
      <c r="D478" s="339">
        <f>B478-C478</f>
        <v>0</v>
      </c>
      <c r="F478" s="234"/>
    </row>
    <row r="479" spans="1:7" ht="12.6" customHeight="1" x14ac:dyDescent="0.25">
      <c r="A479" s="234"/>
      <c r="B479" s="234"/>
      <c r="C479" s="234"/>
      <c r="D479" s="322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461181325.98449993</v>
      </c>
    </row>
    <row r="482" spans="1:12" ht="12.6" customHeight="1" x14ac:dyDescent="0.25">
      <c r="A482" s="180" t="s">
        <v>499</v>
      </c>
      <c r="C482" s="180">
        <f>D339</f>
        <v>461181325.91000009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032</v>
      </c>
      <c r="B493" s="261" t="str">
        <f>RIGHT('Prior Year'!C82,4)</f>
        <v>2018</v>
      </c>
      <c r="C493" s="261" t="str">
        <f>RIGHT(C82,4)</f>
        <v>2019</v>
      </c>
      <c r="D493" s="338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34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338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s="234" customFormat="1" ht="12.6" customHeight="1" x14ac:dyDescent="0.25">
      <c r="A496" s="234" t="s">
        <v>512</v>
      </c>
      <c r="B496" s="295">
        <f>'Prior Year'!C71</f>
        <v>26551164.93</v>
      </c>
      <c r="C496" s="295">
        <f>C71</f>
        <v>27564346.390000001</v>
      </c>
      <c r="D496" s="343">
        <f>'Prior Year'!C59</f>
        <v>25433</v>
      </c>
      <c r="E496" s="234">
        <f>C59</f>
        <v>25242</v>
      </c>
      <c r="F496" s="296">
        <f t="shared" ref="F496:G511" si="15">IF(B496=0,"",IF(D496=0,"",B496/D496))</f>
        <v>1043.9651212990996</v>
      </c>
      <c r="G496" s="303">
        <f t="shared" si="15"/>
        <v>1092.0032640044371</v>
      </c>
      <c r="H496" s="297" t="str">
        <f>IF(B496=0,"",IF(C496=0,"",IF(D496=0,"",IF(E496=0,"",IF(G496/F496-1&lt;-0.25,G496/F496-1,IF(G496/F496-1&gt;0.25,G496/F496-1,""))))))</f>
        <v/>
      </c>
      <c r="I496" s="301"/>
      <c r="K496" s="302"/>
      <c r="L496" s="302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344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45324978.640000001</v>
      </c>
      <c r="C498" s="240">
        <f>E71</f>
        <v>52160928.861550003</v>
      </c>
      <c r="D498" s="344">
        <f>'Prior Year'!E59</f>
        <v>72116</v>
      </c>
      <c r="E498" s="180">
        <f>E59</f>
        <v>75484</v>
      </c>
      <c r="F498" s="263">
        <f t="shared" si="15"/>
        <v>628.50100726607138</v>
      </c>
      <c r="G498" s="263">
        <f t="shared" si="15"/>
        <v>691.01967120913048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344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4950575.1899999995</v>
      </c>
      <c r="C500" s="240">
        <f>G71</f>
        <v>170094.19945000001</v>
      </c>
      <c r="D500" s="344">
        <f>'Prior Year'!G59</f>
        <v>5646</v>
      </c>
      <c r="E500" s="180">
        <f>G59</f>
        <v>0</v>
      </c>
      <c r="F500" s="263">
        <f t="shared" si="15"/>
        <v>876.82876195536653</v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5575060.2699999996</v>
      </c>
      <c r="C501" s="240">
        <f>H71</f>
        <v>5266565.74</v>
      </c>
      <c r="D501" s="344">
        <f>'Prior Year'!H59</f>
        <v>7563</v>
      </c>
      <c r="E501" s="180">
        <f>H59</f>
        <v>6214.29</v>
      </c>
      <c r="F501" s="263">
        <f t="shared" si="15"/>
        <v>737.14931508660584</v>
      </c>
      <c r="G501" s="263">
        <f t="shared" si="15"/>
        <v>847.4927529935037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344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234" t="s">
        <v>519</v>
      </c>
      <c r="B503" s="295">
        <f>'Prior Year'!J71</f>
        <v>8128542.6399999987</v>
      </c>
      <c r="C503" s="295">
        <f>J71</f>
        <v>8539303.3199999984</v>
      </c>
      <c r="D503" s="343">
        <f>'Prior Year'!J59</f>
        <v>10888</v>
      </c>
      <c r="E503" s="234">
        <f>J59</f>
        <v>10866</v>
      </c>
      <c r="F503" s="296">
        <f t="shared" si="15"/>
        <v>746.55975753122698</v>
      </c>
      <c r="G503" s="296">
        <f t="shared" si="15"/>
        <v>785.87367200441736</v>
      </c>
      <c r="H503" s="297" t="str">
        <f t="shared" si="16"/>
        <v/>
      </c>
      <c r="I503" s="267"/>
      <c r="K503" s="261"/>
      <c r="L503" s="261"/>
    </row>
    <row r="504" spans="1:12" ht="12.6" customHeight="1" x14ac:dyDescent="0.25">
      <c r="A504" s="234" t="s">
        <v>520</v>
      </c>
      <c r="B504" s="295">
        <f>'Prior Year'!K71</f>
        <v>0</v>
      </c>
      <c r="C504" s="295">
        <f>K71</f>
        <v>0</v>
      </c>
      <c r="D504" s="343">
        <f>'Prior Year'!K59</f>
        <v>0</v>
      </c>
      <c r="E504" s="234">
        <f>K59</f>
        <v>0</v>
      </c>
      <c r="F504" s="296" t="str">
        <f t="shared" si="15"/>
        <v/>
      </c>
      <c r="G504" s="296" t="str">
        <f t="shared" si="15"/>
        <v/>
      </c>
      <c r="H504" s="297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344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344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344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234" t="s">
        <v>524</v>
      </c>
      <c r="B508" s="295">
        <f>'Prior Year'!O71</f>
        <v>19261759.660000004</v>
      </c>
      <c r="C508" s="295">
        <f>O71</f>
        <v>20741144.960000005</v>
      </c>
      <c r="D508" s="343">
        <f>'Prior Year'!O59</f>
        <v>19960</v>
      </c>
      <c r="E508" s="234">
        <f>O59</f>
        <v>19875</v>
      </c>
      <c r="F508" s="296">
        <f t="shared" si="15"/>
        <v>965.01801903807632</v>
      </c>
      <c r="G508" s="296">
        <f t="shared" si="15"/>
        <v>1043.579620628931</v>
      </c>
      <c r="H508" s="297" t="str">
        <f t="shared" si="16"/>
        <v/>
      </c>
      <c r="I508" s="301"/>
      <c r="K508" s="261"/>
      <c r="L508" s="261"/>
    </row>
    <row r="509" spans="1:12" ht="12.6" customHeight="1" x14ac:dyDescent="0.25">
      <c r="A509" s="234" t="s">
        <v>525</v>
      </c>
      <c r="B509" s="295">
        <f>'Prior Year'!P71</f>
        <v>92160046.105000004</v>
      </c>
      <c r="C509" s="295">
        <f>P71</f>
        <v>91747162.649300203</v>
      </c>
      <c r="D509" s="343">
        <f>'Prior Year'!P59</f>
        <v>2611928</v>
      </c>
      <c r="E509" s="234">
        <f>P59</f>
        <v>1757258</v>
      </c>
      <c r="F509" s="296">
        <f t="shared" si="15"/>
        <v>35.284298075980658</v>
      </c>
      <c r="G509" s="296">
        <f t="shared" si="15"/>
        <v>52.210411134449352</v>
      </c>
      <c r="H509" s="297">
        <f t="shared" si="16"/>
        <v>0.47970666787873362</v>
      </c>
      <c r="I509" s="301" t="s">
        <v>1340</v>
      </c>
      <c r="J509" s="298"/>
      <c r="K509" s="261"/>
      <c r="L509" s="261"/>
    </row>
    <row r="510" spans="1:12" ht="12.6" customHeight="1" x14ac:dyDescent="0.25">
      <c r="A510" s="234" t="s">
        <v>526</v>
      </c>
      <c r="B510" s="295">
        <f>'Prior Year'!Q71</f>
        <v>2721287.9200000009</v>
      </c>
      <c r="C510" s="295">
        <f>Q71</f>
        <v>2586207.71</v>
      </c>
      <c r="D510" s="343">
        <f>'Prior Year'!Q59</f>
        <v>1201215</v>
      </c>
      <c r="E510" s="234">
        <f>Q59</f>
        <v>1201215</v>
      </c>
      <c r="F510" s="296">
        <f t="shared" si="15"/>
        <v>2.2654461690871335</v>
      </c>
      <c r="G510" s="296">
        <f t="shared" si="15"/>
        <v>2.1529931860657752</v>
      </c>
      <c r="H510" s="297" t="str">
        <f t="shared" si="16"/>
        <v/>
      </c>
      <c r="I510" s="301"/>
      <c r="K510" s="261"/>
      <c r="L510" s="261"/>
    </row>
    <row r="511" spans="1:12" ht="12.6" customHeight="1" x14ac:dyDescent="0.25">
      <c r="A511" s="234" t="s">
        <v>527</v>
      </c>
      <c r="B511" s="295">
        <f>'Prior Year'!R71</f>
        <v>0</v>
      </c>
      <c r="C511" s="295">
        <f>R71</f>
        <v>0</v>
      </c>
      <c r="D511" s="343">
        <f>'Prior Year'!R59</f>
        <v>0</v>
      </c>
      <c r="E511" s="234">
        <f>R59</f>
        <v>0</v>
      </c>
      <c r="F511" s="296" t="str">
        <f t="shared" si="15"/>
        <v/>
      </c>
      <c r="G511" s="296" t="str">
        <f t="shared" si="15"/>
        <v/>
      </c>
      <c r="H511" s="297" t="str">
        <f t="shared" si="16"/>
        <v/>
      </c>
      <c r="I511" s="301"/>
      <c r="K511" s="261"/>
      <c r="L511" s="261"/>
    </row>
    <row r="512" spans="1:12" ht="12.6" customHeight="1" x14ac:dyDescent="0.25">
      <c r="A512" s="234" t="s">
        <v>528</v>
      </c>
      <c r="B512" s="295">
        <f>'Prior Year'!S71</f>
        <v>5014774.4713701997</v>
      </c>
      <c r="C512" s="295">
        <f>S71</f>
        <v>5104517.4126225486</v>
      </c>
      <c r="D512" s="345" t="s">
        <v>529</v>
      </c>
      <c r="E512" s="309" t="s">
        <v>529</v>
      </c>
      <c r="F512" s="296" t="str">
        <f t="shared" ref="F512:G527" si="17">IF(B512=0,"",IF(D512=0,"",B512/D512))</f>
        <v/>
      </c>
      <c r="G512" s="296" t="str">
        <f t="shared" si="17"/>
        <v/>
      </c>
      <c r="H512" s="297" t="str">
        <f t="shared" si="16"/>
        <v/>
      </c>
      <c r="I512" s="301"/>
      <c r="K512" s="261"/>
      <c r="L512" s="261"/>
    </row>
    <row r="513" spans="1:12" ht="12.6" customHeight="1" x14ac:dyDescent="0.25">
      <c r="A513" s="234" t="s">
        <v>1246</v>
      </c>
      <c r="B513" s="295">
        <f>'Prior Year'!T71</f>
        <v>3079357.0999999996</v>
      </c>
      <c r="C513" s="295">
        <f>T71</f>
        <v>2400977.1987000005</v>
      </c>
      <c r="D513" s="345" t="s">
        <v>529</v>
      </c>
      <c r="E513" s="309" t="s">
        <v>529</v>
      </c>
      <c r="F513" s="296" t="str">
        <f t="shared" si="17"/>
        <v/>
      </c>
      <c r="G513" s="296" t="str">
        <f t="shared" si="17"/>
        <v/>
      </c>
      <c r="H513" s="297" t="str">
        <f t="shared" si="16"/>
        <v/>
      </c>
      <c r="I513" s="301"/>
      <c r="K513" s="261"/>
      <c r="L513" s="261"/>
    </row>
    <row r="514" spans="1:12" ht="12.6" customHeight="1" x14ac:dyDescent="0.25">
      <c r="A514" s="234" t="s">
        <v>530</v>
      </c>
      <c r="B514" s="295">
        <f>'Prior Year'!U71</f>
        <v>20130215.870000001</v>
      </c>
      <c r="C514" s="295">
        <f>U71</f>
        <v>21200214.919999994</v>
      </c>
      <c r="D514" s="343">
        <f>'Prior Year'!U59</f>
        <v>2875360</v>
      </c>
      <c r="E514" s="234">
        <f>U59</f>
        <v>1372424</v>
      </c>
      <c r="F514" s="296">
        <f t="shared" si="17"/>
        <v>7.0009375765121584</v>
      </c>
      <c r="G514" s="296">
        <f t="shared" si="17"/>
        <v>15.447277896626694</v>
      </c>
      <c r="H514" s="297">
        <f t="shared" si="16"/>
        <v>1.2064584532865483</v>
      </c>
      <c r="I514" s="301" t="s">
        <v>1338</v>
      </c>
      <c r="K514" s="261"/>
      <c r="L514" s="261"/>
    </row>
    <row r="515" spans="1:12" ht="12.6" customHeight="1" x14ac:dyDescent="0.25">
      <c r="A515" s="234" t="s">
        <v>531</v>
      </c>
      <c r="B515" s="295">
        <f>'Prior Year'!V71</f>
        <v>6380226.5599999996</v>
      </c>
      <c r="C515" s="295">
        <f>V71</f>
        <v>14006000.57</v>
      </c>
      <c r="D515" s="343">
        <f>'Prior Year'!V59</f>
        <v>0</v>
      </c>
      <c r="E515" s="234">
        <f>V59</f>
        <v>0</v>
      </c>
      <c r="F515" s="296" t="str">
        <f t="shared" si="17"/>
        <v/>
      </c>
      <c r="G515" s="296" t="str">
        <f t="shared" si="17"/>
        <v/>
      </c>
      <c r="H515" s="297" t="str">
        <f t="shared" si="16"/>
        <v/>
      </c>
      <c r="I515" s="301"/>
      <c r="K515" s="261"/>
      <c r="L515" s="261"/>
    </row>
    <row r="516" spans="1:12" ht="12.6" customHeight="1" x14ac:dyDescent="0.25">
      <c r="A516" s="234" t="s">
        <v>532</v>
      </c>
      <c r="B516" s="295">
        <f>'Prior Year'!W71</f>
        <v>0</v>
      </c>
      <c r="C516" s="295">
        <f>W71</f>
        <v>0</v>
      </c>
      <c r="D516" s="343">
        <f>'Prior Year'!W59</f>
        <v>0</v>
      </c>
      <c r="E516" s="234">
        <f>W59</f>
        <v>7418</v>
      </c>
      <c r="F516" s="296" t="str">
        <f t="shared" si="17"/>
        <v/>
      </c>
      <c r="G516" s="296" t="str">
        <f t="shared" si="17"/>
        <v/>
      </c>
      <c r="H516" s="297" t="str">
        <f t="shared" si="16"/>
        <v/>
      </c>
      <c r="I516" s="301"/>
      <c r="K516" s="261"/>
      <c r="L516" s="261"/>
    </row>
    <row r="517" spans="1:12" ht="12.6" customHeight="1" x14ac:dyDescent="0.25">
      <c r="A517" s="234" t="s">
        <v>533</v>
      </c>
      <c r="B517" s="295">
        <f>'Prior Year'!X71</f>
        <v>1535419.2900000003</v>
      </c>
      <c r="C517" s="295">
        <f>X71</f>
        <v>1848614.98</v>
      </c>
      <c r="D517" s="343">
        <f>'Prior Year'!X59</f>
        <v>25118</v>
      </c>
      <c r="E517" s="234">
        <f>X59</f>
        <v>30284</v>
      </c>
      <c r="F517" s="296">
        <f t="shared" si="17"/>
        <v>61.128246277569879</v>
      </c>
      <c r="G517" s="296">
        <f t="shared" si="17"/>
        <v>61.042629111081759</v>
      </c>
      <c r="H517" s="297" t="str">
        <f t="shared" si="16"/>
        <v/>
      </c>
      <c r="I517" s="301"/>
      <c r="K517" s="261"/>
      <c r="L517" s="261"/>
    </row>
    <row r="518" spans="1:12" ht="12.6" customHeight="1" x14ac:dyDescent="0.25">
      <c r="A518" s="234" t="s">
        <v>534</v>
      </c>
      <c r="B518" s="295">
        <f>'Prior Year'!Y71</f>
        <v>14806044.130000001</v>
      </c>
      <c r="C518" s="295">
        <f>Y71</f>
        <v>14684452.969999999</v>
      </c>
      <c r="D518" s="343">
        <f>'Prior Year'!Y59</f>
        <v>210018</v>
      </c>
      <c r="E518" s="234">
        <f>Y59</f>
        <v>200111</v>
      </c>
      <c r="F518" s="296">
        <f t="shared" si="17"/>
        <v>70.498929282252007</v>
      </c>
      <c r="G518" s="296">
        <f t="shared" si="17"/>
        <v>73.381538096356522</v>
      </c>
      <c r="H518" s="297" t="str">
        <f t="shared" si="16"/>
        <v/>
      </c>
      <c r="I518" s="301"/>
      <c r="K518" s="261"/>
      <c r="L518" s="261"/>
    </row>
    <row r="519" spans="1:12" ht="12.6" customHeight="1" x14ac:dyDescent="0.25">
      <c r="A519" s="234" t="s">
        <v>535</v>
      </c>
      <c r="B519" s="295">
        <f>'Prior Year'!Z71</f>
        <v>0</v>
      </c>
      <c r="C519" s="295">
        <f>Z71</f>
        <v>0</v>
      </c>
      <c r="D519" s="343">
        <f>'Prior Year'!Z59</f>
        <v>0</v>
      </c>
      <c r="E519" s="234">
        <f>Z59</f>
        <v>0</v>
      </c>
      <c r="F519" s="296" t="str">
        <f t="shared" si="17"/>
        <v/>
      </c>
      <c r="G519" s="296" t="str">
        <f t="shared" si="17"/>
        <v/>
      </c>
      <c r="H519" s="297" t="str">
        <f t="shared" si="16"/>
        <v/>
      </c>
      <c r="I519" s="301"/>
      <c r="K519" s="261"/>
      <c r="L519" s="261"/>
    </row>
    <row r="520" spans="1:12" ht="12.6" customHeight="1" x14ac:dyDescent="0.25">
      <c r="A520" s="234" t="s">
        <v>536</v>
      </c>
      <c r="B520" s="295">
        <f>'Prior Year'!AA71</f>
        <v>1506419.68</v>
      </c>
      <c r="C520" s="295">
        <f>AA71</f>
        <v>1696094.2</v>
      </c>
      <c r="D520" s="343">
        <f>'Prior Year'!AA59</f>
        <v>4861</v>
      </c>
      <c r="E520" s="234">
        <f>AA59</f>
        <v>6052</v>
      </c>
      <c r="F520" s="296">
        <f t="shared" si="17"/>
        <v>309.8991318658712</v>
      </c>
      <c r="G520" s="296">
        <f t="shared" si="17"/>
        <v>280.25350297422341</v>
      </c>
      <c r="H520" s="297" t="str">
        <f t="shared" si="16"/>
        <v/>
      </c>
      <c r="I520" s="301"/>
      <c r="K520" s="261"/>
      <c r="L520" s="261"/>
    </row>
    <row r="521" spans="1:12" ht="12.6" customHeight="1" x14ac:dyDescent="0.25">
      <c r="A521" s="234" t="s">
        <v>537</v>
      </c>
      <c r="B521" s="295">
        <f>'Prior Year'!AB71</f>
        <v>27262122.710000001</v>
      </c>
      <c r="C521" s="295">
        <f>AB71</f>
        <v>29155082.859999999</v>
      </c>
      <c r="D521" s="345" t="s">
        <v>529</v>
      </c>
      <c r="E521" s="309" t="s">
        <v>529</v>
      </c>
      <c r="F521" s="296" t="str">
        <f t="shared" si="17"/>
        <v/>
      </c>
      <c r="G521" s="296" t="str">
        <f t="shared" si="17"/>
        <v/>
      </c>
      <c r="H521" s="297" t="str">
        <f t="shared" si="16"/>
        <v/>
      </c>
      <c r="I521" s="301"/>
      <c r="K521" s="261"/>
      <c r="L521" s="261"/>
    </row>
    <row r="522" spans="1:12" ht="12.6" customHeight="1" x14ac:dyDescent="0.25">
      <c r="A522" s="234" t="s">
        <v>538</v>
      </c>
      <c r="B522" s="295">
        <f>'Prior Year'!AC71</f>
        <v>4299746.16</v>
      </c>
      <c r="C522" s="295">
        <f>AC71</f>
        <v>4473415.92</v>
      </c>
      <c r="D522" s="343">
        <f>'Prior Year'!AC59</f>
        <v>65948</v>
      </c>
      <c r="E522" s="234">
        <f>AC59</f>
        <v>63420</v>
      </c>
      <c r="F522" s="296">
        <f t="shared" si="17"/>
        <v>65.199038029963006</v>
      </c>
      <c r="G522" s="296">
        <f t="shared" si="17"/>
        <v>70.536359508041627</v>
      </c>
      <c r="H522" s="297" t="str">
        <f t="shared" si="16"/>
        <v/>
      </c>
      <c r="I522" s="301"/>
      <c r="K522" s="261"/>
      <c r="L522" s="261"/>
    </row>
    <row r="523" spans="1:12" ht="12.6" customHeight="1" x14ac:dyDescent="0.25">
      <c r="A523" s="234" t="s">
        <v>539</v>
      </c>
      <c r="B523" s="295">
        <f>'Prior Year'!AD71</f>
        <v>6151571.1399999997</v>
      </c>
      <c r="C523" s="295">
        <f>AD71</f>
        <v>2321837.2499999995</v>
      </c>
      <c r="D523" s="343">
        <f>'Prior Year'!AD59</f>
        <v>0</v>
      </c>
      <c r="E523" s="234">
        <f>AD59</f>
        <v>0</v>
      </c>
      <c r="F523" s="296" t="str">
        <f t="shared" si="17"/>
        <v/>
      </c>
      <c r="G523" s="296" t="str">
        <f t="shared" si="17"/>
        <v/>
      </c>
      <c r="H523" s="297" t="str">
        <f t="shared" si="16"/>
        <v/>
      </c>
      <c r="I523" s="301"/>
      <c r="K523" s="261"/>
      <c r="L523" s="261"/>
    </row>
    <row r="524" spans="1:12" ht="12.6" customHeight="1" x14ac:dyDescent="0.25">
      <c r="A524" s="234" t="s">
        <v>540</v>
      </c>
      <c r="B524" s="295">
        <f>'Prior Year'!AE71</f>
        <v>5267343.4000000013</v>
      </c>
      <c r="C524" s="295">
        <f>AE71</f>
        <v>4691192.8900000006</v>
      </c>
      <c r="D524" s="343">
        <f>'Prior Year'!AE59</f>
        <v>164091</v>
      </c>
      <c r="E524" s="234">
        <f>AE59</f>
        <v>143127</v>
      </c>
      <c r="F524" s="296">
        <f t="shared" si="17"/>
        <v>32.100135900201728</v>
      </c>
      <c r="G524" s="296">
        <f t="shared" si="17"/>
        <v>32.776435543258785</v>
      </c>
      <c r="H524" s="297" t="str">
        <f t="shared" si="16"/>
        <v/>
      </c>
      <c r="I524" s="301"/>
      <c r="K524" s="261"/>
      <c r="L524" s="261"/>
    </row>
    <row r="525" spans="1:12" ht="12.6" customHeight="1" x14ac:dyDescent="0.25">
      <c r="A525" s="234" t="s">
        <v>541</v>
      </c>
      <c r="B525" s="295">
        <f>'Prior Year'!AF71</f>
        <v>0</v>
      </c>
      <c r="C525" s="295">
        <f>AF71</f>
        <v>0</v>
      </c>
      <c r="D525" s="343">
        <f>'Prior Year'!AF59</f>
        <v>0</v>
      </c>
      <c r="E525" s="234">
        <f>AF59</f>
        <v>0</v>
      </c>
      <c r="F525" s="296" t="str">
        <f t="shared" si="17"/>
        <v/>
      </c>
      <c r="G525" s="296" t="str">
        <f t="shared" si="17"/>
        <v/>
      </c>
      <c r="H525" s="297" t="str">
        <f t="shared" si="16"/>
        <v/>
      </c>
      <c r="I525" s="301"/>
      <c r="K525" s="261"/>
      <c r="L525" s="261"/>
    </row>
    <row r="526" spans="1:12" s="234" customFormat="1" ht="12.6" customHeight="1" x14ac:dyDescent="0.25">
      <c r="A526" s="234" t="s">
        <v>542</v>
      </c>
      <c r="B526" s="295">
        <f>'Prior Year'!AG71</f>
        <v>21702705.16</v>
      </c>
      <c r="C526" s="295">
        <f>AG71</f>
        <v>21230375.7234</v>
      </c>
      <c r="D526" s="343">
        <f>'Prior Year'!AG59</f>
        <v>50081</v>
      </c>
      <c r="E526" s="234">
        <f>AG59</f>
        <v>49565</v>
      </c>
      <c r="F526" s="296">
        <f t="shared" si="17"/>
        <v>433.35207284199595</v>
      </c>
      <c r="G526" s="296">
        <f t="shared" si="17"/>
        <v>428.33402044587916</v>
      </c>
      <c r="H526" s="297" t="str">
        <f t="shared" si="16"/>
        <v/>
      </c>
      <c r="I526" s="301"/>
      <c r="K526" s="302"/>
      <c r="L526" s="302"/>
    </row>
    <row r="527" spans="1:12" ht="12.6" customHeight="1" x14ac:dyDescent="0.25">
      <c r="A527" s="234" t="s">
        <v>543</v>
      </c>
      <c r="B527" s="295">
        <f>'Prior Year'!AH71</f>
        <v>0</v>
      </c>
      <c r="C527" s="295">
        <f>AH71</f>
        <v>0</v>
      </c>
      <c r="D527" s="343">
        <f>'Prior Year'!AH59</f>
        <v>0</v>
      </c>
      <c r="E527" s="234">
        <f>AH59</f>
        <v>0</v>
      </c>
      <c r="F527" s="296" t="str">
        <f t="shared" si="17"/>
        <v/>
      </c>
      <c r="G527" s="296" t="str">
        <f t="shared" si="17"/>
        <v/>
      </c>
      <c r="H527" s="297" t="str">
        <f t="shared" si="16"/>
        <v/>
      </c>
      <c r="I527" s="301"/>
      <c r="K527" s="261"/>
      <c r="L527" s="261"/>
    </row>
    <row r="528" spans="1:12" ht="12.6" customHeight="1" x14ac:dyDescent="0.25">
      <c r="A528" s="234" t="s">
        <v>544</v>
      </c>
      <c r="B528" s="295">
        <f>'Prior Year'!AI71</f>
        <v>14813983.459999997</v>
      </c>
      <c r="C528" s="295">
        <f>AI71</f>
        <v>14803782.939999998</v>
      </c>
      <c r="D528" s="343">
        <f>'Prior Year'!AI59</f>
        <v>14940</v>
      </c>
      <c r="E528" s="234">
        <f>AI59</f>
        <v>14617</v>
      </c>
      <c r="F528" s="296">
        <f t="shared" ref="F528:G540" si="18">IF(B528=0,"",IF(D528=0,"",B528/D528))</f>
        <v>991.56515796519398</v>
      </c>
      <c r="G528" s="296">
        <f t="shared" si="18"/>
        <v>1012.7784730108776</v>
      </c>
      <c r="H528" s="297" t="str">
        <f t="shared" si="16"/>
        <v/>
      </c>
      <c r="I528" s="301"/>
      <c r="K528" s="261"/>
      <c r="L528" s="261"/>
    </row>
    <row r="529" spans="1:12" ht="12.6" customHeight="1" x14ac:dyDescent="0.25">
      <c r="A529" s="234" t="s">
        <v>545</v>
      </c>
      <c r="B529" s="295">
        <f>'Prior Year'!AJ71</f>
        <v>7221632.0799999991</v>
      </c>
      <c r="C529" s="295">
        <f>AJ71</f>
        <v>140945366.35000002</v>
      </c>
      <c r="D529" s="343">
        <f>'Prior Year'!AJ59</f>
        <v>25537</v>
      </c>
      <c r="E529" s="234">
        <f>AJ59</f>
        <v>36043</v>
      </c>
      <c r="F529" s="296">
        <f t="shared" si="18"/>
        <v>282.79093393899046</v>
      </c>
      <c r="G529" s="296">
        <f t="shared" si="18"/>
        <v>3910.478216297201</v>
      </c>
      <c r="H529" s="297">
        <f t="shared" si="16"/>
        <v>12.828159770994818</v>
      </c>
      <c r="I529" s="301" t="s">
        <v>1337</v>
      </c>
      <c r="K529" s="261"/>
      <c r="L529" s="261"/>
    </row>
    <row r="530" spans="1:12" ht="12.6" customHeight="1" x14ac:dyDescent="0.25">
      <c r="A530" s="234" t="s">
        <v>546</v>
      </c>
      <c r="B530" s="295">
        <f>'Prior Year'!AK71</f>
        <v>2382546.7900000005</v>
      </c>
      <c r="C530" s="295">
        <f>AK71</f>
        <v>1823776.4700000002</v>
      </c>
      <c r="D530" s="343">
        <f>'Prior Year'!AK59</f>
        <v>74450</v>
      </c>
      <c r="E530" s="234">
        <f>AK59</f>
        <v>52005</v>
      </c>
      <c r="F530" s="296">
        <f t="shared" si="18"/>
        <v>32.001971658831437</v>
      </c>
      <c r="G530" s="296">
        <f t="shared" si="18"/>
        <v>35.069252379578892</v>
      </c>
      <c r="H530" s="297" t="str">
        <f t="shared" si="16"/>
        <v/>
      </c>
      <c r="I530" s="301"/>
      <c r="K530" s="261"/>
      <c r="L530" s="261"/>
    </row>
    <row r="531" spans="1:12" ht="12.6" customHeight="1" x14ac:dyDescent="0.25">
      <c r="A531" s="234" t="s">
        <v>547</v>
      </c>
      <c r="B531" s="295">
        <f>'Prior Year'!AL71</f>
        <v>672614.29999999993</v>
      </c>
      <c r="C531" s="295">
        <f>AL71</f>
        <v>591806.84999999986</v>
      </c>
      <c r="D531" s="343">
        <f>'Prior Year'!AL59</f>
        <v>8770</v>
      </c>
      <c r="E531" s="234">
        <f>AL59</f>
        <v>6844</v>
      </c>
      <c r="F531" s="296">
        <f t="shared" si="18"/>
        <v>76.694903078677299</v>
      </c>
      <c r="G531" s="296">
        <f t="shared" si="18"/>
        <v>86.470901519579172</v>
      </c>
      <c r="H531" s="297" t="str">
        <f t="shared" si="16"/>
        <v/>
      </c>
      <c r="I531" s="301"/>
      <c r="K531" s="261"/>
      <c r="L531" s="261"/>
    </row>
    <row r="532" spans="1:12" ht="12.6" customHeight="1" x14ac:dyDescent="0.25">
      <c r="A532" s="234" t="s">
        <v>548</v>
      </c>
      <c r="B532" s="295">
        <f>'Prior Year'!AM71</f>
        <v>0</v>
      </c>
      <c r="C532" s="295">
        <f>AM71</f>
        <v>0</v>
      </c>
      <c r="D532" s="343">
        <f>'Prior Year'!AM59</f>
        <v>0</v>
      </c>
      <c r="E532" s="234">
        <f>AM59</f>
        <v>0</v>
      </c>
      <c r="F532" s="296" t="str">
        <f t="shared" si="18"/>
        <v/>
      </c>
      <c r="G532" s="296" t="str">
        <f t="shared" si="18"/>
        <v/>
      </c>
      <c r="H532" s="297" t="str">
        <f t="shared" si="16"/>
        <v/>
      </c>
      <c r="I532" s="301"/>
      <c r="K532" s="261"/>
      <c r="L532" s="261"/>
    </row>
    <row r="533" spans="1:12" ht="12.6" customHeight="1" x14ac:dyDescent="0.25">
      <c r="A533" s="234" t="s">
        <v>1247</v>
      </c>
      <c r="B533" s="295">
        <f>'Prior Year'!AN71</f>
        <v>44612</v>
      </c>
      <c r="C533" s="295">
        <f>AN71</f>
        <v>0</v>
      </c>
      <c r="D533" s="343">
        <f>'Prior Year'!AN59</f>
        <v>0</v>
      </c>
      <c r="E533" s="234">
        <f>AN59</f>
        <v>0</v>
      </c>
      <c r="F533" s="296" t="str">
        <f t="shared" si="18"/>
        <v/>
      </c>
      <c r="G533" s="296" t="str">
        <f t="shared" si="18"/>
        <v/>
      </c>
      <c r="H533" s="297" t="str">
        <f t="shared" si="16"/>
        <v/>
      </c>
      <c r="I533" s="301"/>
      <c r="K533" s="261"/>
      <c r="L533" s="261"/>
    </row>
    <row r="534" spans="1:12" ht="12.6" customHeight="1" x14ac:dyDescent="0.25">
      <c r="A534" s="234" t="s">
        <v>549</v>
      </c>
      <c r="B534" s="295">
        <f>'Prior Year'!AO71</f>
        <v>0</v>
      </c>
      <c r="C534" s="295">
        <f>AO71</f>
        <v>0</v>
      </c>
      <c r="D534" s="343">
        <f>'Prior Year'!AO59</f>
        <v>0</v>
      </c>
      <c r="E534" s="234">
        <f>AO59</f>
        <v>0</v>
      </c>
      <c r="F534" s="296" t="str">
        <f t="shared" si="18"/>
        <v/>
      </c>
      <c r="G534" s="296" t="str">
        <f t="shared" si="18"/>
        <v/>
      </c>
      <c r="H534" s="297" t="str">
        <f t="shared" si="16"/>
        <v/>
      </c>
      <c r="I534" s="301"/>
      <c r="K534" s="261"/>
      <c r="L534" s="261"/>
    </row>
    <row r="535" spans="1:12" ht="12.6" customHeight="1" x14ac:dyDescent="0.25">
      <c r="A535" s="234" t="s">
        <v>550</v>
      </c>
      <c r="B535" s="295">
        <f>'Prior Year'!AP71</f>
        <v>182782.51999999979</v>
      </c>
      <c r="C535" s="295">
        <f>AP71</f>
        <v>513959.37</v>
      </c>
      <c r="D535" s="343">
        <f>'Prior Year'!AP59</f>
        <v>888</v>
      </c>
      <c r="E535" s="234">
        <f>AP59</f>
        <v>1085</v>
      </c>
      <c r="F535" s="296">
        <f t="shared" si="18"/>
        <v>205.83617117117092</v>
      </c>
      <c r="G535" s="296">
        <f t="shared" si="18"/>
        <v>473.69527188940094</v>
      </c>
      <c r="H535" s="297">
        <f t="shared" si="16"/>
        <v>1.3013218191640457</v>
      </c>
      <c r="I535" s="310" t="s">
        <v>1339</v>
      </c>
      <c r="K535" s="261"/>
      <c r="L535" s="261"/>
    </row>
    <row r="536" spans="1:12" ht="12.6" customHeight="1" x14ac:dyDescent="0.25">
      <c r="A536" s="234" t="s">
        <v>551</v>
      </c>
      <c r="B536" s="295">
        <f>'Prior Year'!AQ71</f>
        <v>0</v>
      </c>
      <c r="C536" s="295">
        <f>AQ71</f>
        <v>0</v>
      </c>
      <c r="D536" s="343">
        <f>'Prior Year'!AQ59</f>
        <v>0</v>
      </c>
      <c r="E536" s="234">
        <f>AQ59</f>
        <v>0</v>
      </c>
      <c r="F536" s="296" t="str">
        <f t="shared" si="18"/>
        <v/>
      </c>
      <c r="G536" s="296" t="str">
        <f t="shared" si="18"/>
        <v/>
      </c>
      <c r="H536" s="297" t="str">
        <f t="shared" si="16"/>
        <v/>
      </c>
      <c r="I536" s="301"/>
      <c r="K536" s="261"/>
      <c r="L536" s="261"/>
    </row>
    <row r="537" spans="1:12" ht="12.6" customHeight="1" x14ac:dyDescent="0.25">
      <c r="A537" s="234" t="s">
        <v>552</v>
      </c>
      <c r="B537" s="295">
        <f>'Prior Year'!AR71</f>
        <v>47434101.059999995</v>
      </c>
      <c r="C537" s="295">
        <f>AR71</f>
        <v>55385424.979999997</v>
      </c>
      <c r="D537" s="343">
        <f>'Prior Year'!AR59</f>
        <v>385162</v>
      </c>
      <c r="E537" s="234">
        <f>AR59</f>
        <v>386436</v>
      </c>
      <c r="F537" s="296">
        <f t="shared" si="18"/>
        <v>123.15363680736935</v>
      </c>
      <c r="G537" s="296">
        <f t="shared" si="18"/>
        <v>143.323668032999</v>
      </c>
      <c r="H537" s="297" t="str">
        <f t="shared" si="16"/>
        <v/>
      </c>
      <c r="I537" s="301"/>
      <c r="K537" s="261"/>
      <c r="L537" s="261"/>
    </row>
    <row r="538" spans="1:12" ht="12.6" customHeight="1" x14ac:dyDescent="0.25">
      <c r="A538" s="234" t="s">
        <v>553</v>
      </c>
      <c r="B538" s="295">
        <f>'Prior Year'!AS71</f>
        <v>0</v>
      </c>
      <c r="C538" s="295">
        <f>AS71</f>
        <v>0</v>
      </c>
      <c r="D538" s="343">
        <f>'Prior Year'!AS59</f>
        <v>0</v>
      </c>
      <c r="E538" s="234">
        <f>AS59</f>
        <v>0</v>
      </c>
      <c r="F538" s="296" t="str">
        <f t="shared" si="18"/>
        <v/>
      </c>
      <c r="G538" s="296" t="str">
        <f t="shared" si="18"/>
        <v/>
      </c>
      <c r="H538" s="297" t="str">
        <f t="shared" si="16"/>
        <v/>
      </c>
      <c r="I538" s="301"/>
      <c r="K538" s="261"/>
      <c r="L538" s="261"/>
    </row>
    <row r="539" spans="1:12" ht="12.6" customHeight="1" x14ac:dyDescent="0.25">
      <c r="A539" s="234" t="s">
        <v>554</v>
      </c>
      <c r="B539" s="295">
        <f>'Prior Year'!AT71</f>
        <v>0</v>
      </c>
      <c r="C539" s="295">
        <f>AT71</f>
        <v>0</v>
      </c>
      <c r="D539" s="343">
        <f>'Prior Year'!AT59</f>
        <v>0</v>
      </c>
      <c r="E539" s="234">
        <f>AT59</f>
        <v>0</v>
      </c>
      <c r="F539" s="296" t="str">
        <f t="shared" si="18"/>
        <v/>
      </c>
      <c r="G539" s="296" t="str">
        <f t="shared" si="18"/>
        <v/>
      </c>
      <c r="H539" s="297" t="str">
        <f t="shared" si="16"/>
        <v/>
      </c>
      <c r="I539" s="301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344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15169183.031400003</v>
      </c>
      <c r="C541" s="240">
        <f>AV71</f>
        <v>11892882.373459999</v>
      </c>
      <c r="D541" s="338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338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2285.6268999999998</v>
      </c>
      <c r="C543" s="240">
        <f>AX71</f>
        <v>276736.07519999996</v>
      </c>
      <c r="D543" s="338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344">
        <f>'Prior Year'!AY59</f>
        <v>577277</v>
      </c>
      <c r="E544" s="180">
        <f>AY59</f>
        <v>416105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8715114.0000000019</v>
      </c>
      <c r="C545" s="240">
        <f>AZ71</f>
        <v>9308161.3900000025</v>
      </c>
      <c r="D545" s="344">
        <f>'Prior Year'!AZ59</f>
        <v>1456766</v>
      </c>
      <c r="E545" s="180">
        <f>AZ59</f>
        <v>930126</v>
      </c>
      <c r="F545" s="263">
        <f t="shared" si="19"/>
        <v>5.9825078289855762</v>
      </c>
      <c r="G545" s="263">
        <f t="shared" si="19"/>
        <v>10.007419844193155</v>
      </c>
      <c r="H545" s="265">
        <f t="shared" si="16"/>
        <v>0.67278006653107258</v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298453.90000000002</v>
      </c>
      <c r="C546" s="240">
        <f>BA71</f>
        <v>408574.01000000007</v>
      </c>
      <c r="D546" s="344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338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1478429.7300000002</v>
      </c>
      <c r="C548" s="240">
        <f>BC71</f>
        <v>664600.69000000006</v>
      </c>
      <c r="D548" s="338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338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30191842.9322</v>
      </c>
      <c r="C550" s="240">
        <f>BE71</f>
        <v>28700266.812399995</v>
      </c>
      <c r="D550" s="344">
        <f>'Prior Year'!BE59</f>
        <v>888995</v>
      </c>
      <c r="E550" s="180">
        <f>BE59</f>
        <v>850148</v>
      </c>
      <c r="F550" s="263">
        <f t="shared" si="19"/>
        <v>33.961769112537191</v>
      </c>
      <c r="G550" s="263">
        <f t="shared" si="19"/>
        <v>33.759141716971627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6574842.580000001</v>
      </c>
      <c r="C551" s="240">
        <f>BF71</f>
        <v>6825132.8600000003</v>
      </c>
      <c r="D551" s="338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110463.8404</v>
      </c>
      <c r="C552" s="240">
        <f>BG71</f>
        <v>1191320.3351499999</v>
      </c>
      <c r="D552" s="338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-698446.68900000001</v>
      </c>
      <c r="C553" s="240">
        <f>BH71</f>
        <v>5189987.8909999998</v>
      </c>
      <c r="D553" s="338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-70107.420000000042</v>
      </c>
      <c r="C554" s="240">
        <f>BI71</f>
        <v>-193721.75000000006</v>
      </c>
      <c r="D554" s="338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1938000.52489797</v>
      </c>
      <c r="C555" s="240">
        <f>BJ71</f>
        <v>1239152.4813499996</v>
      </c>
      <c r="D555" s="338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7339247.2191812899</v>
      </c>
      <c r="C556" s="240">
        <f>BK71</f>
        <v>8085774.038851345</v>
      </c>
      <c r="D556" s="338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7774794.2580751805</v>
      </c>
      <c r="C557" s="240">
        <f>BL71</f>
        <v>7802620.0387800001</v>
      </c>
      <c r="D557" s="338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338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28229306.798752606</v>
      </c>
      <c r="C559" s="240">
        <f>BN71</f>
        <v>23548762.266933471</v>
      </c>
      <c r="D559" s="338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1067275.4931999999</v>
      </c>
      <c r="C560" s="240">
        <f>BO71</f>
        <v>903228.29629999993</v>
      </c>
      <c r="D560" s="338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1399108.6538</v>
      </c>
      <c r="C561" s="240">
        <f>BP71</f>
        <v>4759957.9238999989</v>
      </c>
      <c r="D561" s="338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338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4423639.8734999998</v>
      </c>
      <c r="C563" s="240">
        <f>BR71</f>
        <v>3041936.1810500063</v>
      </c>
      <c r="D563" s="338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52.155200000000001</v>
      </c>
      <c r="C564" s="240">
        <f>BS71</f>
        <v>249573.94244999991</v>
      </c>
      <c r="D564" s="338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382833.01910000003</v>
      </c>
      <c r="C565" s="240">
        <f>BT71</f>
        <v>725438.13594999991</v>
      </c>
      <c r="D565" s="338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125375.68770000001</v>
      </c>
      <c r="C566" s="240">
        <f>BU71</f>
        <v>148855.08905000004</v>
      </c>
      <c r="D566" s="338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10641643.689107802</v>
      </c>
      <c r="C567" s="240">
        <f>BV71</f>
        <v>11279047.736275665</v>
      </c>
      <c r="D567" s="338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1300871.7238059998</v>
      </c>
      <c r="C568" s="240">
        <f>BW71</f>
        <v>2193227.9204805247</v>
      </c>
      <c r="D568" s="338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5362295.0302633392</v>
      </c>
      <c r="C569" s="240">
        <f>BX71</f>
        <v>11463193.24275312</v>
      </c>
      <c r="D569" s="338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5422947.6624000007</v>
      </c>
      <c r="C570" s="240">
        <f>BY71</f>
        <v>5797849.101449999</v>
      </c>
      <c r="D570" s="338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338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2351529.0645000003</v>
      </c>
      <c r="C572" s="240">
        <f>CA71</f>
        <v>2111521.1044000005</v>
      </c>
      <c r="D572" s="338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161798.63440000004</v>
      </c>
      <c r="C573" s="240">
        <f>CB71</f>
        <v>149799.47584999999</v>
      </c>
      <c r="D573" s="338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48173383.736194782</v>
      </c>
      <c r="C574" s="240">
        <f>CC71</f>
        <v>42714031.482459575</v>
      </c>
      <c r="D574" s="338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33031680.609999999</v>
      </c>
      <c r="C575" s="240">
        <f>CD71</f>
        <v>35935524.939999998</v>
      </c>
      <c r="D575" s="338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252">
        <f>CE76-(BE76+CD76)</f>
        <v>675654.8713</v>
      </c>
      <c r="E612" s="180">
        <f>SUM(C624:D647)+SUM(C668:D713)</f>
        <v>681953211.2476728</v>
      </c>
      <c r="F612" s="180">
        <f>CE64-(AX64+BD64+BE64+BG64+BJ64+BN64+BP64+BQ64+CB64+CC64+CD64)</f>
        <v>113872853.80000021</v>
      </c>
      <c r="G612" s="180">
        <f>CE77-(AX77+AY77+BD77+BE77+BG77+BJ77+BN77+BP77+BQ77+CB77+CC77+CD77)</f>
        <v>416105</v>
      </c>
      <c r="H612" s="197">
        <f>CE60-(AX60+AY60+AZ60+BD60+BE60+BG60+BJ60+BN60+BO60+BP60+BQ60+BR60+CB60+CC60+CD60)</f>
        <v>3064.0575330769229</v>
      </c>
      <c r="I612" s="180">
        <f>CE78-(AX78+AY78+AZ78+BD78+BE78+BF78+BG78+BJ78+BN78+BO78+BP78+BQ78+BR78+CB78+CC78+CD78)</f>
        <v>169481.52000000002</v>
      </c>
      <c r="J612" s="180">
        <f>CE79-(AX79+AY79+AZ79+BA79+BD79+BE79+BF79+BG79+BJ79+BN79+BO79+BP79+BQ79+BR79+CB79+CC79+CD79)</f>
        <v>2767712.82</v>
      </c>
      <c r="K612" s="180">
        <f>CE75-(AW75+AX75+AY75+AZ75+BA75+BB75+BC75+BD75+BE75+BF75+BG75+BH75+BI75+BJ75+BK75+BL75+BM75+BN75+BO75+BP75+BQ75+BR75+BS75+BT75+BU75+BV75+BW75+BX75+CB75+CC75+CD75)</f>
        <v>3220909840.2200003</v>
      </c>
      <c r="L612" s="197">
        <f>CE80-(AW80+AX80+AY80+AZ80+BA80+BB80+BC80+BD80+BE80+BF80+BG80+BH80+BI80+BJ80+BK80+BL80+BM80+BN80+BO80+BP80+BQ80+BR80+BS80+BT80+BU80+BV80+BW80+BX80+BY80+BZ80+CA80+CB80+CC80+CD80)</f>
        <v>998.65476442307704</v>
      </c>
    </row>
    <row r="613" spans="1:14" ht="12.6" customHeight="1" x14ac:dyDescent="0.25">
      <c r="A613" s="196"/>
      <c r="C613" s="181" t="s">
        <v>590</v>
      </c>
      <c r="D613" s="338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28700266.812399995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35935524.939999998</v>
      </c>
      <c r="D615" s="346">
        <f>SUM(C614:C615)</f>
        <v>64635791.752399996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276736.07519999996</v>
      </c>
      <c r="D616" s="252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1239152.4813499996</v>
      </c>
      <c r="D617" s="252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1191320.3351499999</v>
      </c>
      <c r="D618" s="252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23548762.266933471</v>
      </c>
      <c r="D619" s="252">
        <f>(D615/D612)*BN76</f>
        <v>16233110.482000919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42714031.482459575</v>
      </c>
      <c r="D620" s="252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4759957.9238999989</v>
      </c>
      <c r="D621" s="252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149799.47584999999</v>
      </c>
      <c r="D622" s="252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252">
        <f>(D615/D612)*BQ76</f>
        <v>0</v>
      </c>
      <c r="E623" s="180">
        <f>SUM(C616:D623)</f>
        <v>90112870.522843957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252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252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3041936.1810500063</v>
      </c>
      <c r="D626" s="252">
        <f>(D615/D612)*BR76</f>
        <v>0</v>
      </c>
      <c r="E626" s="180">
        <f>(E623/E612)*SUM(C626:D626)</f>
        <v>401959.5431190941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903228.29629999993</v>
      </c>
      <c r="D627" s="252">
        <f>(D615/D612)*BO76</f>
        <v>0</v>
      </c>
      <c r="E627" s="180">
        <f>(E623/E612)*SUM(C627:D627)</f>
        <v>119352.02177307526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9308161.3900000025</v>
      </c>
      <c r="D628" s="252">
        <f>(D615/D612)*AZ76</f>
        <v>1821288.7655589371</v>
      </c>
      <c r="E628" s="180">
        <f>(E623/E612)*SUM(C628:D628)</f>
        <v>1470638.5780095567</v>
      </c>
      <c r="F628" s="180">
        <f>(F624/F612)*AZ64</f>
        <v>0</v>
      </c>
      <c r="G628" s="180">
        <f>(G625/G612)*AZ77</f>
        <v>0</v>
      </c>
      <c r="H628" s="180">
        <f>SUM(C626:G628)</f>
        <v>17066564.77581067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6825132.8600000003</v>
      </c>
      <c r="D629" s="252">
        <f>(D615/D612)*BF76</f>
        <v>197641.65320605805</v>
      </c>
      <c r="E629" s="180">
        <f>(E623/E612)*SUM(C629:D629)</f>
        <v>927985.02885827655</v>
      </c>
      <c r="F629" s="180">
        <f>(F624/F612)*BF64</f>
        <v>0</v>
      </c>
      <c r="G629" s="180">
        <f>(G625/G612)*BF77</f>
        <v>0</v>
      </c>
      <c r="H629" s="180">
        <f>(H628/H612)*BF60</f>
        <v>453837.33266151528</v>
      </c>
      <c r="I629" s="180">
        <f>SUM(C629:H629)</f>
        <v>8404596.8747258503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408574.01000000007</v>
      </c>
      <c r="D630" s="252">
        <f>(D615/D612)*BA76</f>
        <v>405997.66515319957</v>
      </c>
      <c r="E630" s="180">
        <f>(E623/E612)*SUM(C630:D630)</f>
        <v>107636.99134191427</v>
      </c>
      <c r="F630" s="180">
        <f>(F624/F612)*BA64</f>
        <v>0</v>
      </c>
      <c r="G630" s="180">
        <f>(G625/G612)*BA77</f>
        <v>0</v>
      </c>
      <c r="H630" s="180">
        <f>(H628/H612)*BA60</f>
        <v>32639.749256216001</v>
      </c>
      <c r="I630" s="180">
        <f>(I629/I612)*BA78</f>
        <v>73565.562185930059</v>
      </c>
      <c r="J630" s="180">
        <f>SUM(C630:I630)</f>
        <v>1028413.9779372599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252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252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664600.69000000006</v>
      </c>
      <c r="D633" s="252">
        <f>(D615/D612)*BC76</f>
        <v>0</v>
      </c>
      <c r="E633" s="180">
        <f>(E623/E612)*SUM(C633:D633)</f>
        <v>87819.919225531965</v>
      </c>
      <c r="F633" s="180">
        <f>(F624/F612)*BC64</f>
        <v>0</v>
      </c>
      <c r="G633" s="180">
        <f>(G625/G612)*BC77</f>
        <v>0</v>
      </c>
      <c r="H633" s="180">
        <f>(H628/H612)*BC60</f>
        <v>63051.529279925788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-193721.75000000006</v>
      </c>
      <c r="D634" s="252">
        <f>(D615/D612)*BI76</f>
        <v>127520.00180235982</v>
      </c>
      <c r="E634" s="180">
        <f>(E623/E612)*SUM(C634:D634)</f>
        <v>-8747.8575734036203</v>
      </c>
      <c r="F634" s="180">
        <f>(F624/F612)*BI64</f>
        <v>0</v>
      </c>
      <c r="G634" s="180">
        <f>(G625/G612)*BI77</f>
        <v>0</v>
      </c>
      <c r="H634" s="180">
        <f>(H628/H612)*BI60</f>
        <v>5235.7276963895965</v>
      </c>
      <c r="I634" s="180">
        <f>(I629/I612)*BI78</f>
        <v>23106.24278837059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8085774.038851345</v>
      </c>
      <c r="D635" s="252">
        <f>(D615/D612)*BK76</f>
        <v>0</v>
      </c>
      <c r="E635" s="180">
        <f>(E623/E612)*SUM(C635:D635)</f>
        <v>1068449.1208816357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5189987.8909999998</v>
      </c>
      <c r="D636" s="252">
        <f>(D615/D612)*BH76</f>
        <v>0</v>
      </c>
      <c r="E636" s="180">
        <f>(E623/E612)*SUM(C636:D636)</f>
        <v>685801.75167905551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7802620.0387800001</v>
      </c>
      <c r="D637" s="252">
        <f>(D615/D612)*BL76</f>
        <v>0</v>
      </c>
      <c r="E637" s="180">
        <f>(E623/E612)*SUM(C637:D637)</f>
        <v>1031033.3285287089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252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249573.94244999991</v>
      </c>
      <c r="D639" s="252">
        <f>(D615/D612)*BS76</f>
        <v>0</v>
      </c>
      <c r="E639" s="180">
        <f>(E623/E612)*SUM(C639:D639)</f>
        <v>32978.544555463151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725438.13594999991</v>
      </c>
      <c r="D640" s="252">
        <f>(D615/D612)*BT76</f>
        <v>0</v>
      </c>
      <c r="E640" s="180">
        <f>(E623/E612)*SUM(C640:D640)</f>
        <v>95858.941257267521</v>
      </c>
      <c r="F640" s="180">
        <f>(F624/F612)*BT64</f>
        <v>0</v>
      </c>
      <c r="G640" s="180">
        <f>(G625/G612)*BT77</f>
        <v>0</v>
      </c>
      <c r="H640" s="180">
        <f>(H628/H612)*BT60</f>
        <v>20385.918477431835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148855.08905000004</v>
      </c>
      <c r="D641" s="252">
        <f>(D615/D612)*BU76</f>
        <v>0</v>
      </c>
      <c r="E641" s="180">
        <f>(E623/E612)*SUM(C641:D641)</f>
        <v>19669.618303707102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11279047.736275665</v>
      </c>
      <c r="D642" s="252">
        <f>(D615/D612)*BV76</f>
        <v>904502.33836557542</v>
      </c>
      <c r="E642" s="180">
        <f>(E623/E612)*SUM(C642:D642)</f>
        <v>1609926.6815916451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163893.11745239602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2193227.9204805247</v>
      </c>
      <c r="D643" s="252">
        <f>(D615/D612)*BW76</f>
        <v>0</v>
      </c>
      <c r="E643" s="180">
        <f>(E623/E612)*SUM(C643:D643)</f>
        <v>289811.76474520529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11463193.24275312</v>
      </c>
      <c r="D644" s="252">
        <f>(D615/D612)*BX76</f>
        <v>0</v>
      </c>
      <c r="E644" s="180">
        <f>(E623/E612)*SUM(C644:D644)</f>
        <v>1514739.1806728982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55343632.845320821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5797849.101449999</v>
      </c>
      <c r="D645" s="252">
        <f>(D615/D612)*BY76</f>
        <v>93559.311149818386</v>
      </c>
      <c r="E645" s="180">
        <f>(E623/E612)*SUM(C645:D645)</f>
        <v>778487.02040790161</v>
      </c>
      <c r="F645" s="180">
        <f>(F624/F612)*BY64</f>
        <v>0</v>
      </c>
      <c r="G645" s="180">
        <f>(G625/G612)*BY77</f>
        <v>0</v>
      </c>
      <c r="H645" s="180">
        <f>(H628/H612)*BY60</f>
        <v>251203.53096507536</v>
      </c>
      <c r="I645" s="180">
        <f>(I629/I612)*BY78</f>
        <v>16952.667252082851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252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2111521.1044000005</v>
      </c>
      <c r="D647" s="252">
        <f>(D615/D612)*CA76</f>
        <v>0</v>
      </c>
      <c r="E647" s="180">
        <f>(E623/E612)*SUM(C647:D647)</f>
        <v>279015.07720585435</v>
      </c>
      <c r="F647" s="180">
        <f>(F624/F612)*CA64</f>
        <v>0</v>
      </c>
      <c r="G647" s="180">
        <f>(G625/G612)*CA77</f>
        <v>0</v>
      </c>
      <c r="H647" s="180">
        <f>(H628/H612)*CA60</f>
        <v>34255.026949783001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9362842.8397805151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214520551.71203369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338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27564346.390000001</v>
      </c>
      <c r="D668" s="252">
        <f>(D615/D612)*C76</f>
        <v>1992392.4062548745</v>
      </c>
      <c r="E668" s="180">
        <f>(E623/E612)*SUM(C668:D668)</f>
        <v>3905608.9659751174</v>
      </c>
      <c r="F668" s="180">
        <f>(F624/F612)*C64</f>
        <v>0</v>
      </c>
      <c r="G668" s="180">
        <f>(G625/G612)*C77</f>
        <v>0</v>
      </c>
      <c r="H668" s="180">
        <f>(H628/H612)*C60</f>
        <v>976476.8188426469</v>
      </c>
      <c r="I668" s="180">
        <f>(I629/I612)*C78</f>
        <v>361015.54280074587</v>
      </c>
      <c r="J668" s="180">
        <f>(J630/J612)*C79</f>
        <v>102891.18443744138</v>
      </c>
      <c r="K668" s="180">
        <f>(K644/K612)*C75</f>
        <v>1779002.9169318913</v>
      </c>
      <c r="L668" s="180">
        <f>(L647/L612)*C80</f>
        <v>1114290.5451636245</v>
      </c>
      <c r="M668" s="180">
        <f t="shared" ref="M668:M713" si="20">ROUND(SUM(D668:L668),0)</f>
        <v>10231678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252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52160928.861550003</v>
      </c>
      <c r="D670" s="252">
        <f>(D615/D612)*E76</f>
        <v>10041993.268714607</v>
      </c>
      <c r="E670" s="180">
        <f>(E623/E612)*SUM(C670:D670)</f>
        <v>8219455.1995904371</v>
      </c>
      <c r="F670" s="180">
        <f>(F624/F612)*E64</f>
        <v>0</v>
      </c>
      <c r="G670" s="180">
        <f>(G625/G612)*E77</f>
        <v>0</v>
      </c>
      <c r="H670" s="180">
        <f>(H628/H612)*E60</f>
        <v>2307452.0348758707</v>
      </c>
      <c r="I670" s="180">
        <f>(I629/I612)*E78</f>
        <v>1819579.1347754593</v>
      </c>
      <c r="J670" s="180">
        <f>(J630/J612)*E79</f>
        <v>303504.79468564026</v>
      </c>
      <c r="K670" s="180">
        <f>(K644/K612)*E75</f>
        <v>4168480.1757547008</v>
      </c>
      <c r="L670" s="180">
        <f>(L647/L612)*E80</f>
        <v>2211144.1412647171</v>
      </c>
      <c r="M670" s="180">
        <f t="shared" si="20"/>
        <v>29071609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252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170094.19945000001</v>
      </c>
      <c r="D672" s="252">
        <f>(D615/D612)*G76</f>
        <v>0</v>
      </c>
      <c r="E672" s="180">
        <f>(E623/E612)*SUM(C672:D672)</f>
        <v>22476.141059123071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22476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5266565.74</v>
      </c>
      <c r="D673" s="252">
        <f>(D615/D612)*H76</f>
        <v>191423.49857953639</v>
      </c>
      <c r="E673" s="180">
        <f>(E623/E612)*SUM(C673:D673)</f>
        <v>721215.2820152468</v>
      </c>
      <c r="F673" s="180">
        <f>(F624/F612)*H64</f>
        <v>0</v>
      </c>
      <c r="G673" s="180">
        <f>(G625/G612)*H77</f>
        <v>0</v>
      </c>
      <c r="H673" s="180">
        <f>(H628/H612)*H60</f>
        <v>231263.20633414478</v>
      </c>
      <c r="I673" s="180">
        <f>(I629/I612)*H78</f>
        <v>34685.365205948649</v>
      </c>
      <c r="J673" s="180">
        <f>(J630/J612)*H79</f>
        <v>9678.6286197928857</v>
      </c>
      <c r="K673" s="180">
        <f>(K644/K612)*H75</f>
        <v>360527.13330791384</v>
      </c>
      <c r="L673" s="180">
        <f>(L647/L612)*H80</f>
        <v>164582.73257449095</v>
      </c>
      <c r="M673" s="180">
        <f t="shared" si="20"/>
        <v>1713376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252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8539303.3199999984</v>
      </c>
      <c r="D675" s="252">
        <f>(D615/D612)*J76</f>
        <v>241264.39950904084</v>
      </c>
      <c r="E675" s="180">
        <f>(E623/E612)*SUM(C675:D675)</f>
        <v>1160258.7229959047</v>
      </c>
      <c r="F675" s="180">
        <f>(F624/F612)*J64</f>
        <v>0</v>
      </c>
      <c r="G675" s="180">
        <f>(G625/G612)*J77</f>
        <v>0</v>
      </c>
      <c r="H675" s="180">
        <f>(H628/H612)*J60</f>
        <v>294593.23176813382</v>
      </c>
      <c r="I675" s="180">
        <f>(I629/I612)*J78</f>
        <v>43716.38733103573</v>
      </c>
      <c r="J675" s="180">
        <f>(J630/J612)*J79</f>
        <v>0</v>
      </c>
      <c r="K675" s="180">
        <f>(K644/K612)*J75</f>
        <v>827235.89752551483</v>
      </c>
      <c r="L675" s="180">
        <f>(L647/L612)*J80</f>
        <v>303334.9596687571</v>
      </c>
      <c r="M675" s="180">
        <f t="shared" si="20"/>
        <v>2870404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252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252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252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252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20741144.960000005</v>
      </c>
      <c r="D680" s="252">
        <f>(D615/D612)*O76</f>
        <v>1685494.5874635866</v>
      </c>
      <c r="E680" s="180">
        <f>(E623/E612)*SUM(C680:D680)</f>
        <v>2963442.1137275277</v>
      </c>
      <c r="F680" s="180">
        <f>(F624/F612)*O64</f>
        <v>0</v>
      </c>
      <c r="G680" s="180">
        <f>(G625/G612)*O77</f>
        <v>0</v>
      </c>
      <c r="H680" s="180">
        <f>(H628/H612)*O60</f>
        <v>784133.77138056117</v>
      </c>
      <c r="I680" s="180">
        <f>(I629/I612)*O78</f>
        <v>305406.57627011929</v>
      </c>
      <c r="J680" s="180">
        <f>(J630/J612)*O79</f>
        <v>109738.55347935998</v>
      </c>
      <c r="K680" s="180">
        <f>(K644/K612)*O75</f>
        <v>2466648.5603080927</v>
      </c>
      <c r="L680" s="180">
        <f>(L647/L612)*O80</f>
        <v>798993.45143000479</v>
      </c>
      <c r="M680" s="180">
        <f t="shared" si="20"/>
        <v>9113858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91747162.649300203</v>
      </c>
      <c r="D681" s="252">
        <f>(D615/D612)*P76</f>
        <v>8568043.0918428767</v>
      </c>
      <c r="E681" s="180">
        <f>(E623/E612)*SUM(C681:D681)</f>
        <v>13255588.502744114</v>
      </c>
      <c r="F681" s="180">
        <f>(F624/F612)*P64</f>
        <v>0</v>
      </c>
      <c r="G681" s="180">
        <f>(G625/G612)*P77</f>
        <v>0</v>
      </c>
      <c r="H681" s="180">
        <f>(H628/H612)*P60</f>
        <v>1079116.8977643836</v>
      </c>
      <c r="I681" s="180">
        <f>(I629/I612)*P78</f>
        <v>1552503.772766409</v>
      </c>
      <c r="J681" s="180">
        <f>(J630/J612)*P79</f>
        <v>274889.56189681508</v>
      </c>
      <c r="K681" s="180">
        <f>(K644/K612)*P75</f>
        <v>16644097.364382792</v>
      </c>
      <c r="L681" s="180">
        <f>(L647/L612)*P80</f>
        <v>720245.21834585373</v>
      </c>
      <c r="M681" s="180">
        <f t="shared" si="20"/>
        <v>42094484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2586207.71</v>
      </c>
      <c r="D682" s="252">
        <f>(D615/D612)*Q76</f>
        <v>226627.82015738214</v>
      </c>
      <c r="E682" s="180">
        <f>(E623/E612)*SUM(C682:D682)</f>
        <v>371686.32649648265</v>
      </c>
      <c r="F682" s="180">
        <f>(F624/F612)*Q64</f>
        <v>0</v>
      </c>
      <c r="G682" s="180">
        <f>(G625/G612)*Q77</f>
        <v>0</v>
      </c>
      <c r="H682" s="180">
        <f>(H628/H612)*Q60</f>
        <v>107053.92162192345</v>
      </c>
      <c r="I682" s="180">
        <f>(I629/I612)*Q78</f>
        <v>41064.282944973682</v>
      </c>
      <c r="J682" s="180">
        <f>(J630/J612)*Q79</f>
        <v>20991.587015273875</v>
      </c>
      <c r="K682" s="180">
        <f>(K644/K612)*Q75</f>
        <v>450853.76960623031</v>
      </c>
      <c r="L682" s="180">
        <f>(L647/L612)*Q80</f>
        <v>127301.91174059354</v>
      </c>
      <c r="M682" s="180">
        <f t="shared" si="20"/>
        <v>1345580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252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5104517.4126225486</v>
      </c>
      <c r="D684" s="252">
        <f>(D615/D612)*S76</f>
        <v>1668474.382171761</v>
      </c>
      <c r="E684" s="180">
        <f>(E623/E612)*SUM(C684:D684)</f>
        <v>894978.89677789388</v>
      </c>
      <c r="F684" s="180">
        <f>(F624/F612)*S64</f>
        <v>0</v>
      </c>
      <c r="G684" s="180">
        <f>(G625/G612)*S77</f>
        <v>0</v>
      </c>
      <c r="H684" s="180">
        <f>(H628/H612)*S60</f>
        <v>342884.46488270594</v>
      </c>
      <c r="I684" s="180">
        <f>(I629/I612)*S78</f>
        <v>302322.56599547743</v>
      </c>
      <c r="J684" s="180">
        <f>(J630/J612)*S79</f>
        <v>6134.1598016866565</v>
      </c>
      <c r="K684" s="180">
        <f>(K644/K612)*S75</f>
        <v>0</v>
      </c>
      <c r="L684" s="180">
        <f>(L647/L612)*S80</f>
        <v>0</v>
      </c>
      <c r="M684" s="180">
        <f t="shared" si="20"/>
        <v>3214794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2400977.1987000005</v>
      </c>
      <c r="D685" s="252">
        <f>(D615/D612)*T76</f>
        <v>0</v>
      </c>
      <c r="E685" s="180">
        <f>(E623/E612)*SUM(C685:D685)</f>
        <v>317263.62434588809</v>
      </c>
      <c r="F685" s="180">
        <f>(F624/F612)*T64</f>
        <v>0</v>
      </c>
      <c r="G685" s="180">
        <f>(G625/G612)*T77</f>
        <v>0</v>
      </c>
      <c r="H685" s="180">
        <f>(H628/H612)*T60</f>
        <v>76140.848520899774</v>
      </c>
      <c r="I685" s="180">
        <f>(I629/I612)*T78</f>
        <v>0</v>
      </c>
      <c r="J685" s="180">
        <f>(J630/J612)*T79</f>
        <v>0</v>
      </c>
      <c r="K685" s="180">
        <f>(K644/K612)*T75</f>
        <v>219974.83573291113</v>
      </c>
      <c r="L685" s="180">
        <f>(L647/L612)*T80</f>
        <v>111930.98843289221</v>
      </c>
      <c r="M685" s="180">
        <f t="shared" si="20"/>
        <v>725310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21200214.919999994</v>
      </c>
      <c r="D686" s="252">
        <f>(D615/D612)*U76</f>
        <v>1593473.8709841766</v>
      </c>
      <c r="E686" s="180">
        <f>(E623/E612)*SUM(C686:D686)</f>
        <v>3011943.771042644</v>
      </c>
      <c r="F686" s="180">
        <f>(F624/F612)*U64</f>
        <v>0</v>
      </c>
      <c r="G686" s="180">
        <f>(G625/G612)*U77</f>
        <v>0</v>
      </c>
      <c r="H686" s="180">
        <f>(H628/H612)*U60</f>
        <v>599546.52046742151</v>
      </c>
      <c r="I686" s="180">
        <f>(I629/I612)*U78</f>
        <v>288732.69776885887</v>
      </c>
      <c r="J686" s="180">
        <f>(J630/J612)*U79</f>
        <v>3629.2994802567478</v>
      </c>
      <c r="K686" s="180">
        <f>(K644/K612)*U75</f>
        <v>2391112.4235485368</v>
      </c>
      <c r="L686" s="180">
        <f>(L647/L612)*U80</f>
        <v>43143.590357960704</v>
      </c>
      <c r="M686" s="180">
        <f t="shared" si="20"/>
        <v>7931582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14006000.57</v>
      </c>
      <c r="D687" s="252">
        <f>(D615/D612)*V76</f>
        <v>316647.56636594975</v>
      </c>
      <c r="E687" s="180">
        <f>(E623/E612)*SUM(C687:D687)</f>
        <v>1892585.7606789027</v>
      </c>
      <c r="F687" s="180">
        <f>(F624/F612)*V64</f>
        <v>0</v>
      </c>
      <c r="G687" s="180">
        <f>(G625/G612)*V77</f>
        <v>0</v>
      </c>
      <c r="H687" s="180">
        <f>(H628/H612)*V60</f>
        <v>48625.428499448069</v>
      </c>
      <c r="I687" s="180">
        <f>(I629/I612)*V78</f>
        <v>57375.591620034989</v>
      </c>
      <c r="J687" s="180">
        <f>(J630/J612)*V79</f>
        <v>0</v>
      </c>
      <c r="K687" s="180">
        <f>(K644/K612)*V75</f>
        <v>1761472.5001176521</v>
      </c>
      <c r="L687" s="180">
        <f>(L647/L612)*V80</f>
        <v>42967.845650349183</v>
      </c>
      <c r="M687" s="180">
        <f t="shared" si="20"/>
        <v>4119675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252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1848614.98</v>
      </c>
      <c r="D689" s="252">
        <f>(D615/D612)*X76</f>
        <v>0</v>
      </c>
      <c r="E689" s="180">
        <f>(E623/E612)*SUM(C689:D689)</f>
        <v>244274.82647167938</v>
      </c>
      <c r="F689" s="180">
        <f>(F624/F612)*X64</f>
        <v>0</v>
      </c>
      <c r="G689" s="180">
        <f>(G625/G612)*X77</f>
        <v>0</v>
      </c>
      <c r="H689" s="180">
        <f>(H628/H612)*X60</f>
        <v>56868.914659721049</v>
      </c>
      <c r="I689" s="180">
        <f>(I629/I612)*X78</f>
        <v>0</v>
      </c>
      <c r="J689" s="180">
        <f>(J630/J612)*X79</f>
        <v>0</v>
      </c>
      <c r="K689" s="180">
        <f>(K644/K612)*X75</f>
        <v>2484641.9659452792</v>
      </c>
      <c r="L689" s="180">
        <f>(L647/L612)*X80</f>
        <v>0</v>
      </c>
      <c r="M689" s="180">
        <f t="shared" si="20"/>
        <v>2785786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14684452.969999999</v>
      </c>
      <c r="D690" s="252">
        <f>(D615/D612)*Y76</f>
        <v>4410489.2446331559</v>
      </c>
      <c r="E690" s="180">
        <f>(E623/E612)*SUM(C690:D690)</f>
        <v>2523193.7133638607</v>
      </c>
      <c r="F690" s="180">
        <f>(F624/F612)*Y64</f>
        <v>0</v>
      </c>
      <c r="G690" s="180">
        <f>(G625/G612)*Y77</f>
        <v>0</v>
      </c>
      <c r="H690" s="180">
        <f>(H628/H612)*Y60</f>
        <v>366612.33720889705</v>
      </c>
      <c r="I690" s="180">
        <f>(I629/I612)*Y78</f>
        <v>799167.45500002825</v>
      </c>
      <c r="J690" s="180">
        <f>(J630/J612)*Y79</f>
        <v>47369.49748115796</v>
      </c>
      <c r="K690" s="180">
        <f>(K644/K612)*Y75</f>
        <v>2311473.5237024738</v>
      </c>
      <c r="L690" s="180">
        <f>(L647/L612)*Y80</f>
        <v>54591.697070783695</v>
      </c>
      <c r="M690" s="180">
        <f t="shared" si="20"/>
        <v>10512897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252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1696094.2</v>
      </c>
      <c r="D692" s="252">
        <f>(D615/D612)*AA76</f>
        <v>0</v>
      </c>
      <c r="E692" s="180">
        <f>(E623/E612)*SUM(C692:D692)</f>
        <v>224120.82606007112</v>
      </c>
      <c r="F692" s="180">
        <f>(F624/F612)*AA64</f>
        <v>0</v>
      </c>
      <c r="G692" s="180">
        <f>(G625/G612)*AA77</f>
        <v>0</v>
      </c>
      <c r="H692" s="180">
        <f>(H628/H612)*AA60</f>
        <v>37232.043722814014</v>
      </c>
      <c r="I692" s="180">
        <f>(I629/I612)*AA78</f>
        <v>0</v>
      </c>
      <c r="J692" s="180">
        <f>(J630/J612)*AA79</f>
        <v>4512.6010722452174</v>
      </c>
      <c r="K692" s="180">
        <f>(K644/K612)*AA75</f>
        <v>423144.63410620106</v>
      </c>
      <c r="L692" s="180">
        <f>(L647/L612)*AA80</f>
        <v>0</v>
      </c>
      <c r="M692" s="180">
        <f t="shared" si="20"/>
        <v>689010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29155082.859999999</v>
      </c>
      <c r="D693" s="252">
        <f>(D615/D612)*AB76</f>
        <v>1591464.9287202235</v>
      </c>
      <c r="E693" s="180">
        <f>(E623/E612)*SUM(C693:D693)</f>
        <v>4062829.5815783283</v>
      </c>
      <c r="F693" s="180">
        <f>(F624/F612)*AB64</f>
        <v>0</v>
      </c>
      <c r="G693" s="180">
        <f>(G625/G612)*AB77</f>
        <v>0</v>
      </c>
      <c r="H693" s="180">
        <f>(H628/H612)*AB60</f>
        <v>521678.99579132942</v>
      </c>
      <c r="I693" s="180">
        <f>(I629/I612)*AB78</f>
        <v>288368.68344136013</v>
      </c>
      <c r="J693" s="180">
        <f>(J630/J612)*AB79</f>
        <v>0</v>
      </c>
      <c r="K693" s="180">
        <f>(K644/K612)*AB75</f>
        <v>6967955.4698524987</v>
      </c>
      <c r="L693" s="180">
        <f>(L647/L612)*AB80</f>
        <v>22451.780797523497</v>
      </c>
      <c r="M693" s="180">
        <f t="shared" si="20"/>
        <v>13454749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4473415.92</v>
      </c>
      <c r="D694" s="252">
        <f>(D615/D612)*AC76</f>
        <v>93846.302901811694</v>
      </c>
      <c r="E694" s="180">
        <f>(E623/E612)*SUM(C694:D694)</f>
        <v>603515.17163947073</v>
      </c>
      <c r="F694" s="180">
        <f>(F624/F612)*AC64</f>
        <v>0</v>
      </c>
      <c r="G694" s="180">
        <f>(G625/G612)*AC77</f>
        <v>0</v>
      </c>
      <c r="H694" s="180">
        <f>(H628/H612)*AC60</f>
        <v>155066.65858243231</v>
      </c>
      <c r="I694" s="180">
        <f>(I629/I612)*AC78</f>
        <v>17004.669298868375</v>
      </c>
      <c r="J694" s="180">
        <f>(J630/J612)*AC79</f>
        <v>0</v>
      </c>
      <c r="K694" s="180">
        <f>(K644/K612)*AC75</f>
        <v>1143569.0204872743</v>
      </c>
      <c r="L694" s="180">
        <f>(L647/L612)*AC80</f>
        <v>61.977166700651679</v>
      </c>
      <c r="M694" s="180">
        <f t="shared" si="20"/>
        <v>2013064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2321837.2499999995</v>
      </c>
      <c r="D695" s="252">
        <f>(D615/D612)*AD76</f>
        <v>1579124.2833845112</v>
      </c>
      <c r="E695" s="180">
        <f>(E623/E612)*SUM(C695:D695)</f>
        <v>515470.61554169469</v>
      </c>
      <c r="F695" s="180">
        <f>(F624/F612)*AD64</f>
        <v>0</v>
      </c>
      <c r="G695" s="180">
        <f>(G625/G612)*AD77</f>
        <v>0</v>
      </c>
      <c r="H695" s="180">
        <f>(H628/H612)*AD60</f>
        <v>5569.9230812655287</v>
      </c>
      <c r="I695" s="180">
        <f>(I629/I612)*AD78</f>
        <v>286132.59542958235</v>
      </c>
      <c r="J695" s="180">
        <f>(J630/J612)*AD79</f>
        <v>8761.1829649703777</v>
      </c>
      <c r="K695" s="180">
        <f>(K644/K612)*AD75</f>
        <v>167068.97430568378</v>
      </c>
      <c r="L695" s="180">
        <f>(L647/L612)*AD80</f>
        <v>0</v>
      </c>
      <c r="M695" s="180">
        <f t="shared" si="20"/>
        <v>2562128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4691192.8900000006</v>
      </c>
      <c r="D696" s="252">
        <f>(D615/D612)*AE76</f>
        <v>1088272.7235586236</v>
      </c>
      <c r="E696" s="180">
        <f>(E623/E612)*SUM(C696:D696)</f>
        <v>763694.96900380566</v>
      </c>
      <c r="F696" s="180">
        <f>(F624/F612)*AE64</f>
        <v>0</v>
      </c>
      <c r="G696" s="180">
        <f>(G625/G612)*AE77</f>
        <v>0</v>
      </c>
      <c r="H696" s="180">
        <f>(H628/H612)*AE60</f>
        <v>193833.32322804039</v>
      </c>
      <c r="I696" s="180">
        <f>(I629/I612)*AE78</f>
        <v>197191.76141073051</v>
      </c>
      <c r="J696" s="180">
        <f>(J630/J612)*AE79</f>
        <v>0</v>
      </c>
      <c r="K696" s="180">
        <f>(K644/K612)*AE75</f>
        <v>417979.53098984307</v>
      </c>
      <c r="L696" s="180">
        <f>(L647/L612)*AE80</f>
        <v>0</v>
      </c>
      <c r="M696" s="180">
        <f t="shared" si="20"/>
        <v>2660972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252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21230375.7234</v>
      </c>
      <c r="D698" s="252">
        <f>(D615/D612)*AG76</f>
        <v>1930689.1795763134</v>
      </c>
      <c r="E698" s="180">
        <f>(E623/E612)*SUM(C698:D698)</f>
        <v>3060488.6205530167</v>
      </c>
      <c r="F698" s="180">
        <f>(F624/F612)*AG64</f>
        <v>0</v>
      </c>
      <c r="G698" s="180">
        <f>(G625/G612)*AG77</f>
        <v>0</v>
      </c>
      <c r="H698" s="180">
        <f>(H628/H612)*AG60</f>
        <v>490936.41803582327</v>
      </c>
      <c r="I698" s="180">
        <f>(I629/I612)*AG78</f>
        <v>349835.10274185683</v>
      </c>
      <c r="J698" s="180">
        <f>(J630/J612)*AG79</f>
        <v>114136.92112863131</v>
      </c>
      <c r="K698" s="180">
        <f>(K644/K612)*AG75</f>
        <v>3069241.2152740615</v>
      </c>
      <c r="L698" s="180">
        <f>(L647/L612)*AG80</f>
        <v>478002.12099144456</v>
      </c>
      <c r="M698" s="180">
        <f t="shared" si="20"/>
        <v>9493330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252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14803782.939999998</v>
      </c>
      <c r="D700" s="252">
        <f>(D615/D612)*AI76</f>
        <v>0</v>
      </c>
      <c r="E700" s="180">
        <f>(E623/E612)*SUM(C700:D700)</f>
        <v>1956162.6125051237</v>
      </c>
      <c r="F700" s="180">
        <f>(F624/F612)*AI64</f>
        <v>0</v>
      </c>
      <c r="G700" s="180">
        <f>(G625/G612)*AI77</f>
        <v>0</v>
      </c>
      <c r="H700" s="180">
        <f>(H628/H612)*AI60</f>
        <v>763747.8529031293</v>
      </c>
      <c r="I700" s="180">
        <f>(I629/I612)*AI78</f>
        <v>0</v>
      </c>
      <c r="J700" s="180">
        <f>(J630/J612)*AI79</f>
        <v>0</v>
      </c>
      <c r="K700" s="180">
        <f>(K644/K612)*AI75</f>
        <v>1546076.1693980626</v>
      </c>
      <c r="L700" s="180">
        <f>(L647/L612)*AI80</f>
        <v>712167.45249536354</v>
      </c>
      <c r="M700" s="180">
        <f t="shared" si="20"/>
        <v>4978154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140945366.35000002</v>
      </c>
      <c r="D701" s="252">
        <f>(D615/D612)*AJ76</f>
        <v>2104893.1730362512</v>
      </c>
      <c r="E701" s="180">
        <f>(E623/E612)*SUM(C701:D701)</f>
        <v>18902571.763060357</v>
      </c>
      <c r="F701" s="180">
        <f>(F624/F612)*AJ64</f>
        <v>0</v>
      </c>
      <c r="G701" s="180">
        <f>(G625/G612)*AJ77</f>
        <v>0</v>
      </c>
      <c r="H701" s="180">
        <f>(H628/H612)*AJ60</f>
        <v>4582821.3128036512</v>
      </c>
      <c r="I701" s="180">
        <f>(I629/I612)*AJ78</f>
        <v>381400.34514067369</v>
      </c>
      <c r="J701" s="180">
        <f>(J630/J612)*AJ79</f>
        <v>8939.3162082246854</v>
      </c>
      <c r="K701" s="180">
        <f>(K644/K612)*AJ75</f>
        <v>4196924.9794835001</v>
      </c>
      <c r="L701" s="180">
        <f>(L647/L612)*AJ80</f>
        <v>1367503.8714698672</v>
      </c>
      <c r="M701" s="180">
        <f t="shared" si="20"/>
        <v>31545055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1823776.4700000002</v>
      </c>
      <c r="D702" s="252">
        <f>(D615/D612)*AK76</f>
        <v>556285.67928036186</v>
      </c>
      <c r="E702" s="180">
        <f>(E623/E612)*SUM(C702:D702)</f>
        <v>314499.9228055983</v>
      </c>
      <c r="F702" s="180">
        <f>(F624/F612)*AK64</f>
        <v>0</v>
      </c>
      <c r="G702" s="180">
        <f>(G625/G612)*AK77</f>
        <v>0</v>
      </c>
      <c r="H702" s="180">
        <f>(H628/H612)*AK60</f>
        <v>77589.028522028821</v>
      </c>
      <c r="I702" s="180">
        <f>(I629/I612)*AK78</f>
        <v>100797.30068595272</v>
      </c>
      <c r="J702" s="180">
        <f>(J630/J612)*AK79</f>
        <v>8325.3473238717015</v>
      </c>
      <c r="K702" s="180">
        <f>(K644/K612)*AK75</f>
        <v>175555.94868512618</v>
      </c>
      <c r="L702" s="180">
        <f>(L647/L612)*AK80</f>
        <v>0</v>
      </c>
      <c r="M702" s="180">
        <f t="shared" si="20"/>
        <v>1233053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591806.84999999986</v>
      </c>
      <c r="D703" s="252">
        <f>(D615/D612)*AL76</f>
        <v>399014.1991880291</v>
      </c>
      <c r="E703" s="180">
        <f>(E623/E612)*SUM(C703:D703)</f>
        <v>130926.47331836134</v>
      </c>
      <c r="F703" s="180">
        <f>(F624/F612)*AL64</f>
        <v>0</v>
      </c>
      <c r="G703" s="180">
        <f>(G625/G612)*AL77</f>
        <v>0</v>
      </c>
      <c r="H703" s="180">
        <f>(H628/H612)*AL60</f>
        <v>25510.24771219612</v>
      </c>
      <c r="I703" s="180">
        <f>(I629/I612)*AL78</f>
        <v>72300.179047482161</v>
      </c>
      <c r="J703" s="180">
        <f>(J630/J612)*AL79</f>
        <v>0</v>
      </c>
      <c r="K703" s="180">
        <f>(K644/K612)*AL75</f>
        <v>53745.034081341582</v>
      </c>
      <c r="L703" s="180">
        <f>(L647/L612)*AL80</f>
        <v>0</v>
      </c>
      <c r="M703" s="180">
        <f t="shared" si="20"/>
        <v>681496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252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252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252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513959.37</v>
      </c>
      <c r="D707" s="252">
        <f>(D615/D612)*AP76</f>
        <v>171908.05944399143</v>
      </c>
      <c r="E707" s="180">
        <f>(E623/E612)*SUM(C707:D707)</f>
        <v>90630.092865528874</v>
      </c>
      <c r="F707" s="180">
        <f>(F624/F612)*AP64</f>
        <v>0</v>
      </c>
      <c r="G707" s="180">
        <f>(G625/G612)*AP77</f>
        <v>0</v>
      </c>
      <c r="H707" s="180">
        <f>(H628/H612)*AP60</f>
        <v>11808.236932282922</v>
      </c>
      <c r="I707" s="180">
        <f>(I629/I612)*AP78</f>
        <v>31149.226024532592</v>
      </c>
      <c r="J707" s="180">
        <f>(J630/J612)*AP79</f>
        <v>36.284337095917863</v>
      </c>
      <c r="K707" s="180">
        <f>(K644/K612)*AP75</f>
        <v>65902.947852364261</v>
      </c>
      <c r="L707" s="180">
        <f>(L647/L612)*AP80</f>
        <v>10201.035970199771</v>
      </c>
      <c r="M707" s="180">
        <f t="shared" si="20"/>
        <v>381636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252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55385424.979999997</v>
      </c>
      <c r="D709" s="252">
        <f>(D615/D612)*AR76</f>
        <v>4266993.368636502</v>
      </c>
      <c r="E709" s="180">
        <f>(E623/E612)*SUM(C709:D709)</f>
        <v>7882433.2261600541</v>
      </c>
      <c r="F709" s="180">
        <f>(F624/F612)*AR64</f>
        <v>0</v>
      </c>
      <c r="G709" s="180">
        <f>(G625/G612)*AR77</f>
        <v>0</v>
      </c>
      <c r="H709" s="180">
        <f>(H628/H612)*AR60</f>
        <v>1948414.7930574946</v>
      </c>
      <c r="I709" s="180">
        <f>(I629/I612)*AR78</f>
        <v>773166.43160726305</v>
      </c>
      <c r="J709" s="180">
        <f>(J630/J612)*AR79</f>
        <v>0</v>
      </c>
      <c r="K709" s="180">
        <f>(K644/K612)*AR75</f>
        <v>1245083.034283014</v>
      </c>
      <c r="L709" s="180">
        <f>(L647/L612)*AR80</f>
        <v>1055694.4019351297</v>
      </c>
      <c r="M709" s="180">
        <f t="shared" si="20"/>
        <v>17171785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252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252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252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11892882.373459999</v>
      </c>
      <c r="D713" s="252">
        <f>(D615/D612)*AV76</f>
        <v>133355.50075955706</v>
      </c>
      <c r="E713" s="180">
        <f>(E623/E612)*SUM(C713:D713)</f>
        <v>1589139.5458843031</v>
      </c>
      <c r="F713" s="180">
        <f>(F624/F612)*AV64</f>
        <v>0</v>
      </c>
      <c r="G713" s="180">
        <f>(G625/G612)*AV77</f>
        <v>0</v>
      </c>
      <c r="H713" s="180">
        <f>(H628/H612)*AV60</f>
        <v>120978.72932508728</v>
      </c>
      <c r="I713" s="180">
        <f>(I629/I612)*AV78</f>
        <v>24163.617739676371</v>
      </c>
      <c r="J713" s="180">
        <f>(J630/J612)*AV79</f>
        <v>4875.0580047960011</v>
      </c>
      <c r="K713" s="180">
        <f>(K644/K612)*AV75</f>
        <v>5864.8196578546631</v>
      </c>
      <c r="L713" s="180">
        <f>(L647/L612)*AV80</f>
        <v>24233.117254257864</v>
      </c>
      <c r="M713" s="180">
        <f t="shared" si="20"/>
        <v>1902610</v>
      </c>
      <c r="N713" s="199" t="s">
        <v>741</v>
      </c>
    </row>
    <row r="715" spans="1:15" ht="12.6" customHeight="1" x14ac:dyDescent="0.25">
      <c r="C715" s="180">
        <f>SUM(C614:C647)+SUM(C668:C713)</f>
        <v>772066081.77051663</v>
      </c>
      <c r="D715" s="252">
        <f>SUM(D616:D647)+SUM(D668:D713)</f>
        <v>64635791.752400011</v>
      </c>
      <c r="E715" s="180">
        <f>SUM(E624:E647)+SUM(E668:E713)</f>
        <v>90112870.522843912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17066564.775810674</v>
      </c>
      <c r="I715" s="180">
        <f>SUM(I630:I647)+SUM(I668:I713)</f>
        <v>8404596.8747258503</v>
      </c>
      <c r="J715" s="180">
        <f>SUM(J631:J647)+SUM(J668:J713)</f>
        <v>1028413.9779372599</v>
      </c>
      <c r="K715" s="180">
        <f>SUM(K668:K713)</f>
        <v>55343632.845320798</v>
      </c>
      <c r="L715" s="180">
        <f>SUM(L668:L713)</f>
        <v>9362842.8397805151</v>
      </c>
      <c r="M715" s="180">
        <f>SUM(M668:M713)</f>
        <v>214520551</v>
      </c>
      <c r="N715" s="198" t="s">
        <v>742</v>
      </c>
    </row>
    <row r="716" spans="1:15" ht="12.6" customHeight="1" x14ac:dyDescent="0.25">
      <c r="C716" s="180">
        <f>CE71</f>
        <v>772066081.77051663</v>
      </c>
      <c r="D716" s="252">
        <f>D615</f>
        <v>64635791.752399996</v>
      </c>
      <c r="E716" s="180">
        <f>E623</f>
        <v>90112870.522843957</v>
      </c>
      <c r="F716" s="180">
        <f>F624</f>
        <v>0</v>
      </c>
      <c r="G716" s="180">
        <f>G625</f>
        <v>0</v>
      </c>
      <c r="H716" s="180">
        <f>H628</f>
        <v>17066564.77581067</v>
      </c>
      <c r="I716" s="180">
        <f>I629</f>
        <v>8404596.8747258503</v>
      </c>
      <c r="J716" s="180">
        <f>J630</f>
        <v>1028413.9779372599</v>
      </c>
      <c r="K716" s="180">
        <f>K644</f>
        <v>55343632.845320821</v>
      </c>
      <c r="L716" s="180">
        <f>L647</f>
        <v>9362842.8397805151</v>
      </c>
      <c r="M716" s="180">
        <f>C648</f>
        <v>214520551.71203369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St.Joseph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25242</v>
      </c>
      <c r="D9" s="14">
        <f>data!D59</f>
        <v>0</v>
      </c>
      <c r="E9" s="14">
        <f>data!E59</f>
        <v>75484</v>
      </c>
      <c r="F9" s="14">
        <f>data!F59</f>
        <v>0</v>
      </c>
      <c r="G9" s="14">
        <f>data!G59</f>
        <v>0</v>
      </c>
      <c r="H9" s="14">
        <f>data!H59</f>
        <v>6214.29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175.31244230769232</v>
      </c>
      <c r="D10" s="26">
        <f>data!D60</f>
        <v>0</v>
      </c>
      <c r="E10" s="26">
        <f>data!E60</f>
        <v>414.27</v>
      </c>
      <c r="F10" s="26">
        <f>data!F60</f>
        <v>0</v>
      </c>
      <c r="G10" s="26">
        <f>data!G60</f>
        <v>0</v>
      </c>
      <c r="H10" s="26">
        <f>data!H60</f>
        <v>41.52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15474955.470000001</v>
      </c>
      <c r="D11" s="14">
        <f>data!D61</f>
        <v>0</v>
      </c>
      <c r="E11" s="14">
        <f>data!E61</f>
        <v>33021779.859999999</v>
      </c>
      <c r="F11" s="14">
        <f>data!F61</f>
        <v>0</v>
      </c>
      <c r="G11" s="14">
        <f>data!G61</f>
        <v>0</v>
      </c>
      <c r="H11" s="14">
        <f>data!H61</f>
        <v>3544422.6700000004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4184646.1199999996</v>
      </c>
      <c r="D12" s="14">
        <f>data!D62</f>
        <v>0</v>
      </c>
      <c r="E12" s="14">
        <f>data!E62</f>
        <v>9340558.8800000027</v>
      </c>
      <c r="F12" s="14">
        <f>data!F62</f>
        <v>0</v>
      </c>
      <c r="G12" s="14">
        <f>data!G62</f>
        <v>0</v>
      </c>
      <c r="H12" s="14">
        <f>data!H62</f>
        <v>1046706.2100000002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3640872.44</v>
      </c>
      <c r="D13" s="14">
        <f>data!D63</f>
        <v>0</v>
      </c>
      <c r="E13" s="14">
        <f>data!E63</f>
        <v>46500</v>
      </c>
      <c r="F13" s="14">
        <f>data!F63</f>
        <v>0</v>
      </c>
      <c r="G13" s="14">
        <f>data!G63</f>
        <v>0</v>
      </c>
      <c r="H13" s="14">
        <f>data!H63</f>
        <v>347585.45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2673376.6900000004</v>
      </c>
      <c r="D14" s="14">
        <f>data!D64</f>
        <v>0</v>
      </c>
      <c r="E14" s="14">
        <f>data!E64</f>
        <v>3614829.4299999997</v>
      </c>
      <c r="F14" s="14">
        <f>data!F64</f>
        <v>0</v>
      </c>
      <c r="G14" s="14">
        <f>data!G64</f>
        <v>0</v>
      </c>
      <c r="H14" s="14">
        <f>data!H64</f>
        <v>35209.789999999994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3036.16</v>
      </c>
      <c r="D15" s="14">
        <f>data!D65</f>
        <v>0</v>
      </c>
      <c r="E15" s="14">
        <f>data!E65</f>
        <v>5532.6799999999994</v>
      </c>
      <c r="F15" s="14">
        <f>data!F65</f>
        <v>0</v>
      </c>
      <c r="G15" s="14">
        <f>data!G65</f>
        <v>0</v>
      </c>
      <c r="H15" s="14">
        <f>data!H65</f>
        <v>1228.7199999999998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205444.63</v>
      </c>
      <c r="D16" s="14">
        <f>data!D66</f>
        <v>0</v>
      </c>
      <c r="E16" s="14">
        <f>data!E66</f>
        <v>3072497.2115499997</v>
      </c>
      <c r="F16" s="14">
        <f>data!F66</f>
        <v>0</v>
      </c>
      <c r="G16" s="14">
        <f>data!G66</f>
        <v>170094.19945000001</v>
      </c>
      <c r="H16" s="14">
        <f>data!H66</f>
        <v>99220.95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1305755</v>
      </c>
      <c r="D17" s="14">
        <f>data!D67</f>
        <v>0</v>
      </c>
      <c r="E17" s="14">
        <f>data!E67</f>
        <v>2902651</v>
      </c>
      <c r="F17" s="14">
        <f>data!F67</f>
        <v>0</v>
      </c>
      <c r="G17" s="14">
        <f>data!G67</f>
        <v>0</v>
      </c>
      <c r="H17" s="14">
        <f>data!H67</f>
        <v>185374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14390.639999999998</v>
      </c>
      <c r="D18" s="14">
        <f>data!D68</f>
        <v>0</v>
      </c>
      <c r="E18" s="14">
        <f>data!E68</f>
        <v>9569.8800000000047</v>
      </c>
      <c r="F18" s="14">
        <f>data!F68</f>
        <v>0</v>
      </c>
      <c r="G18" s="14">
        <f>data!G68</f>
        <v>0</v>
      </c>
      <c r="H18" s="14">
        <f>data!H68</f>
        <v>1353.56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76869.239999999991</v>
      </c>
      <c r="D19" s="14">
        <f>data!D69</f>
        <v>0</v>
      </c>
      <c r="E19" s="14">
        <f>data!E69</f>
        <v>160143.25000000003</v>
      </c>
      <c r="F19" s="14">
        <f>data!F69</f>
        <v>0</v>
      </c>
      <c r="G19" s="14">
        <f>data!G69</f>
        <v>0</v>
      </c>
      <c r="H19" s="14">
        <f>data!H69</f>
        <v>13921.37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-15000</v>
      </c>
      <c r="D20" s="14">
        <f>-data!D70</f>
        <v>0</v>
      </c>
      <c r="E20" s="14">
        <f>-data!E70</f>
        <v>-13133.33</v>
      </c>
      <c r="F20" s="14">
        <f>-data!F70</f>
        <v>0</v>
      </c>
      <c r="G20" s="14">
        <f>-data!G70</f>
        <v>0</v>
      </c>
      <c r="H20" s="14">
        <f>-data!H70</f>
        <v>-8456.98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27564346.390000001</v>
      </c>
      <c r="D21" s="14">
        <f>data!D71</f>
        <v>0</v>
      </c>
      <c r="E21" s="14">
        <f>data!E71</f>
        <v>52160928.861550003</v>
      </c>
      <c r="F21" s="14">
        <f>data!F71</f>
        <v>0</v>
      </c>
      <c r="G21" s="14">
        <f>data!G71</f>
        <v>170094.19945000001</v>
      </c>
      <c r="H21" s="14">
        <f>data!H71</f>
        <v>5266565.74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10231678</v>
      </c>
      <c r="D23" s="48">
        <f>+data!M669</f>
        <v>0</v>
      </c>
      <c r="E23" s="48">
        <f>+data!M670</f>
        <v>29071609</v>
      </c>
      <c r="F23" s="48">
        <f>+data!M671</f>
        <v>0</v>
      </c>
      <c r="G23" s="48">
        <f>+data!M672</f>
        <v>22476</v>
      </c>
      <c r="H23" s="48">
        <f>+data!M673</f>
        <v>1713376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103108242.73000002</v>
      </c>
      <c r="D24" s="14">
        <f>data!D73</f>
        <v>0</v>
      </c>
      <c r="E24" s="14">
        <f>data!E73</f>
        <v>223391974.67999995</v>
      </c>
      <c r="F24" s="14">
        <f>data!F73</f>
        <v>0</v>
      </c>
      <c r="G24" s="14">
        <f>data!G73</f>
        <v>0</v>
      </c>
      <c r="H24" s="14">
        <f>data!H73</f>
        <v>19919171.980000004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426847.15</v>
      </c>
      <c r="D25" s="14">
        <f>data!D74</f>
        <v>0</v>
      </c>
      <c r="E25" s="14">
        <f>data!E74</f>
        <v>19206823.530000001</v>
      </c>
      <c r="F25" s="14">
        <f>data!F74</f>
        <v>0</v>
      </c>
      <c r="G25" s="14">
        <f>data!G74</f>
        <v>0</v>
      </c>
      <c r="H25" s="14">
        <f>data!H74</f>
        <v>1062923.55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103535089.88000003</v>
      </c>
      <c r="D26" s="14">
        <f>data!D75</f>
        <v>0</v>
      </c>
      <c r="E26" s="14">
        <f>data!E75</f>
        <v>242598798.20999995</v>
      </c>
      <c r="F26" s="14">
        <f>data!F75</f>
        <v>0</v>
      </c>
      <c r="G26" s="14">
        <f>data!G75</f>
        <v>0</v>
      </c>
      <c r="H26" s="14">
        <f>data!H75</f>
        <v>20982095.530000005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20827</v>
      </c>
      <c r="D28" s="14">
        <f>data!D76</f>
        <v>0</v>
      </c>
      <c r="E28" s="14">
        <f>data!E76</f>
        <v>104971.58749999999</v>
      </c>
      <c r="F28" s="14">
        <f>data!F76</f>
        <v>0</v>
      </c>
      <c r="G28" s="14">
        <f>data!G76</f>
        <v>0</v>
      </c>
      <c r="H28" s="14">
        <f>data!H76</f>
        <v>2001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66835</v>
      </c>
      <c r="D29" s="14">
        <f>data!D77</f>
        <v>0</v>
      </c>
      <c r="E29" s="14">
        <f>data!E77</f>
        <v>223450</v>
      </c>
      <c r="F29" s="14">
        <f>data!F77</f>
        <v>0</v>
      </c>
      <c r="G29" s="14">
        <f>data!G77</f>
        <v>0</v>
      </c>
      <c r="H29" s="14">
        <f>data!H77</f>
        <v>20222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7279.9997250898814</v>
      </c>
      <c r="D30" s="14">
        <f>data!D78</f>
        <v>0</v>
      </c>
      <c r="E30" s="14">
        <f>data!E78</f>
        <v>36692.424647920896</v>
      </c>
      <c r="F30" s="14">
        <f>data!F78</f>
        <v>0</v>
      </c>
      <c r="G30" s="14">
        <f>data!G78</f>
        <v>0</v>
      </c>
      <c r="H30" s="14">
        <f>data!H78</f>
        <v>699.44204397680198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276905.26999999996</v>
      </c>
      <c r="D31" s="14">
        <f>data!D79</f>
        <v>0</v>
      </c>
      <c r="E31" s="14">
        <f>data!E79</f>
        <v>816805.42</v>
      </c>
      <c r="F31" s="14" t="str">
        <f>data!F79</f>
        <v/>
      </c>
      <c r="G31" s="14" t="str">
        <f>data!G79</f>
        <v/>
      </c>
      <c r="H31" s="14">
        <f>data!H79</f>
        <v>26047.55</v>
      </c>
      <c r="I31" s="14" t="str">
        <f>data!I79</f>
        <v/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118.85188942307693</v>
      </c>
      <c r="D32" s="84">
        <f>data!D80</f>
        <v>0</v>
      </c>
      <c r="E32" s="84">
        <f>data!E80</f>
        <v>235.84392788461537</v>
      </c>
      <c r="F32" s="84">
        <f>data!F80</f>
        <v>0</v>
      </c>
      <c r="G32" s="84">
        <f>data!G80</f>
        <v>0</v>
      </c>
      <c r="H32" s="84">
        <f>data!H80</f>
        <v>17.554639423076924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St.Joseph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10866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19875</v>
      </c>
      <c r="I41" s="14">
        <f>data!P59</f>
        <v>1757258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52.89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140.78</v>
      </c>
      <c r="I42" s="26">
        <f>data!P60</f>
        <v>193.74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4880841.3599999994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12678471.380000001</v>
      </c>
      <c r="I43" s="14">
        <f>data!P61</f>
        <v>17801520.699999999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1299250.28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3409815.2700000005</v>
      </c>
      <c r="I44" s="14">
        <f>data!P62</f>
        <v>4612561.21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918288.31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1613325.77</v>
      </c>
      <c r="I45" s="14">
        <f>data!P63</f>
        <v>4918424.7000000011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786296.46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1498880.67</v>
      </c>
      <c r="I46" s="14">
        <f>data!P64</f>
        <v>48621250.450000197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1593.06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4141.2499999999991</v>
      </c>
      <c r="I47" s="14">
        <f>data!P65</f>
        <v>11122.660000000002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422576.01000000007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556763.72</v>
      </c>
      <c r="I48" s="14">
        <f>data!P66</f>
        <v>4718069.5893000001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209754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748838</v>
      </c>
      <c r="I49" s="14">
        <f>data!P67</f>
        <v>9978699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1042.57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187621.35</v>
      </c>
      <c r="I50" s="14">
        <f>data!P68</f>
        <v>901750.14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62882.039999999994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94611.94</v>
      </c>
      <c r="I51" s="14">
        <f>data!P69</f>
        <v>185764.20000000004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-43220.77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-51324.39</v>
      </c>
      <c r="I52" s="14">
        <f>-data!P70</f>
        <v>-2000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8539303.3199999984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20741144.960000005</v>
      </c>
      <c r="I53" s="14">
        <f>data!P71</f>
        <v>91747162.649300203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2870404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9113858</v>
      </c>
      <c r="I55" s="48">
        <f>+data!M681</f>
        <v>42094484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48143161.229999989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132666706.41</v>
      </c>
      <c r="I56" s="14">
        <f>data!P73</f>
        <v>532433330.89999998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628.8599999999999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10888246.739999998</v>
      </c>
      <c r="I57" s="14">
        <f>data!P74</f>
        <v>436226191.91000003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48143790.089999989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143554953.15000001</v>
      </c>
      <c r="I58" s="14">
        <f>data!P75</f>
        <v>968659522.80999994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2522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17618.916666666668</v>
      </c>
      <c r="I60" s="14">
        <f>data!P76</f>
        <v>89564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3618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881.55563963492978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6158.6262298801976</v>
      </c>
      <c r="I62" s="14">
        <f>data!P78</f>
        <v>31306.760233252517</v>
      </c>
    </row>
    <row r="63" spans="1:9" ht="20.100000000000001" customHeight="1" x14ac:dyDescent="0.25">
      <c r="A63" s="23">
        <v>25</v>
      </c>
      <c r="B63" s="14" t="s">
        <v>1189</v>
      </c>
      <c r="C63" s="14" t="str">
        <f>data!J79</f>
        <v/>
      </c>
      <c r="D63" s="14" t="str">
        <f>data!K79</f>
        <v/>
      </c>
      <c r="E63" s="14" t="str">
        <f>data!L79</f>
        <v/>
      </c>
      <c r="F63" s="14" t="str">
        <f>data!M79</f>
        <v/>
      </c>
      <c r="G63" s="14" t="str">
        <f>data!N79</f>
        <v/>
      </c>
      <c r="H63" s="14">
        <f>data!O79</f>
        <v>295333.21000000002</v>
      </c>
      <c r="I63" s="14">
        <f>data!P79</f>
        <v>739794.85000000009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32.354158653846149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85.221831730769239</v>
      </c>
      <c r="I64" s="26">
        <f>data!P80</f>
        <v>76.822427884615394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St.Joseph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1201215</v>
      </c>
      <c r="D73" s="48">
        <f>data!R59</f>
        <v>0</v>
      </c>
      <c r="E73" s="212"/>
      <c r="F73" s="212"/>
      <c r="G73" s="14">
        <f>data!U59</f>
        <v>1372424</v>
      </c>
      <c r="H73" s="14">
        <f>data!V59</f>
        <v>0</v>
      </c>
      <c r="I73" s="14">
        <f>data!W59</f>
        <v>7418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19.22</v>
      </c>
      <c r="D74" s="26">
        <f>data!R60</f>
        <v>0</v>
      </c>
      <c r="E74" s="26">
        <f>data!S60</f>
        <v>61.56</v>
      </c>
      <c r="F74" s="26">
        <f>data!T60</f>
        <v>13.67</v>
      </c>
      <c r="G74" s="26">
        <f>data!U60</f>
        <v>107.64</v>
      </c>
      <c r="H74" s="26">
        <f>data!V60</f>
        <v>8.73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1872427.8099999998</v>
      </c>
      <c r="D75" s="14">
        <f>data!R61</f>
        <v>0</v>
      </c>
      <c r="E75" s="14">
        <f>data!S61</f>
        <v>3074684.5699999994</v>
      </c>
      <c r="F75" s="14">
        <f>data!T61</f>
        <v>1558230.45</v>
      </c>
      <c r="G75" s="14">
        <f>data!U61</f>
        <v>7735600.3699999982</v>
      </c>
      <c r="H75" s="14">
        <f>data!V61</f>
        <v>1078529.9899999998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485552.95000000007</v>
      </c>
      <c r="D76" s="14">
        <f>data!R62</f>
        <v>0</v>
      </c>
      <c r="E76" s="14">
        <f>data!S62</f>
        <v>1148598.0500000003</v>
      </c>
      <c r="F76" s="14">
        <f>data!T62</f>
        <v>372786.55</v>
      </c>
      <c r="G76" s="14">
        <f>data!U62</f>
        <v>2283358.16</v>
      </c>
      <c r="H76" s="14">
        <f>data!V62</f>
        <v>225848.06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95688.42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138414.9</v>
      </c>
      <c r="D78" s="14">
        <f>data!R64</f>
        <v>0</v>
      </c>
      <c r="E78" s="14">
        <f>data!S64</f>
        <v>-473928.58999999985</v>
      </c>
      <c r="F78" s="14">
        <f>data!T64</f>
        <v>995925.56</v>
      </c>
      <c r="G78" s="14">
        <f>data!U64</f>
        <v>6843402.6200000001</v>
      </c>
      <c r="H78" s="14">
        <f>data!V64</f>
        <v>11893814.050000003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809.21999999999991</v>
      </c>
      <c r="D79" s="14">
        <f>data!R65</f>
        <v>0</v>
      </c>
      <c r="E79" s="14">
        <f>data!S65</f>
        <v>0</v>
      </c>
      <c r="F79" s="14">
        <f>data!T65</f>
        <v>666.87</v>
      </c>
      <c r="G79" s="14">
        <f>data!U65</f>
        <v>239097.44999999998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19207.579999999998</v>
      </c>
      <c r="D80" s="14">
        <f>data!R66</f>
        <v>0</v>
      </c>
      <c r="E80" s="14">
        <f>data!S66</f>
        <v>843496.45262254984</v>
      </c>
      <c r="F80" s="14">
        <f>data!T66</f>
        <v>-556289.41129999992</v>
      </c>
      <c r="G80" s="14">
        <f>data!U66</f>
        <v>4049407.5500000007</v>
      </c>
      <c r="H80" s="14">
        <f>data!V66</f>
        <v>407200.12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52684</v>
      </c>
      <c r="D81" s="14">
        <f>data!R67</f>
        <v>0</v>
      </c>
      <c r="E81" s="14">
        <f>data!S67</f>
        <v>332976</v>
      </c>
      <c r="F81" s="14">
        <f>data!T67</f>
        <v>28955</v>
      </c>
      <c r="G81" s="14">
        <f>data!U67</f>
        <v>750907</v>
      </c>
      <c r="H81" s="14">
        <f>data!V67</f>
        <v>399270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3100.59</v>
      </c>
      <c r="D82" s="14">
        <f>data!R68</f>
        <v>0</v>
      </c>
      <c r="E82" s="14">
        <f>data!S68</f>
        <v>11863.83</v>
      </c>
      <c r="F82" s="14">
        <f>data!T68</f>
        <v>468.12</v>
      </c>
      <c r="G82" s="14">
        <f>data!U68</f>
        <v>696025.39999999991</v>
      </c>
      <c r="H82" s="14">
        <f>data!V68</f>
        <v>667.02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14010.660000000002</v>
      </c>
      <c r="D83" s="14">
        <f>data!R69</f>
        <v>0</v>
      </c>
      <c r="E83" s="14">
        <f>data!S69</f>
        <v>166827.09999999998</v>
      </c>
      <c r="F83" s="14">
        <f>data!T69</f>
        <v>3367.4000000000005</v>
      </c>
      <c r="G83" s="14">
        <f>data!U69</f>
        <v>203088.63000000003</v>
      </c>
      <c r="H83" s="14">
        <f>data!V69</f>
        <v>3572.5099999999998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-3133.34</v>
      </c>
      <c r="G84" s="14">
        <f>-data!U70</f>
        <v>-1696360.6800000002</v>
      </c>
      <c r="H84" s="14">
        <f>-data!V70</f>
        <v>-2901.18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2586207.71</v>
      </c>
      <c r="D85" s="14">
        <f>data!R71</f>
        <v>0</v>
      </c>
      <c r="E85" s="14">
        <f>data!S71</f>
        <v>5104517.4126225486</v>
      </c>
      <c r="F85" s="14">
        <f>data!T71</f>
        <v>2400977.1987000005</v>
      </c>
      <c r="G85" s="14">
        <f>data!U71</f>
        <v>21200214.919999994</v>
      </c>
      <c r="H85" s="14">
        <f>data!V71</f>
        <v>14006000.57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1345580</v>
      </c>
      <c r="D87" s="48">
        <f>+data!M683</f>
        <v>0</v>
      </c>
      <c r="E87" s="48">
        <f>+data!M684</f>
        <v>3214794</v>
      </c>
      <c r="F87" s="48">
        <f>+data!M685</f>
        <v>725310</v>
      </c>
      <c r="G87" s="48">
        <f>+data!M686</f>
        <v>7931582</v>
      </c>
      <c r="H87" s="48">
        <f>+data!M687</f>
        <v>4119675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15198269.490000002</v>
      </c>
      <c r="D88" s="14">
        <f>data!R73</f>
        <v>0</v>
      </c>
      <c r="E88" s="14">
        <f>data!S73</f>
        <v>0</v>
      </c>
      <c r="F88" s="14">
        <f>data!T73</f>
        <v>12318367.75</v>
      </c>
      <c r="G88" s="14">
        <f>data!U73</f>
        <v>102211637.50999999</v>
      </c>
      <c r="H88" s="14">
        <f>data!V73</f>
        <v>34323895.439999998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11040690.049999999</v>
      </c>
      <c r="D89" s="14">
        <f>data!R74</f>
        <v>0</v>
      </c>
      <c r="E89" s="14">
        <f>data!S74</f>
        <v>0</v>
      </c>
      <c r="F89" s="14">
        <f>data!T74</f>
        <v>483811.59</v>
      </c>
      <c r="G89" s="14">
        <f>data!U74</f>
        <v>36947234.760000005</v>
      </c>
      <c r="H89" s="14">
        <f>data!V74</f>
        <v>68190952.560000002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26238959.539999999</v>
      </c>
      <c r="D90" s="14">
        <f>data!R75</f>
        <v>0</v>
      </c>
      <c r="E90" s="14">
        <f>data!S75</f>
        <v>0</v>
      </c>
      <c r="F90" s="14">
        <f>data!T75</f>
        <v>12802179.34</v>
      </c>
      <c r="G90" s="14">
        <f>data!U75</f>
        <v>139158872.26999998</v>
      </c>
      <c r="H90" s="14">
        <f>data!V75</f>
        <v>102514848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2369</v>
      </c>
      <c r="D92" s="14">
        <f>data!R76</f>
        <v>0</v>
      </c>
      <c r="E92" s="14">
        <f>data!S76</f>
        <v>17441</v>
      </c>
      <c r="F92" s="14">
        <f>data!T76</f>
        <v>0</v>
      </c>
      <c r="G92" s="14">
        <f>data!U76</f>
        <v>16657</v>
      </c>
      <c r="H92" s="14">
        <f>data!V76</f>
        <v>3310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63451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828.0750635587425</v>
      </c>
      <c r="D94" s="14">
        <f>data!R78</f>
        <v>0</v>
      </c>
      <c r="E94" s="14">
        <f>data!S78</f>
        <v>6096.4361264364825</v>
      </c>
      <c r="F94" s="14">
        <f>data!T78</f>
        <v>0</v>
      </c>
      <c r="G94" s="14">
        <f>data!U78</f>
        <v>5822.391867327131</v>
      </c>
      <c r="H94" s="14">
        <f>data!V78</f>
        <v>1156.9980837397372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56493.479999999996</v>
      </c>
      <c r="D95" s="14" t="str">
        <f>data!R79</f>
        <v/>
      </c>
      <c r="E95" s="14">
        <f>data!S79</f>
        <v>16508.52</v>
      </c>
      <c r="F95" s="14" t="str">
        <f>data!T79</f>
        <v/>
      </c>
      <c r="G95" s="14">
        <f>data!U79</f>
        <v>9767.33</v>
      </c>
      <c r="H95" s="14" t="str">
        <f>data!V79</f>
        <v/>
      </c>
      <c r="I95" s="14" t="str">
        <f>data!W79</f>
        <v/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13.578211538461538</v>
      </c>
      <c r="D96" s="84">
        <f>data!R80</f>
        <v>0</v>
      </c>
      <c r="E96" s="84">
        <f>data!S80</f>
        <v>0</v>
      </c>
      <c r="F96" s="84">
        <f>data!T80</f>
        <v>11.938725961538461</v>
      </c>
      <c r="G96" s="84">
        <f>data!U80</f>
        <v>4.6017596153846156</v>
      </c>
      <c r="H96" s="84">
        <f>data!V80</f>
        <v>4.5830144230769232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St.Joseph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30284</v>
      </c>
      <c r="D105" s="14">
        <f>data!Y59</f>
        <v>200111</v>
      </c>
      <c r="E105" s="14">
        <f>data!Z59</f>
        <v>0</v>
      </c>
      <c r="F105" s="14">
        <f>data!AA59</f>
        <v>6052</v>
      </c>
      <c r="G105" s="212"/>
      <c r="H105" s="14">
        <f>data!AC59</f>
        <v>63420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10.210000000000001</v>
      </c>
      <c r="D106" s="26">
        <f>data!Y60</f>
        <v>65.819999999999993</v>
      </c>
      <c r="E106" s="26">
        <f>data!Z60</f>
        <v>0</v>
      </c>
      <c r="F106" s="26">
        <f>data!AA60</f>
        <v>6.6844807692307686</v>
      </c>
      <c r="G106" s="26">
        <f>data!AB60</f>
        <v>93.66</v>
      </c>
      <c r="H106" s="26">
        <f>data!AC60</f>
        <v>27.84</v>
      </c>
      <c r="I106" s="26">
        <f>data!AD60</f>
        <v>1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992689.6</v>
      </c>
      <c r="D107" s="14">
        <f>data!Y61</f>
        <v>5762355.2599999998</v>
      </c>
      <c r="E107" s="14">
        <f>data!Z61</f>
        <v>0</v>
      </c>
      <c r="F107" s="14">
        <f>data!AA61</f>
        <v>625535.66999999993</v>
      </c>
      <c r="G107" s="14">
        <f>data!AB61</f>
        <v>9343537.5200000014</v>
      </c>
      <c r="H107" s="14">
        <f>data!AC61</f>
        <v>2481453.7800000003</v>
      </c>
      <c r="I107" s="14">
        <f>data!AD61</f>
        <v>137735.64999999997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257826.36</v>
      </c>
      <c r="D108" s="14">
        <f>data!Y62</f>
        <v>1561992.5199999998</v>
      </c>
      <c r="E108" s="14">
        <f>data!Z62</f>
        <v>0</v>
      </c>
      <c r="F108" s="14">
        <f>data!AA62</f>
        <v>166095.84999999998</v>
      </c>
      <c r="G108" s="14">
        <f>data!AB62</f>
        <v>2364282.8899999997</v>
      </c>
      <c r="H108" s="14">
        <f>data!AC62</f>
        <v>663572.39999999991</v>
      </c>
      <c r="I108" s="14">
        <f>data!AD62</f>
        <v>35956.869999999995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65835</v>
      </c>
      <c r="E109" s="14">
        <f>data!Z63</f>
        <v>0</v>
      </c>
      <c r="F109" s="14">
        <f>data!AA63</f>
        <v>0</v>
      </c>
      <c r="G109" s="14">
        <f>data!AB63</f>
        <v>11932.5</v>
      </c>
      <c r="H109" s="14">
        <f>data!AC63</f>
        <v>58313.8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320998.67</v>
      </c>
      <c r="D110" s="14">
        <f>data!Y64</f>
        <v>3902490.3899999992</v>
      </c>
      <c r="E110" s="14">
        <f>data!Z64</f>
        <v>0</v>
      </c>
      <c r="F110" s="14">
        <f>data!AA64</f>
        <v>775914.56</v>
      </c>
      <c r="G110" s="14">
        <f>data!AB64</f>
        <v>16832556.860000003</v>
      </c>
      <c r="H110" s="14">
        <f>data!AC64</f>
        <v>741924.97000000009</v>
      </c>
      <c r="I110" s="14">
        <f>data!AD64</f>
        <v>58907.3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325.64999999999998</v>
      </c>
      <c r="D111" s="14">
        <f>data!Y65</f>
        <v>6047.76</v>
      </c>
      <c r="E111" s="14">
        <f>data!Z65</f>
        <v>0</v>
      </c>
      <c r="F111" s="14">
        <f>data!AA65</f>
        <v>0</v>
      </c>
      <c r="G111" s="14">
        <f>data!AB65</f>
        <v>5431.35</v>
      </c>
      <c r="H111" s="14">
        <f>data!AC65</f>
        <v>806.59</v>
      </c>
      <c r="I111" s="14">
        <f>data!AD65</f>
        <v>3645.2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261404.14</v>
      </c>
      <c r="D112" s="14">
        <f>data!Y66</f>
        <v>2238682.38</v>
      </c>
      <c r="E112" s="14">
        <f>data!Z66</f>
        <v>0</v>
      </c>
      <c r="F112" s="14">
        <f>data!AA66</f>
        <v>121850.64999999998</v>
      </c>
      <c r="G112" s="14">
        <f>data!AB66</f>
        <v>1635495.8600000003</v>
      </c>
      <c r="H112" s="14">
        <f>data!AC66</f>
        <v>185572.84999999998</v>
      </c>
      <c r="I112" s="14">
        <f>data!AD66</f>
        <v>2352568.5499999993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14032</v>
      </c>
      <c r="D113" s="14">
        <f>data!Y67</f>
        <v>1148771</v>
      </c>
      <c r="E113" s="14">
        <f>data!Z67</f>
        <v>0</v>
      </c>
      <c r="F113" s="14">
        <f>data!AA67</f>
        <v>5426</v>
      </c>
      <c r="G113" s="14">
        <f>data!AB67</f>
        <v>781490</v>
      </c>
      <c r="H113" s="14">
        <f>data!AC67</f>
        <v>213488</v>
      </c>
      <c r="I113" s="14">
        <f>data!AD67</f>
        <v>262586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1272.5</v>
      </c>
      <c r="D114" s="14">
        <f>data!Y68</f>
        <v>32388.59</v>
      </c>
      <c r="E114" s="14">
        <f>data!Z68</f>
        <v>0</v>
      </c>
      <c r="F114" s="14">
        <f>data!AA68</f>
        <v>284.82</v>
      </c>
      <c r="G114" s="14">
        <f>data!AB68</f>
        <v>97780.739999999991</v>
      </c>
      <c r="H114" s="14">
        <f>data!AC68</f>
        <v>102933.1</v>
      </c>
      <c r="I114" s="14">
        <f>data!AD68</f>
        <v>3108.94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66.06</v>
      </c>
      <c r="D115" s="14">
        <f>data!Y69</f>
        <v>8574.8599999999988</v>
      </c>
      <c r="E115" s="14">
        <f>data!Z69</f>
        <v>0</v>
      </c>
      <c r="F115" s="14">
        <f>data!AA69</f>
        <v>986.65</v>
      </c>
      <c r="G115" s="14">
        <f>data!AB69</f>
        <v>2887788.06</v>
      </c>
      <c r="H115" s="14">
        <f>data!AC69</f>
        <v>25350.43</v>
      </c>
      <c r="I115" s="14">
        <f>data!AD69</f>
        <v>39933.18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-42684.79</v>
      </c>
      <c r="E116" s="14">
        <f>-data!Z70</f>
        <v>0</v>
      </c>
      <c r="F116" s="14">
        <f>-data!AA70</f>
        <v>0</v>
      </c>
      <c r="G116" s="14">
        <f>-data!AB70</f>
        <v>-4805212.92</v>
      </c>
      <c r="H116" s="14">
        <f>-data!AC70</f>
        <v>0</v>
      </c>
      <c r="I116" s="14">
        <f>-data!AD70</f>
        <v>-572604.43999999994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1848614.98</v>
      </c>
      <c r="D117" s="14">
        <f>data!Y71</f>
        <v>14684452.969999999</v>
      </c>
      <c r="E117" s="14">
        <f>data!Z71</f>
        <v>0</v>
      </c>
      <c r="F117" s="14">
        <f>data!AA71</f>
        <v>1696094.2</v>
      </c>
      <c r="G117" s="14">
        <f>data!AB71</f>
        <v>29155082.859999999</v>
      </c>
      <c r="H117" s="14">
        <f>data!AC71</f>
        <v>4473415.92</v>
      </c>
      <c r="I117" s="14">
        <f>data!AD71</f>
        <v>2321837.2499999995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2785786</v>
      </c>
      <c r="D119" s="48">
        <f>+data!M690</f>
        <v>10512897</v>
      </c>
      <c r="E119" s="48">
        <f>+data!M691</f>
        <v>0</v>
      </c>
      <c r="F119" s="48">
        <f>+data!M692</f>
        <v>689010</v>
      </c>
      <c r="G119" s="48">
        <f>+data!M693</f>
        <v>13454749</v>
      </c>
      <c r="H119" s="48">
        <f>+data!M694</f>
        <v>2013064</v>
      </c>
      <c r="I119" s="48">
        <f>+data!M695</f>
        <v>2562128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66736788.920000009</v>
      </c>
      <c r="D120" s="14">
        <f>data!Y73</f>
        <v>66943845.68999999</v>
      </c>
      <c r="E120" s="14">
        <f>data!Z73</f>
        <v>0</v>
      </c>
      <c r="F120" s="14">
        <f>data!AA73</f>
        <v>4121080.9699999993</v>
      </c>
      <c r="G120" s="14">
        <f>data!AB73</f>
        <v>290419303.39999998</v>
      </c>
      <c r="H120" s="14">
        <f>data!AC73</f>
        <v>58993710.18</v>
      </c>
      <c r="I120" s="14">
        <f>data!AD73</f>
        <v>9194436.0200000014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77865351.310000002</v>
      </c>
      <c r="D121" s="14">
        <f>data!Y74</f>
        <v>67580171.530000001</v>
      </c>
      <c r="E121" s="14">
        <f>data!Z74</f>
        <v>0</v>
      </c>
      <c r="F121" s="14">
        <f>data!AA74</f>
        <v>20505251.740000002</v>
      </c>
      <c r="G121" s="14">
        <f>data!AB74</f>
        <v>115104425.08</v>
      </c>
      <c r="H121" s="14">
        <f>data!AC74</f>
        <v>7560155.5800000001</v>
      </c>
      <c r="I121" s="14">
        <f>data!AD74</f>
        <v>528707.83000000007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144602140.23000002</v>
      </c>
      <c r="D122" s="14">
        <f>data!Y75</f>
        <v>134524017.22</v>
      </c>
      <c r="E122" s="14">
        <f>data!Z75</f>
        <v>0</v>
      </c>
      <c r="F122" s="14">
        <f>data!AA75</f>
        <v>24626332.710000001</v>
      </c>
      <c r="G122" s="14">
        <f>data!AB75</f>
        <v>405523728.47999996</v>
      </c>
      <c r="H122" s="14">
        <f>data!AC75</f>
        <v>66553865.759999998</v>
      </c>
      <c r="I122" s="14">
        <f>data!AD75</f>
        <v>9723143.8500000015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46104</v>
      </c>
      <c r="E124" s="14">
        <f>data!Z76</f>
        <v>0</v>
      </c>
      <c r="F124" s="14">
        <f>data!AA76</f>
        <v>0</v>
      </c>
      <c r="G124" s="14">
        <f>data!AB76</f>
        <v>16636</v>
      </c>
      <c r="H124" s="14">
        <f>data!AC76</f>
        <v>981</v>
      </c>
      <c r="I124" s="14">
        <f>data!AD76</f>
        <v>16507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16115.480257624426</v>
      </c>
      <c r="E126" s="14">
        <f>data!Z78</f>
        <v>0</v>
      </c>
      <c r="F126" s="14">
        <f>data!AA78</f>
        <v>0</v>
      </c>
      <c r="G126" s="14">
        <f>data!AB78</f>
        <v>5815.0513961009874</v>
      </c>
      <c r="H126" s="14">
        <f>data!AC78</f>
        <v>342.90487013555355</v>
      </c>
      <c r="I126" s="14">
        <f>data!AD78</f>
        <v>5769.9599299975353</v>
      </c>
    </row>
    <row r="127" spans="1:9" ht="20.100000000000001" customHeight="1" x14ac:dyDescent="0.25">
      <c r="A127" s="23">
        <v>25</v>
      </c>
      <c r="B127" s="14" t="s">
        <v>1189</v>
      </c>
      <c r="C127" s="14" t="str">
        <f>data!X79</f>
        <v/>
      </c>
      <c r="D127" s="14">
        <f>data!Y79</f>
        <v>127482.87000000001</v>
      </c>
      <c r="E127" s="14" t="str">
        <f>data!Z79</f>
        <v/>
      </c>
      <c r="F127" s="14">
        <f>data!AA79</f>
        <v>12144.51</v>
      </c>
      <c r="G127" s="14" t="str">
        <f>data!AB79</f>
        <v/>
      </c>
      <c r="H127" s="14" t="str">
        <f>data!AC79</f>
        <v/>
      </c>
      <c r="I127" s="14">
        <f>data!AD79</f>
        <v>23578.48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5.8228317307692308</v>
      </c>
      <c r="E128" s="26">
        <f>data!Z80</f>
        <v>0</v>
      </c>
      <c r="F128" s="26">
        <f>data!AA80</f>
        <v>0</v>
      </c>
      <c r="G128" s="26">
        <f>data!AB80</f>
        <v>2.394740384615385</v>
      </c>
      <c r="H128" s="26">
        <f>data!AC80</f>
        <v>6.610576923076923E-3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St.Joseph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143127</v>
      </c>
      <c r="D137" s="14">
        <f>data!AF59</f>
        <v>0</v>
      </c>
      <c r="E137" s="14">
        <f>data!AG59</f>
        <v>49565</v>
      </c>
      <c r="F137" s="14">
        <f>data!AH59</f>
        <v>0</v>
      </c>
      <c r="G137" s="14">
        <f>data!AI59</f>
        <v>14617</v>
      </c>
      <c r="H137" s="14">
        <f>data!AJ59</f>
        <v>36043</v>
      </c>
      <c r="I137" s="14">
        <f>data!AK59</f>
        <v>52005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34.799999999999997</v>
      </c>
      <c r="D138" s="26">
        <f>data!AF60</f>
        <v>0</v>
      </c>
      <c r="E138" s="26">
        <f>data!AG60</f>
        <v>88.140609999999995</v>
      </c>
      <c r="F138" s="26">
        <f>data!AH60</f>
        <v>0</v>
      </c>
      <c r="G138" s="26">
        <f>data!AI60</f>
        <v>137.12</v>
      </c>
      <c r="H138" s="26">
        <f>data!AJ60</f>
        <v>822.78</v>
      </c>
      <c r="I138" s="26">
        <f>data!AK60</f>
        <v>13.93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3356016.35</v>
      </c>
      <c r="D139" s="14">
        <f>data!AF61</f>
        <v>0</v>
      </c>
      <c r="E139" s="14">
        <f>data!AG61</f>
        <v>7022829.4900000002</v>
      </c>
      <c r="F139" s="14">
        <f>data!AH61</f>
        <v>0</v>
      </c>
      <c r="G139" s="14">
        <f>data!AI61</f>
        <v>10578525.52</v>
      </c>
      <c r="H139" s="14">
        <f>data!AJ61</f>
        <v>93652697.530000016</v>
      </c>
      <c r="I139" s="14">
        <f>data!AK61</f>
        <v>1365509.5800000003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873207.86</v>
      </c>
      <c r="D140" s="14">
        <f>data!AF62</f>
        <v>0</v>
      </c>
      <c r="E140" s="14">
        <f>data!AG62</f>
        <v>2010299.3899999997</v>
      </c>
      <c r="F140" s="14">
        <f>data!AH62</f>
        <v>0</v>
      </c>
      <c r="G140" s="14">
        <f>data!AI62</f>
        <v>3109381.26</v>
      </c>
      <c r="H140" s="14">
        <f>data!AJ62</f>
        <v>16896915.050000001</v>
      </c>
      <c r="I140" s="14">
        <f>data!AK62</f>
        <v>350358.42999999993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7086819.5700000003</v>
      </c>
      <c r="F141" s="14">
        <f>data!AH63</f>
        <v>0</v>
      </c>
      <c r="G141" s="14">
        <f>data!AI63</f>
        <v>0</v>
      </c>
      <c r="H141" s="14">
        <f>data!AJ63</f>
        <v>1959857.37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45942.380000000005</v>
      </c>
      <c r="D142" s="14">
        <f>data!AF64</f>
        <v>0</v>
      </c>
      <c r="E142" s="14">
        <f>data!AG64</f>
        <v>1608205.62</v>
      </c>
      <c r="F142" s="14">
        <f>data!AH64</f>
        <v>0</v>
      </c>
      <c r="G142" s="14">
        <f>data!AI64</f>
        <v>859121.20000000007</v>
      </c>
      <c r="H142" s="14">
        <f>data!AJ64</f>
        <v>6166694.6399999997</v>
      </c>
      <c r="I142" s="14">
        <f>data!AK64</f>
        <v>4387.9300000000012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1396.48</v>
      </c>
      <c r="D143" s="14">
        <f>data!AF65</f>
        <v>0</v>
      </c>
      <c r="E143" s="14">
        <f>data!AG65</f>
        <v>989.45</v>
      </c>
      <c r="F143" s="14">
        <f>data!AH65</f>
        <v>0</v>
      </c>
      <c r="G143" s="14">
        <f>data!AI65</f>
        <v>1738.85</v>
      </c>
      <c r="H143" s="14">
        <f>data!AJ65</f>
        <v>431194.55999999994</v>
      </c>
      <c r="I143" s="14">
        <f>data!AK65</f>
        <v>995.44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55982.900000000016</v>
      </c>
      <c r="D144" s="14">
        <f>data!AF66</f>
        <v>0</v>
      </c>
      <c r="E144" s="14">
        <f>data!AG66</f>
        <v>2346826.1134000001</v>
      </c>
      <c r="F144" s="14">
        <f>data!AH66</f>
        <v>0</v>
      </c>
      <c r="G144" s="14">
        <f>data!AI66</f>
        <v>168892.33</v>
      </c>
      <c r="H144" s="14">
        <f>data!AJ66</f>
        <v>12015378.529999999</v>
      </c>
      <c r="I144" s="14">
        <f>data!AK66</f>
        <v>5676.34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185540</v>
      </c>
      <c r="D145" s="14">
        <f>data!AF67</f>
        <v>0</v>
      </c>
      <c r="E145" s="14">
        <f>data!AG67</f>
        <v>1046781</v>
      </c>
      <c r="F145" s="14">
        <f>data!AH67</f>
        <v>0</v>
      </c>
      <c r="G145" s="14">
        <f>data!AI67</f>
        <v>31704</v>
      </c>
      <c r="H145" s="14">
        <f>data!AJ67</f>
        <v>4530386</v>
      </c>
      <c r="I145" s="14">
        <f>data!AK67</f>
        <v>90095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158579.55999999997</v>
      </c>
      <c r="D146" s="14">
        <f>data!AF68</f>
        <v>0</v>
      </c>
      <c r="E146" s="14">
        <f>data!AG68</f>
        <v>34590.449999999997</v>
      </c>
      <c r="F146" s="14">
        <f>data!AH68</f>
        <v>0</v>
      </c>
      <c r="G146" s="14">
        <f>data!AI68</f>
        <v>-4468.9000000000024</v>
      </c>
      <c r="H146" s="14">
        <f>data!AJ68</f>
        <v>8725551.6199999992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14847.359999999997</v>
      </c>
      <c r="D147" s="14">
        <f>data!AF69</f>
        <v>0</v>
      </c>
      <c r="E147" s="14">
        <f>data!AG69</f>
        <v>76167.97</v>
      </c>
      <c r="F147" s="14">
        <f>data!AH69</f>
        <v>0</v>
      </c>
      <c r="G147" s="14">
        <f>data!AI69</f>
        <v>68638.680000000022</v>
      </c>
      <c r="H147" s="14">
        <f>data!AJ69</f>
        <v>1854129.5299999998</v>
      </c>
      <c r="I147" s="14">
        <f>data!AK69</f>
        <v>6913.75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-320</v>
      </c>
      <c r="D148" s="14">
        <f>-data!AF70</f>
        <v>0</v>
      </c>
      <c r="E148" s="14">
        <f>-data!AG70</f>
        <v>-3133.33</v>
      </c>
      <c r="F148" s="14">
        <f>-data!AH70</f>
        <v>0</v>
      </c>
      <c r="G148" s="14">
        <f>-data!AI70</f>
        <v>-9750</v>
      </c>
      <c r="H148" s="14">
        <f>-data!AJ70</f>
        <v>-5287438.4800000004</v>
      </c>
      <c r="I148" s="14">
        <f>-data!AK70</f>
        <v>-160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4691192.8900000006</v>
      </c>
      <c r="D149" s="14">
        <f>data!AF71</f>
        <v>0</v>
      </c>
      <c r="E149" s="14">
        <f>data!AG71</f>
        <v>21230375.7234</v>
      </c>
      <c r="F149" s="14">
        <f>data!AH71</f>
        <v>0</v>
      </c>
      <c r="G149" s="14">
        <f>data!AI71</f>
        <v>14803782.939999998</v>
      </c>
      <c r="H149" s="14">
        <f>data!AJ71</f>
        <v>140945366.35000002</v>
      </c>
      <c r="I149" s="14">
        <f>data!AK71</f>
        <v>1823776.4700000002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2660972</v>
      </c>
      <c r="D151" s="48">
        <f>+data!M697</f>
        <v>0</v>
      </c>
      <c r="E151" s="48">
        <f>+data!M698</f>
        <v>9493330</v>
      </c>
      <c r="F151" s="48">
        <f>+data!M699</f>
        <v>0</v>
      </c>
      <c r="G151" s="48">
        <f>+data!M700</f>
        <v>4978154</v>
      </c>
      <c r="H151" s="48">
        <f>+data!M701</f>
        <v>31545055</v>
      </c>
      <c r="I151" s="48">
        <f>+data!M702</f>
        <v>1233053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8187153.1600000001</v>
      </c>
      <c r="D152" s="14">
        <f>data!AF73</f>
        <v>0</v>
      </c>
      <c r="E152" s="14">
        <f>data!AG73</f>
        <v>63076688.789999999</v>
      </c>
      <c r="F152" s="14">
        <f>data!AH73</f>
        <v>0</v>
      </c>
      <c r="G152" s="14">
        <f>data!AI73</f>
        <v>49686320.769999996</v>
      </c>
      <c r="H152" s="14">
        <f>data!AJ73</f>
        <v>59077.849999999991</v>
      </c>
      <c r="I152" s="14">
        <f>data!AK73</f>
        <v>6001370.1500000004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16138578.91</v>
      </c>
      <c r="D153" s="14">
        <f>data!AF74</f>
        <v>0</v>
      </c>
      <c r="E153" s="14">
        <f>data!AG74</f>
        <v>115548181.39</v>
      </c>
      <c r="F153" s="14">
        <f>data!AH74</f>
        <v>0</v>
      </c>
      <c r="G153" s="14">
        <f>data!AI74</f>
        <v>40292809.469999999</v>
      </c>
      <c r="H153" s="14">
        <f>data!AJ74</f>
        <v>244195161.88999999</v>
      </c>
      <c r="I153" s="14">
        <f>data!AK74</f>
        <v>4215701.87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24325732.07</v>
      </c>
      <c r="D154" s="14">
        <f>data!AF75</f>
        <v>0</v>
      </c>
      <c r="E154" s="14">
        <f>data!AG75</f>
        <v>178624870.18000001</v>
      </c>
      <c r="F154" s="14">
        <f>data!AH75</f>
        <v>0</v>
      </c>
      <c r="G154" s="14">
        <f>data!AI75</f>
        <v>89979130.239999995</v>
      </c>
      <c r="H154" s="14">
        <f>data!AJ75</f>
        <v>244254239.73999998</v>
      </c>
      <c r="I154" s="14">
        <f>data!AK75</f>
        <v>10217072.02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11376</v>
      </c>
      <c r="D156" s="14">
        <f>data!AF76</f>
        <v>0</v>
      </c>
      <c r="E156" s="14">
        <f>data!AG76</f>
        <v>20182</v>
      </c>
      <c r="F156" s="14">
        <f>data!AH76</f>
        <v>0</v>
      </c>
      <c r="G156" s="14">
        <f>data!AI76</f>
        <v>0</v>
      </c>
      <c r="H156" s="14">
        <f>data!AJ76</f>
        <v>22003</v>
      </c>
      <c r="I156" s="14">
        <f>data!AK76</f>
        <v>5815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9236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3976.4381270765107</v>
      </c>
      <c r="D158" s="14">
        <f>data!AF78</f>
        <v>0</v>
      </c>
      <c r="E158" s="14">
        <f>data!AG78</f>
        <v>7054.5423945726216</v>
      </c>
      <c r="F158" s="14">
        <f>data!AH78</f>
        <v>0</v>
      </c>
      <c r="G158" s="14">
        <f>data!AI78</f>
        <v>0</v>
      </c>
      <c r="H158" s="14">
        <f>data!AJ78</f>
        <v>7691.0661137539091</v>
      </c>
      <c r="I158" s="14">
        <f>data!AK78</f>
        <v>2032.6114371439796</v>
      </c>
    </row>
    <row r="159" spans="1:9" ht="20.100000000000001" customHeight="1" x14ac:dyDescent="0.25">
      <c r="A159" s="23">
        <v>25</v>
      </c>
      <c r="B159" s="14" t="s">
        <v>1189</v>
      </c>
      <c r="C159" s="14" t="str">
        <f>data!AE79</f>
        <v/>
      </c>
      <c r="D159" s="14" t="str">
        <f>data!AF79</f>
        <v/>
      </c>
      <c r="E159" s="14">
        <f>data!AG79</f>
        <v>307170.28999999998</v>
      </c>
      <c r="F159" s="14" t="str">
        <f>data!AH79</f>
        <v/>
      </c>
      <c r="G159" s="14" t="str">
        <f>data!AI79</f>
        <v/>
      </c>
      <c r="H159" s="14">
        <f>data!AJ79</f>
        <v>24057.88</v>
      </c>
      <c r="I159" s="14">
        <f>data!AK79</f>
        <v>22405.54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50.984418269230773</v>
      </c>
      <c r="F160" s="26">
        <f>data!AH80</f>
        <v>0</v>
      </c>
      <c r="G160" s="26">
        <f>data!AI80</f>
        <v>75.960841346153842</v>
      </c>
      <c r="H160" s="26">
        <f>data!AJ80</f>
        <v>145.86000000000001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St.Joseph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6844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1085</v>
      </c>
      <c r="H169" s="14">
        <f>data!AQ59</f>
        <v>0</v>
      </c>
      <c r="I169" s="14">
        <f>data!AR59</f>
        <v>386436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4.58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2.12</v>
      </c>
      <c r="H170" s="26">
        <f>data!AQ60</f>
        <v>0</v>
      </c>
      <c r="I170" s="26">
        <f>data!AR60</f>
        <v>349.81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413283.99999999994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460747.88</v>
      </c>
      <c r="H171" s="14">
        <f>data!AQ61</f>
        <v>0</v>
      </c>
      <c r="I171" s="14">
        <f>data!AR61</f>
        <v>29404282.200000003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110781.09999999998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52768.27</v>
      </c>
      <c r="H172" s="14">
        <f>data!AQ62</f>
        <v>0</v>
      </c>
      <c r="I172" s="14">
        <f>data!AR62</f>
        <v>8137459.4400000013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1048.01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42245.260000000009</v>
      </c>
      <c r="H174" s="14">
        <f>data!AQ64</f>
        <v>0</v>
      </c>
      <c r="I174" s="14">
        <f>data!AR64</f>
        <v>1383453.9000000001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634.53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31998.120000000003</v>
      </c>
      <c r="H175" s="14">
        <f>data!AQ65</f>
        <v>0</v>
      </c>
      <c r="I175" s="14">
        <f>data!AR65</f>
        <v>349320.73000000004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635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187531.88999999998</v>
      </c>
      <c r="H176" s="14">
        <f>data!AQ66</f>
        <v>0</v>
      </c>
      <c r="I176" s="14">
        <f>data!AR66</f>
        <v>12977747.67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61300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26606</v>
      </c>
      <c r="H177" s="14">
        <f>data!AQ67</f>
        <v>0</v>
      </c>
      <c r="I177" s="14">
        <f>data!AR67</f>
        <v>900441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161655.25</v>
      </c>
      <c r="H178" s="14">
        <f>data!AQ68</f>
        <v>0</v>
      </c>
      <c r="I178" s="14">
        <f>data!AR68</f>
        <v>1323106.3900000001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4374.21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6485.1300000000019</v>
      </c>
      <c r="H179" s="14">
        <f>data!AQ69</f>
        <v>0</v>
      </c>
      <c r="I179" s="14">
        <f>data!AR69</f>
        <v>1247918.54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-250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-456078.43000000005</v>
      </c>
      <c r="H180" s="14">
        <f>-data!AQ70</f>
        <v>0</v>
      </c>
      <c r="I180" s="14">
        <f>-data!AR70</f>
        <v>-338304.88999999996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591806.84999999986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513959.37</v>
      </c>
      <c r="H181" s="14">
        <f>data!AQ71</f>
        <v>0</v>
      </c>
      <c r="I181" s="14">
        <f>data!AR71</f>
        <v>55385424.979999997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681496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381636</v>
      </c>
      <c r="H183" s="48">
        <f>+data!M708</f>
        <v>0</v>
      </c>
      <c r="I183" s="48">
        <f>+data!M709</f>
        <v>17171785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2343972.2800000003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23382.18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783901.7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3812062.7</v>
      </c>
      <c r="H185" s="14">
        <f>data!AQ74</f>
        <v>0</v>
      </c>
      <c r="I185" s="14">
        <f>data!AR74</f>
        <v>72461817.030000001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3127873.9800000004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3835444.8800000004</v>
      </c>
      <c r="H186" s="14">
        <f>data!AQ75</f>
        <v>0</v>
      </c>
      <c r="I186" s="14">
        <f>data!AR75</f>
        <v>72461817.030000001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4171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1797</v>
      </c>
      <c r="H188" s="14">
        <f>data!AQ76</f>
        <v>0</v>
      </c>
      <c r="I188" s="14">
        <f>data!AR76</f>
        <v>44604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1457.9574040116147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628.13460920855221</v>
      </c>
      <c r="H190" s="14">
        <f>data!AQ78</f>
        <v>0</v>
      </c>
      <c r="I190" s="14">
        <f>data!AR78</f>
        <v>15591.160884328472</v>
      </c>
    </row>
    <row r="191" spans="1:9" ht="20.100000000000001" customHeight="1" x14ac:dyDescent="0.25">
      <c r="A191" s="23">
        <v>25</v>
      </c>
      <c r="B191" s="14" t="s">
        <v>1189</v>
      </c>
      <c r="C191" s="14" t="str">
        <f>data!AL79</f>
        <v/>
      </c>
      <c r="D191" s="14" t="str">
        <f>data!AM79</f>
        <v/>
      </c>
      <c r="E191" s="14" t="str">
        <f>data!AN79</f>
        <v/>
      </c>
      <c r="F191" s="14" t="str">
        <f>data!AO79</f>
        <v/>
      </c>
      <c r="G191" s="14">
        <f>data!AP79</f>
        <v>97.65</v>
      </c>
      <c r="H191" s="14" t="str">
        <f>data!AQ79</f>
        <v/>
      </c>
      <c r="I191" s="14" t="str">
        <f>data!AR79</f>
        <v/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1.0880576923076923</v>
      </c>
      <c r="H192" s="26">
        <f>data!AQ80</f>
        <v>0</v>
      </c>
      <c r="I192" s="26">
        <f>data!AR80</f>
        <v>112.60193750000001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St.Joseph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416105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21.72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1823994.17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471128.52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8024627.4500000002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519740.61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9558.4599999999991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3346249.3534599999</v>
      </c>
      <c r="G208" s="14">
        <f>data!AW66</f>
        <v>0</v>
      </c>
      <c r="H208" s="14">
        <f>data!AX66</f>
        <v>276736.07519999996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52972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816845.41999999993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951165.94999999984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-4123399.5599999996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11892882.373459999</v>
      </c>
      <c r="G213" s="14">
        <f>data!AW71</f>
        <v>0</v>
      </c>
      <c r="H213" s="14">
        <f>data!AX71</f>
        <v>276736.07519999996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1902610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97014.870000000112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244308.1400000001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341323.01000000024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1394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487.26747091637276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 t="str">
        <f>data!AS79</f>
        <v/>
      </c>
      <c r="D223" s="14" t="str">
        <f>data!AT79</f>
        <v/>
      </c>
      <c r="E223" s="14" t="str">
        <f>data!AU79</f>
        <v/>
      </c>
      <c r="F223" s="14">
        <f>data!AV79</f>
        <v>13119.97</v>
      </c>
      <c r="G223" s="14" t="str">
        <f>data!AW79</f>
        <v/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2.5847403846153849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St.Joseph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930126</v>
      </c>
      <c r="D233" s="14">
        <f>data!BA59</f>
        <v>0</v>
      </c>
      <c r="E233" s="212"/>
      <c r="F233" s="212"/>
      <c r="G233" s="212"/>
      <c r="H233" s="14">
        <f>data!BE59</f>
        <v>850148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113.94</v>
      </c>
      <c r="D234" s="26">
        <f>data!BA60</f>
        <v>5.86</v>
      </c>
      <c r="E234" s="26">
        <f>data!BB60</f>
        <v>0</v>
      </c>
      <c r="F234" s="26">
        <f>data!BC60</f>
        <v>11.32</v>
      </c>
      <c r="G234" s="26">
        <f>data!BD60</f>
        <v>0</v>
      </c>
      <c r="H234" s="26">
        <f>data!BE60</f>
        <v>19.3</v>
      </c>
      <c r="I234" s="26">
        <f>data!BF60</f>
        <v>81.48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4839545.24</v>
      </c>
      <c r="D235" s="14">
        <f>data!BA61</f>
        <v>225088.59</v>
      </c>
      <c r="E235" s="14">
        <f>data!BB61</f>
        <v>0</v>
      </c>
      <c r="F235" s="14">
        <f>data!BC61</f>
        <v>456900.00999999995</v>
      </c>
      <c r="G235" s="14">
        <f>data!BD61</f>
        <v>0</v>
      </c>
      <c r="H235" s="14">
        <f>data!BE61</f>
        <v>1291032.9099999999</v>
      </c>
      <c r="I235" s="14">
        <f>data!BF61</f>
        <v>3866548.8600000003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2083014.04</v>
      </c>
      <c r="D236" s="14">
        <f>data!BA62</f>
        <v>103901.68000000001</v>
      </c>
      <c r="E236" s="14">
        <f>data!BB62</f>
        <v>0</v>
      </c>
      <c r="F236" s="14">
        <f>data!BC62</f>
        <v>204360.47999999998</v>
      </c>
      <c r="G236" s="14">
        <f>data!BD62</f>
        <v>0</v>
      </c>
      <c r="H236" s="14">
        <f>data!BE62</f>
        <v>411137.51</v>
      </c>
      <c r="I236" s="14">
        <f>data!BF62</f>
        <v>1498020.54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3139678.91</v>
      </c>
      <c r="D238" s="14">
        <f>data!BA64</f>
        <v>14107.19</v>
      </c>
      <c r="E238" s="14">
        <f>data!BB64</f>
        <v>0</v>
      </c>
      <c r="F238" s="14">
        <f>data!BC64</f>
        <v>2054.06</v>
      </c>
      <c r="G238" s="14">
        <f>data!BD64</f>
        <v>0</v>
      </c>
      <c r="H238" s="14">
        <f>data!BE64</f>
        <v>8370.4000000000033</v>
      </c>
      <c r="I238" s="14">
        <f>data!BF64</f>
        <v>547232.71000000008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2035.88</v>
      </c>
      <c r="D239" s="14">
        <f>data!BA65</f>
        <v>0</v>
      </c>
      <c r="E239" s="14">
        <f>data!BB65</f>
        <v>0</v>
      </c>
      <c r="F239" s="14">
        <f>data!BC65</f>
        <v>102.51</v>
      </c>
      <c r="G239" s="14">
        <f>data!BD65</f>
        <v>0</v>
      </c>
      <c r="H239" s="14">
        <f>data!BE65</f>
        <v>3263454.49</v>
      </c>
      <c r="I239" s="14">
        <f>data!BF65</f>
        <v>955.02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2122057.3099999996</v>
      </c>
      <c r="D240" s="14">
        <f>data!BA66</f>
        <v>3119.02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16682406.0824</v>
      </c>
      <c r="I240" s="14">
        <f>data!BF66</f>
        <v>832307.57000000007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575092</v>
      </c>
      <c r="D241" s="14">
        <f>data!BA67</f>
        <v>62373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4124409</v>
      </c>
      <c r="I241" s="14">
        <f>data!BF67</f>
        <v>65374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100514.26</v>
      </c>
      <c r="D242" s="14">
        <f>data!BA68</f>
        <v>-15.47</v>
      </c>
      <c r="E242" s="14">
        <f>data!BB68</f>
        <v>0</v>
      </c>
      <c r="F242" s="14">
        <f>data!BC68</f>
        <v>1683.63</v>
      </c>
      <c r="G242" s="14">
        <f>data!BD68</f>
        <v>0</v>
      </c>
      <c r="H242" s="14">
        <f>data!BE68</f>
        <v>2489420.2799999993</v>
      </c>
      <c r="I242" s="14">
        <f>data!BF68</f>
        <v>9873.9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94262.040000000008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430686.08</v>
      </c>
      <c r="I243" s="14">
        <f>data!BF69</f>
        <v>4820.2599999999993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-3648038.2899999996</v>
      </c>
      <c r="D244" s="14">
        <f>-data!BA70</f>
        <v>0</v>
      </c>
      <c r="E244" s="14">
        <f>-data!BB70</f>
        <v>0</v>
      </c>
      <c r="F244" s="14">
        <f>-data!BC70</f>
        <v>-500</v>
      </c>
      <c r="G244" s="14">
        <f>-data!BD70</f>
        <v>0</v>
      </c>
      <c r="H244" s="14">
        <f>-data!BE70</f>
        <v>-649.94000000000005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9308161.3900000025</v>
      </c>
      <c r="D245" s="14">
        <f>data!BA71</f>
        <v>408574.01000000007</v>
      </c>
      <c r="E245" s="14">
        <f>data!BB71</f>
        <v>0</v>
      </c>
      <c r="F245" s="14">
        <f>data!BC71</f>
        <v>664600.69000000006</v>
      </c>
      <c r="G245" s="14">
        <f>data!BD71</f>
        <v>0</v>
      </c>
      <c r="H245" s="14">
        <f>data!BE71</f>
        <v>28700266.812399995</v>
      </c>
      <c r="I245" s="14">
        <f>data!BF71</f>
        <v>6825132.8600000003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19038.408800000001</v>
      </c>
      <c r="D252" s="85">
        <f>data!BA76</f>
        <v>4244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174493</v>
      </c>
      <c r="I252" s="85">
        <f>data!BF76</f>
        <v>2066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1483.4742801786842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St.Joseph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0.94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32292.29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17547.150000000001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243178.85999999996</v>
      </c>
      <c r="F270" s="14">
        <f>data!BJ64</f>
        <v>0</v>
      </c>
      <c r="G270" s="14">
        <f>data!BK64</f>
        <v>0</v>
      </c>
      <c r="H270" s="14">
        <f>data!BL64</f>
        <v>33372.85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335.7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1191320.3351499999</v>
      </c>
      <c r="D272" s="14">
        <f>data!BH66</f>
        <v>5189987.8909999998</v>
      </c>
      <c r="E272" s="14">
        <f>data!BI66</f>
        <v>2122.39</v>
      </c>
      <c r="F272" s="14">
        <f>data!BJ66</f>
        <v>1239152.4813499996</v>
      </c>
      <c r="G272" s="14">
        <f>data!BK66</f>
        <v>8085774.038851345</v>
      </c>
      <c r="H272" s="14">
        <f>data!BL66</f>
        <v>7747443.6987800002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19663</v>
      </c>
      <c r="F273" s="14">
        <f>data!BJ67</f>
        <v>0</v>
      </c>
      <c r="G273" s="14">
        <f>data!BK67</f>
        <v>0</v>
      </c>
      <c r="H273" s="14">
        <f>data!BL67</f>
        <v>241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15804.48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1180.19</v>
      </c>
      <c r="F275" s="14">
        <f>data!BJ69</f>
        <v>0</v>
      </c>
      <c r="G275" s="14">
        <f>data!BK69</f>
        <v>0</v>
      </c>
      <c r="H275" s="14">
        <f>data!BL69</f>
        <v>5422.31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-509705.63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1191320.3351499999</v>
      </c>
      <c r="D277" s="14">
        <f>data!BH71</f>
        <v>5189987.8909999998</v>
      </c>
      <c r="E277" s="14">
        <f>data!BI71</f>
        <v>-193721.75000000006</v>
      </c>
      <c r="F277" s="14">
        <f>data!BJ71</f>
        <v>1239152.4813499996</v>
      </c>
      <c r="G277" s="14">
        <f>data!BK71</f>
        <v>8085774.038851345</v>
      </c>
      <c r="H277" s="14">
        <f>data!BL71</f>
        <v>7802620.0387800001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1333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29293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465.94514973567067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 t="str">
        <f>data!BH79</f>
        <v/>
      </c>
      <c r="E287" s="85" t="str">
        <f>data!BI79</f>
        <v/>
      </c>
      <c r="F287" s="213" t="str">
        <f>IF(data!BJ79&gt;0,data!BJ79,"")</f>
        <v>x</v>
      </c>
      <c r="G287" s="85" t="str">
        <f>data!BK79</f>
        <v/>
      </c>
      <c r="H287" s="85" t="str">
        <f>data!BL79</f>
        <v/>
      </c>
      <c r="I287" s="85" t="str">
        <f>data!BM79</f>
        <v/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St.Joseph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72.72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3.66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6168848.7300000004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220952.77999999997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1640668.02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2458.3700000059684</v>
      </c>
      <c r="H300" s="14">
        <f>data!BS62</f>
        <v>0</v>
      </c>
      <c r="I300" s="14">
        <f>data!BT62</f>
        <v>75612.740000000005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220800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5513.4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302.35000000000002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2592.25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8680917.6969334725</v>
      </c>
      <c r="D304" s="14">
        <f>data!BO66</f>
        <v>903228.29629999993</v>
      </c>
      <c r="E304" s="14">
        <f>data!BP66</f>
        <v>4759957.9238999989</v>
      </c>
      <c r="F304" s="14">
        <f>data!BQ66</f>
        <v>0</v>
      </c>
      <c r="G304" s="14">
        <f>data!BR66</f>
        <v>3039001.8210499999</v>
      </c>
      <c r="H304" s="14">
        <f>data!BS66</f>
        <v>249573.94244999991</v>
      </c>
      <c r="I304" s="14">
        <f>data!BT66</f>
        <v>427796.48594999994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2611339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78729.649999999994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493831.0400000001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475.99</v>
      </c>
      <c r="H307" s="14">
        <f>data!BS69</f>
        <v>0</v>
      </c>
      <c r="I307" s="14">
        <f>data!BT69</f>
        <v>21148.780000000002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3645522.48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-20375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23548762.266933471</v>
      </c>
      <c r="D309" s="14">
        <f>data!BO71</f>
        <v>903228.29629999993</v>
      </c>
      <c r="E309" s="14">
        <f>data!BP71</f>
        <v>4759957.9238999989</v>
      </c>
      <c r="F309" s="14">
        <f>data!BQ71</f>
        <v>0</v>
      </c>
      <c r="G309" s="14">
        <f>data!BR71</f>
        <v>3041936.1810500063</v>
      </c>
      <c r="H309" s="14">
        <f>data!BS71</f>
        <v>249573.94244999991</v>
      </c>
      <c r="I309" s="14">
        <f>data!BT71</f>
        <v>725438.13594999991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169688.95833333331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 t="str">
        <f>data!BS79</f>
        <v/>
      </c>
      <c r="I319" s="85" t="str">
        <f>data!BT79</f>
        <v/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St.Joseph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45.1</v>
      </c>
      <c r="H330" s="26">
        <f>data!BZ60</f>
        <v>0</v>
      </c>
      <c r="I330" s="26">
        <f>data!CA60</f>
        <v>6.15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4228048.5999999996</v>
      </c>
      <c r="H331" s="86">
        <f>data!BZ61</f>
        <v>0</v>
      </c>
      <c r="I331" s="86">
        <f>data!CA61</f>
        <v>629821.42000000016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1114728.1000000001</v>
      </c>
      <c r="H332" s="86">
        <f>data!BZ62</f>
        <v>0</v>
      </c>
      <c r="I332" s="86">
        <f>data!CA62</f>
        <v>160198.82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1822.54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1926.17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148855.08905000004</v>
      </c>
      <c r="D336" s="86">
        <f>data!BV66</f>
        <v>11140089.736275665</v>
      </c>
      <c r="E336" s="86">
        <f>data!BW66</f>
        <v>2193227.9204805247</v>
      </c>
      <c r="F336" s="86">
        <f>data!BX66</f>
        <v>11463193.24275312</v>
      </c>
      <c r="G336" s="86">
        <f>data!BY66</f>
        <v>415807.94144999998</v>
      </c>
      <c r="H336" s="86">
        <f>data!BZ66</f>
        <v>0</v>
      </c>
      <c r="I336" s="86">
        <f>data!CA66</f>
        <v>1321076.8644000001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138958</v>
      </c>
      <c r="E337" s="86">
        <f>data!BW67</f>
        <v>0</v>
      </c>
      <c r="F337" s="86">
        <f>data!BX67</f>
        <v>0</v>
      </c>
      <c r="G337" s="86">
        <f>data!BY67</f>
        <v>17896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13094.04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4525.71</v>
      </c>
      <c r="H339" s="86">
        <f>data!BZ69</f>
        <v>0</v>
      </c>
      <c r="I339" s="86">
        <f>data!CA69</f>
        <v>424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148855.08905000004</v>
      </c>
      <c r="D341" s="14">
        <f>data!BV71</f>
        <v>11279047.736275665</v>
      </c>
      <c r="E341" s="14">
        <f>data!BW71</f>
        <v>2193227.9204805247</v>
      </c>
      <c r="F341" s="14">
        <f>data!BX71</f>
        <v>11463193.24275312</v>
      </c>
      <c r="G341" s="14">
        <f>data!BY71</f>
        <v>5797849.101449999</v>
      </c>
      <c r="H341" s="14">
        <f>data!BZ71</f>
        <v>0</v>
      </c>
      <c r="I341" s="14">
        <f>data!CA71</f>
        <v>2111521.1044000005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9455</v>
      </c>
      <c r="E348" s="85">
        <f>data!BW76</f>
        <v>0</v>
      </c>
      <c r="F348" s="85">
        <f>data!BX76</f>
        <v>0</v>
      </c>
      <c r="G348" s="85">
        <f>data!BY76</f>
        <v>978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3304.9597830088264</v>
      </c>
      <c r="E350" s="85">
        <f>data!BW78</f>
        <v>0</v>
      </c>
      <c r="F350" s="85">
        <f>data!BX78</f>
        <v>0</v>
      </c>
      <c r="G350" s="85">
        <f>data!BY78</f>
        <v>341.8562313889617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 t="str">
        <f>data!BU79</f>
        <v/>
      </c>
      <c r="D351" s="85" t="str">
        <f>data!BV79</f>
        <v/>
      </c>
      <c r="E351" s="85" t="str">
        <f>data!BW79</f>
        <v/>
      </c>
      <c r="F351" s="85" t="str">
        <f>data!BX79</f>
        <v/>
      </c>
      <c r="G351" s="85" t="str">
        <f>data!BY79</f>
        <v/>
      </c>
      <c r="H351" s="85" t="str">
        <f>data!BZ79</f>
        <v/>
      </c>
      <c r="I351" s="85" t="str">
        <f>data!CA79</f>
        <v/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St.Joseph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1.03</v>
      </c>
      <c r="D362" s="26">
        <f>data!CC60</f>
        <v>0.02</v>
      </c>
      <c r="E362" s="217"/>
      <c r="F362" s="211"/>
      <c r="G362" s="211"/>
      <c r="H362" s="211"/>
      <c r="I362" s="87">
        <f>data!CE60</f>
        <v>3271.0675330769232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75731.930000000008</v>
      </c>
      <c r="D363" s="86">
        <f>data!CC61</f>
        <v>2045939.07</v>
      </c>
      <c r="E363" s="218"/>
      <c r="F363" s="219"/>
      <c r="G363" s="219"/>
      <c r="H363" s="219"/>
      <c r="I363" s="86">
        <f>data!CE61</f>
        <v>294223409.26000011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22849.369999999995</v>
      </c>
      <c r="D364" s="86">
        <f>data!CC62</f>
        <v>150931.45000000001</v>
      </c>
      <c r="E364" s="218"/>
      <c r="F364" s="219"/>
      <c r="G364" s="219"/>
      <c r="H364" s="219"/>
      <c r="I364" s="86">
        <f>data!CE62</f>
        <v>72957136.220000029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27461.57</v>
      </c>
      <c r="E365" s="218"/>
      <c r="F365" s="219"/>
      <c r="G365" s="219"/>
      <c r="H365" s="219"/>
      <c r="I365" s="86">
        <f>data!CE63</f>
        <v>29036332.350000001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1668.7200000000003</v>
      </c>
      <c r="D366" s="86">
        <f>data!CC64</f>
        <v>11537.1</v>
      </c>
      <c r="E366" s="218"/>
      <c r="F366" s="219"/>
      <c r="G366" s="219"/>
      <c r="H366" s="219"/>
      <c r="I366" s="86">
        <f>data!CE64</f>
        <v>113899943.42000021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24.299999999999997</v>
      </c>
      <c r="E367" s="218"/>
      <c r="F367" s="219"/>
      <c r="G367" s="219"/>
      <c r="H367" s="219"/>
      <c r="I367" s="86">
        <f>data!CE65</f>
        <v>4382737.5599999996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159829.70585</v>
      </c>
      <c r="D368" s="86">
        <f>data!CC66</f>
        <v>41620756.132459573</v>
      </c>
      <c r="E368" s="218"/>
      <c r="F368" s="219"/>
      <c r="G368" s="219"/>
      <c r="H368" s="219"/>
      <c r="I368" s="86">
        <f>data!CE66</f>
        <v>181803922.85051626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</v>
      </c>
      <c r="E369" s="218"/>
      <c r="F369" s="219"/>
      <c r="G369" s="219"/>
      <c r="H369" s="219"/>
      <c r="I369" s="86">
        <f>data!CE67</f>
        <v>33862828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21.46</v>
      </c>
      <c r="D370" s="86">
        <f>data!CC68</f>
        <v>8175.0300000000007</v>
      </c>
      <c r="E370" s="218"/>
      <c r="F370" s="219"/>
      <c r="G370" s="219"/>
      <c r="H370" s="219"/>
      <c r="I370" s="86">
        <f>data!CE68</f>
        <v>15998782.84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14720.68</v>
      </c>
      <c r="D371" s="86">
        <f>data!CC69</f>
        <v>-1150795.1700000002</v>
      </c>
      <c r="E371" s="86">
        <f>data!CD69</f>
        <v>35935524.939999998</v>
      </c>
      <c r="F371" s="219"/>
      <c r="G371" s="219"/>
      <c r="H371" s="219"/>
      <c r="I371" s="86">
        <f>data!CE69</f>
        <v>44034625.549999997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-125022.39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-18133636.280000001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149799.47584999999</v>
      </c>
      <c r="D373" s="86">
        <f>data!CC71</f>
        <v>42714031.482459575</v>
      </c>
      <c r="E373" s="86">
        <f>data!CD71</f>
        <v>35935524.939999998</v>
      </c>
      <c r="F373" s="219"/>
      <c r="G373" s="219"/>
      <c r="H373" s="219"/>
      <c r="I373" s="14">
        <f>data!CE71</f>
        <v>772066081.77051663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1849598903.3499999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1371310936.8700001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3220909840.2200003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 t="str">
        <f>data!CC76</f>
        <v/>
      </c>
      <c r="E380" s="214"/>
      <c r="F380" s="211"/>
      <c r="G380" s="211"/>
      <c r="H380" s="211"/>
      <c r="I380" s="14">
        <f>data!CE76</f>
        <v>850147.8713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416105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169481.52000000002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2767712.82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998.65476442307704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C59" sqref="C5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55147027.710000001</v>
      </c>
      <c r="C47" s="184">
        <v>3928891.4499999997</v>
      </c>
      <c r="D47" s="184">
        <v>0</v>
      </c>
      <c r="E47" s="184">
        <v>8122528.04</v>
      </c>
      <c r="F47" s="184">
        <v>0</v>
      </c>
      <c r="G47" s="184">
        <v>841966.14</v>
      </c>
      <c r="H47" s="184">
        <v>1011615.66</v>
      </c>
      <c r="I47" s="184">
        <v>0</v>
      </c>
      <c r="J47" s="184">
        <v>1175046.77</v>
      </c>
      <c r="K47" s="184">
        <v>0</v>
      </c>
      <c r="L47" s="184">
        <v>0</v>
      </c>
      <c r="M47" s="184">
        <v>0</v>
      </c>
      <c r="N47" s="184">
        <v>0</v>
      </c>
      <c r="O47" s="184">
        <v>3097922.14</v>
      </c>
      <c r="P47" s="184">
        <v>4361568</v>
      </c>
      <c r="Q47" s="184">
        <v>486072.8</v>
      </c>
      <c r="R47" s="184">
        <v>0</v>
      </c>
      <c r="S47" s="184">
        <v>1072821.77</v>
      </c>
      <c r="T47" s="184">
        <v>372732.85</v>
      </c>
      <c r="U47" s="184">
        <v>3518884.94</v>
      </c>
      <c r="V47" s="184">
        <v>137606.6</v>
      </c>
      <c r="W47" s="184">
        <v>0</v>
      </c>
      <c r="X47" s="184">
        <v>209508.16</v>
      </c>
      <c r="Y47" s="184">
        <v>1466557.78</v>
      </c>
      <c r="Z47" s="184">
        <v>0</v>
      </c>
      <c r="AA47" s="184">
        <v>134126.51</v>
      </c>
      <c r="AB47" s="184">
        <v>2196460.5699999998</v>
      </c>
      <c r="AC47" s="184">
        <v>664070.37</v>
      </c>
      <c r="AD47" s="184">
        <v>30555.42</v>
      </c>
      <c r="AE47" s="184">
        <v>949242.70000000007</v>
      </c>
      <c r="AF47" s="184">
        <v>0</v>
      </c>
      <c r="AG47" s="184">
        <v>2268822.9899999998</v>
      </c>
      <c r="AH47" s="184">
        <v>0</v>
      </c>
      <c r="AI47" s="184">
        <v>2974660.7199999997</v>
      </c>
      <c r="AJ47" s="184">
        <v>884109.18</v>
      </c>
      <c r="AK47" s="184">
        <v>465666.99</v>
      </c>
      <c r="AL47" s="184">
        <v>128711.48999999999</v>
      </c>
      <c r="AM47" s="184">
        <v>0</v>
      </c>
      <c r="AN47" s="184">
        <v>0</v>
      </c>
      <c r="AO47" s="184">
        <v>0</v>
      </c>
      <c r="AP47" s="184">
        <v>70823.38</v>
      </c>
      <c r="AQ47" s="184">
        <v>0</v>
      </c>
      <c r="AR47" s="184">
        <v>7068820.2699999996</v>
      </c>
      <c r="AS47" s="184">
        <v>0</v>
      </c>
      <c r="AT47" s="184">
        <v>0</v>
      </c>
      <c r="AU47" s="184">
        <v>0</v>
      </c>
      <c r="AV47" s="184">
        <v>697991.58000000007</v>
      </c>
      <c r="AW47" s="184">
        <v>0</v>
      </c>
      <c r="AX47" s="184">
        <v>0</v>
      </c>
      <c r="AY47" s="184">
        <v>0</v>
      </c>
      <c r="AZ47" s="184">
        <v>1973853.99</v>
      </c>
      <c r="BA47" s="184">
        <v>67915.92</v>
      </c>
      <c r="BB47" s="184">
        <v>0</v>
      </c>
      <c r="BC47" s="184">
        <v>433487.64</v>
      </c>
      <c r="BD47" s="184">
        <v>0</v>
      </c>
      <c r="BE47" s="184">
        <v>391564.62</v>
      </c>
      <c r="BF47" s="184">
        <v>1465667.6</v>
      </c>
      <c r="BG47" s="184">
        <v>0</v>
      </c>
      <c r="BH47" s="184">
        <v>0</v>
      </c>
      <c r="BI47" s="184">
        <v>48024.44</v>
      </c>
      <c r="BJ47" s="184">
        <v>0</v>
      </c>
      <c r="BK47" s="184">
        <v>0</v>
      </c>
      <c r="BL47" s="184">
        <v>0</v>
      </c>
      <c r="BM47" s="184">
        <v>0</v>
      </c>
      <c r="BN47" s="184">
        <v>1371019.9100000001</v>
      </c>
      <c r="BO47" s="184">
        <v>0</v>
      </c>
      <c r="BP47" s="184">
        <v>0</v>
      </c>
      <c r="BQ47" s="184">
        <v>0</v>
      </c>
      <c r="BR47" s="184">
        <v>13.159999996190891</v>
      </c>
      <c r="BS47" s="184">
        <v>0</v>
      </c>
      <c r="BT47" s="184">
        <v>71137.430000000008</v>
      </c>
      <c r="BU47" s="184">
        <v>0</v>
      </c>
      <c r="BV47" s="184">
        <v>0</v>
      </c>
      <c r="BW47" s="184">
        <v>0</v>
      </c>
      <c r="BX47" s="184">
        <v>0</v>
      </c>
      <c r="BY47" s="184">
        <v>928071.16999999993</v>
      </c>
      <c r="BZ47" s="184">
        <v>0</v>
      </c>
      <c r="CA47" s="184">
        <v>162869.93</v>
      </c>
      <c r="CB47" s="184">
        <v>24742.3</v>
      </c>
      <c r="CC47" s="184">
        <v>-129125.67000000001</v>
      </c>
      <c r="CD47" s="195"/>
      <c r="CE47" s="195">
        <f>SUM(C47:CC47)</f>
        <v>55147027.710000008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55147027.710000001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25742696.100000001</v>
      </c>
      <c r="C51" s="184">
        <v>416549.85000000003</v>
      </c>
      <c r="D51" s="184">
        <v>0</v>
      </c>
      <c r="E51" s="184">
        <v>1159205.31</v>
      </c>
      <c r="F51" s="184">
        <v>0</v>
      </c>
      <c r="G51" s="184">
        <v>66498.179999999993</v>
      </c>
      <c r="H51" s="184">
        <v>155966.28</v>
      </c>
      <c r="I51" s="184">
        <v>0</v>
      </c>
      <c r="J51" s="184">
        <v>181705.84</v>
      </c>
      <c r="K51" s="184">
        <v>0</v>
      </c>
      <c r="L51" s="184">
        <v>0</v>
      </c>
      <c r="M51" s="184">
        <v>0</v>
      </c>
      <c r="N51" s="184">
        <v>0</v>
      </c>
      <c r="O51" s="184">
        <v>466960.95</v>
      </c>
      <c r="P51" s="184">
        <v>7285355.0800000001</v>
      </c>
      <c r="Q51" s="184">
        <v>31322.959999999999</v>
      </c>
      <c r="R51" s="184">
        <v>0</v>
      </c>
      <c r="S51" s="184">
        <v>92679.510000000009</v>
      </c>
      <c r="T51" s="184">
        <v>16083.83</v>
      </c>
      <c r="U51" s="184">
        <v>315306.96000000002</v>
      </c>
      <c r="V51" s="184">
        <v>159591.91999999998</v>
      </c>
      <c r="W51" s="184">
        <v>0</v>
      </c>
      <c r="X51" s="184">
        <v>4648.8599999999997</v>
      </c>
      <c r="Y51" s="184">
        <v>346960.97999999992</v>
      </c>
      <c r="Z51" s="184">
        <v>0</v>
      </c>
      <c r="AA51" s="184">
        <v>3950.91</v>
      </c>
      <c r="AB51" s="184">
        <v>551299.18000000017</v>
      </c>
      <c r="AC51" s="184">
        <v>140061.01999999999</v>
      </c>
      <c r="AD51" s="184">
        <v>328.93</v>
      </c>
      <c r="AE51" s="184">
        <v>17672.96</v>
      </c>
      <c r="AF51" s="184">
        <v>0</v>
      </c>
      <c r="AG51" s="184">
        <v>405605.26</v>
      </c>
      <c r="AH51" s="184">
        <v>0</v>
      </c>
      <c r="AI51" s="184">
        <v>25317.87</v>
      </c>
      <c r="AJ51" s="184">
        <v>154727.11000000002</v>
      </c>
      <c r="AK51" s="184">
        <v>4944.8100000000004</v>
      </c>
      <c r="AL51" s="184">
        <v>0</v>
      </c>
      <c r="AM51" s="184">
        <v>0</v>
      </c>
      <c r="AN51" s="184">
        <v>0</v>
      </c>
      <c r="AO51" s="184">
        <v>0</v>
      </c>
      <c r="AP51" s="184">
        <v>195.73</v>
      </c>
      <c r="AQ51" s="184">
        <v>0</v>
      </c>
      <c r="AR51" s="184">
        <v>257012.12000000002</v>
      </c>
      <c r="AS51" s="184">
        <v>0</v>
      </c>
      <c r="AT51" s="184">
        <v>0</v>
      </c>
      <c r="AU51" s="184">
        <v>0</v>
      </c>
      <c r="AV51" s="184">
        <v>36185.279999999999</v>
      </c>
      <c r="AW51" s="184">
        <v>0</v>
      </c>
      <c r="AX51" s="184">
        <v>0</v>
      </c>
      <c r="AY51" s="184">
        <v>0</v>
      </c>
      <c r="AZ51" s="184">
        <v>261102.84999999998</v>
      </c>
      <c r="BA51" s="184">
        <v>0</v>
      </c>
      <c r="BB51" s="184">
        <v>0</v>
      </c>
      <c r="BC51" s="184">
        <v>0</v>
      </c>
      <c r="BD51" s="184">
        <v>0</v>
      </c>
      <c r="BE51" s="184">
        <v>1021670.98</v>
      </c>
      <c r="BF51" s="184">
        <v>35905.56</v>
      </c>
      <c r="BG51" s="184">
        <v>0</v>
      </c>
      <c r="BH51" s="184">
        <v>0</v>
      </c>
      <c r="BI51" s="184">
        <v>71.650000000000006</v>
      </c>
      <c r="BJ51" s="184">
        <v>0</v>
      </c>
      <c r="BK51" s="184">
        <v>0</v>
      </c>
      <c r="BL51" s="184">
        <v>241.48</v>
      </c>
      <c r="BM51" s="184">
        <v>0</v>
      </c>
      <c r="BN51" s="184">
        <v>22252.84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123446.44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13760829.49</v>
      </c>
    </row>
    <row r="52" spans="1:84" ht="12.6" customHeight="1" x14ac:dyDescent="0.25">
      <c r="A52" s="171" t="s">
        <v>208</v>
      </c>
      <c r="B52" s="184">
        <v>11981869.610000001</v>
      </c>
      <c r="C52" s="195">
        <f>ROUND((B52/(CE76+CF76)*C76),0)</f>
        <v>280706</v>
      </c>
      <c r="D52" s="195">
        <f>ROUND((B52/(CE76+CF76)*D76),0)</f>
        <v>0</v>
      </c>
      <c r="E52" s="195">
        <f>ROUND((B52/(CE76+CF76)*E76),0)</f>
        <v>1266595</v>
      </c>
      <c r="F52" s="195">
        <f>ROUND((B52/(CE76+CF76)*F76),0)</f>
        <v>0</v>
      </c>
      <c r="G52" s="195">
        <f>ROUND((B52/(CE76+CF76)*G76),0)</f>
        <v>273617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33992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237469</v>
      </c>
      <c r="P52" s="195">
        <f>ROUND((B52/(CE76+CF76)*P76),0)</f>
        <v>1186360</v>
      </c>
      <c r="Q52" s="195">
        <f>ROUND((B52/(CE76+CF76)*Q76),0)</f>
        <v>31929</v>
      </c>
      <c r="R52" s="195">
        <f>ROUND((B52/(CE76+CF76)*R76),0)</f>
        <v>0</v>
      </c>
      <c r="S52" s="195">
        <f>ROUND((B52/(CE76+CF76)*S76),0)</f>
        <v>235070</v>
      </c>
      <c r="T52" s="195">
        <f>ROUND((B52/(CE76+CF76)*T76),0)</f>
        <v>0</v>
      </c>
      <c r="U52" s="195">
        <f>ROUND((B52/(CE76+CF76)*U76),0)</f>
        <v>253845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626781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258643</v>
      </c>
      <c r="AC52" s="195">
        <f>ROUND((B52/(CE76+CF76)*AC76),0)</f>
        <v>13222</v>
      </c>
      <c r="AD52" s="195">
        <f>ROUND((B52/(CE76+CF76)*AD76),0)</f>
        <v>542125</v>
      </c>
      <c r="AE52" s="195">
        <f>ROUND((B52/(CE76+CF76)*AE76),0)</f>
        <v>175133</v>
      </c>
      <c r="AF52" s="195">
        <f>ROUND((B52/(CE76+CF76)*AF76),0)</f>
        <v>0</v>
      </c>
      <c r="AG52" s="195">
        <f>ROUND((B52/(CE76+CF76)*AG76),0)</f>
        <v>272013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283294</v>
      </c>
      <c r="AK52" s="195">
        <f>ROUND((B52/(CE76+CF76)*AK76),0)</f>
        <v>78375</v>
      </c>
      <c r="AL52" s="195">
        <f>ROUND((B52/(CE76+CF76)*AL76),0)</f>
        <v>56217</v>
      </c>
      <c r="AM52" s="195">
        <f>ROUND((B52/(CE76+CF76)*AM76),0)</f>
        <v>0</v>
      </c>
      <c r="AN52" s="195">
        <f>ROUND((B52/(CE76+CF76)*AN76),0)</f>
        <v>44612</v>
      </c>
      <c r="AO52" s="195">
        <f>ROUND((B52/(CE76+CF76)*AO76),0)</f>
        <v>0</v>
      </c>
      <c r="AP52" s="195">
        <f>ROUND((B52/(CE76+CF76)*AP76),0)</f>
        <v>23034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18788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256594</v>
      </c>
      <c r="BA52" s="195">
        <f>ROUND((B52/(CE76+CF76)*BA76),0)</f>
        <v>57201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2351816</v>
      </c>
      <c r="BF52" s="195">
        <f>ROUND((B52/(CE76+CF76)*BF76),0)</f>
        <v>27846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17966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2712905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225109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127434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13181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11981872</v>
      </c>
    </row>
    <row r="53" spans="1:84" ht="12.6" customHeight="1" x14ac:dyDescent="0.25">
      <c r="A53" s="175" t="s">
        <v>206</v>
      </c>
      <c r="B53" s="195">
        <f>B51+B52</f>
        <v>37724565.710000001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f>18014+7419</f>
        <v>25433</v>
      </c>
      <c r="D59" s="184"/>
      <c r="E59" s="184">
        <f>72116</f>
        <v>72116</v>
      </c>
      <c r="F59" s="184"/>
      <c r="G59" s="184">
        <f>5646</f>
        <v>5646</v>
      </c>
      <c r="H59" s="184">
        <f>7563</f>
        <v>7563</v>
      </c>
      <c r="I59" s="184"/>
      <c r="J59" s="184">
        <f>8477+2411</f>
        <v>10888</v>
      </c>
      <c r="K59" s="184"/>
      <c r="L59" s="184"/>
      <c r="M59" s="184"/>
      <c r="N59" s="184"/>
      <c r="O59" s="184">
        <f>19960</f>
        <v>19960</v>
      </c>
      <c r="P59" s="185">
        <f>2611928</f>
        <v>2611928</v>
      </c>
      <c r="Q59" s="185">
        <f>1201215</f>
        <v>1201215</v>
      </c>
      <c r="R59" s="185"/>
      <c r="S59" s="248"/>
      <c r="T59" s="248"/>
      <c r="U59" s="224">
        <v>2875360</v>
      </c>
      <c r="V59" s="185"/>
      <c r="W59" s="185"/>
      <c r="X59" s="185">
        <v>25118</v>
      </c>
      <c r="Y59" s="185">
        <v>210018</v>
      </c>
      <c r="Z59" s="185"/>
      <c r="AA59" s="185">
        <v>4861</v>
      </c>
      <c r="AB59" s="248"/>
      <c r="AC59" s="185">
        <v>65948</v>
      </c>
      <c r="AD59" s="185"/>
      <c r="AE59" s="185">
        <v>164091</v>
      </c>
      <c r="AF59" s="185"/>
      <c r="AG59" s="185">
        <v>50081</v>
      </c>
      <c r="AH59" s="185"/>
      <c r="AI59" s="185">
        <v>14940</v>
      </c>
      <c r="AJ59" s="185">
        <v>25537</v>
      </c>
      <c r="AK59" s="185">
        <v>74450</v>
      </c>
      <c r="AL59" s="185">
        <v>8770</v>
      </c>
      <c r="AM59" s="185"/>
      <c r="AN59" s="185"/>
      <c r="AO59" s="185"/>
      <c r="AP59" s="185">
        <v>888</v>
      </c>
      <c r="AQ59" s="185"/>
      <c r="AR59" s="185">
        <v>385162</v>
      </c>
      <c r="AS59" s="185"/>
      <c r="AT59" s="185"/>
      <c r="AU59" s="185"/>
      <c r="AV59" s="248"/>
      <c r="AW59" s="248"/>
      <c r="AX59" s="248"/>
      <c r="AY59" s="185">
        <v>577277</v>
      </c>
      <c r="AZ59" s="185">
        <f>2034043-577277</f>
        <v>1456766</v>
      </c>
      <c r="BA59" s="248"/>
      <c r="BB59" s="248"/>
      <c r="BC59" s="248"/>
      <c r="BD59" s="248"/>
      <c r="BE59" s="185">
        <v>888995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174.56</v>
      </c>
      <c r="D60" s="187"/>
      <c r="E60" s="187">
        <v>400.98</v>
      </c>
      <c r="F60" s="223"/>
      <c r="G60" s="187">
        <v>37.57</v>
      </c>
      <c r="H60" s="187">
        <v>45.52</v>
      </c>
      <c r="I60" s="187"/>
      <c r="J60" s="223">
        <v>51.03</v>
      </c>
      <c r="K60" s="187"/>
      <c r="L60" s="187"/>
      <c r="M60" s="187"/>
      <c r="N60" s="187"/>
      <c r="O60" s="187">
        <v>135.47</v>
      </c>
      <c r="P60" s="221">
        <v>193.61</v>
      </c>
      <c r="Q60" s="221">
        <v>20.22</v>
      </c>
      <c r="R60" s="221"/>
      <c r="S60" s="221">
        <v>61.61</v>
      </c>
      <c r="T60" s="221">
        <v>14.18</v>
      </c>
      <c r="U60" s="221">
        <v>185.44</v>
      </c>
      <c r="V60" s="221">
        <v>5.22</v>
      </c>
      <c r="W60" s="221"/>
      <c r="X60" s="221">
        <v>9.01</v>
      </c>
      <c r="Y60" s="221">
        <v>65.73</v>
      </c>
      <c r="Z60" s="221"/>
      <c r="AA60" s="221">
        <v>5.45</v>
      </c>
      <c r="AB60" s="221">
        <v>93.75</v>
      </c>
      <c r="AC60" s="221">
        <v>30.05</v>
      </c>
      <c r="AD60" s="221">
        <v>1</v>
      </c>
      <c r="AE60" s="221">
        <v>39.950000000000003</v>
      </c>
      <c r="AF60" s="221"/>
      <c r="AG60" s="221">
        <v>86.47</v>
      </c>
      <c r="AH60" s="221"/>
      <c r="AI60" s="221">
        <v>138.37</v>
      </c>
      <c r="AJ60" s="221">
        <v>38.630000000000003</v>
      </c>
      <c r="AK60" s="221">
        <v>19.37</v>
      </c>
      <c r="AL60" s="221">
        <v>5.71</v>
      </c>
      <c r="AM60" s="221"/>
      <c r="AN60" s="221"/>
      <c r="AO60" s="221"/>
      <c r="AP60" s="221">
        <v>2.92</v>
      </c>
      <c r="AQ60" s="221"/>
      <c r="AR60" s="221">
        <v>323.83</v>
      </c>
      <c r="AS60" s="221"/>
      <c r="AT60" s="221"/>
      <c r="AU60" s="221"/>
      <c r="AV60" s="221">
        <f>28.88+3.48</f>
        <v>32.36</v>
      </c>
      <c r="AW60" s="221"/>
      <c r="AX60" s="221"/>
      <c r="AY60" s="221"/>
      <c r="AZ60" s="221">
        <v>115.19</v>
      </c>
      <c r="BA60" s="221">
        <v>4.09</v>
      </c>
      <c r="BB60" s="221"/>
      <c r="BC60" s="221">
        <v>25.48</v>
      </c>
      <c r="BD60" s="221"/>
      <c r="BE60" s="221">
        <v>19.829999999999998</v>
      </c>
      <c r="BF60" s="221">
        <v>85.25</v>
      </c>
      <c r="BG60" s="221"/>
      <c r="BH60" s="221"/>
      <c r="BI60" s="221">
        <v>2.83</v>
      </c>
      <c r="BJ60" s="221"/>
      <c r="BK60" s="221"/>
      <c r="BL60" s="221"/>
      <c r="BM60" s="221"/>
      <c r="BN60" s="221">
        <v>65.08</v>
      </c>
      <c r="BO60" s="221"/>
      <c r="BP60" s="221"/>
      <c r="BQ60" s="221"/>
      <c r="BR60" s="221"/>
      <c r="BS60" s="221"/>
      <c r="BT60" s="221">
        <v>3.53</v>
      </c>
      <c r="BU60" s="221"/>
      <c r="BV60" s="221"/>
      <c r="BW60" s="221"/>
      <c r="BX60" s="221"/>
      <c r="BY60" s="221">
        <v>39.54</v>
      </c>
      <c r="BZ60" s="221"/>
      <c r="CA60" s="221">
        <v>6.68</v>
      </c>
      <c r="CB60" s="221">
        <v>1.18</v>
      </c>
      <c r="CC60" s="221">
        <f>0.04+0.02</f>
        <v>0.06</v>
      </c>
      <c r="CD60" s="249" t="s">
        <v>221</v>
      </c>
      <c r="CE60" s="251">
        <f t="shared" ref="CE60:CE70" si="0">SUM(C60:CD60)</f>
        <v>2586.75</v>
      </c>
    </row>
    <row r="61" spans="1:84" ht="12.6" customHeight="1" x14ac:dyDescent="0.25">
      <c r="A61" s="171" t="s">
        <v>235</v>
      </c>
      <c r="B61" s="175"/>
      <c r="C61" s="184">
        <v>15935944.920000004</v>
      </c>
      <c r="D61" s="184">
        <v>0</v>
      </c>
      <c r="E61" s="184">
        <v>30475084.5</v>
      </c>
      <c r="F61" s="184">
        <v>0</v>
      </c>
      <c r="G61" s="184">
        <v>2995544.3499999996</v>
      </c>
      <c r="H61" s="184">
        <v>3823633.9699999997</v>
      </c>
      <c r="I61" s="184">
        <v>0</v>
      </c>
      <c r="J61" s="184">
        <v>4578524.7899999991</v>
      </c>
      <c r="K61" s="184">
        <v>0</v>
      </c>
      <c r="L61" s="184">
        <v>0</v>
      </c>
      <c r="M61" s="184">
        <v>0</v>
      </c>
      <c r="N61" s="184">
        <v>0</v>
      </c>
      <c r="O61" s="184">
        <v>12002990.780000001</v>
      </c>
      <c r="P61" s="184">
        <v>17407214.210000001</v>
      </c>
      <c r="Q61" s="184">
        <v>2011851.24</v>
      </c>
      <c r="R61" s="184">
        <v>0</v>
      </c>
      <c r="S61" s="184">
        <v>2805769.5</v>
      </c>
      <c r="T61" s="184">
        <v>1667485.0399999998</v>
      </c>
      <c r="U61" s="184">
        <v>10693258.27</v>
      </c>
      <c r="V61" s="184">
        <v>598528.0199999999</v>
      </c>
      <c r="W61" s="184">
        <v>0</v>
      </c>
      <c r="X61" s="184">
        <v>820984.75</v>
      </c>
      <c r="Y61" s="184">
        <v>5630524.5699999994</v>
      </c>
      <c r="Z61" s="184">
        <v>0</v>
      </c>
      <c r="AA61" s="184">
        <v>556924.66</v>
      </c>
      <c r="AB61" s="184">
        <v>8786566.6700000018</v>
      </c>
      <c r="AC61" s="184">
        <v>2496461.39</v>
      </c>
      <c r="AD61" s="184">
        <v>161859.78000000003</v>
      </c>
      <c r="AE61" s="184">
        <v>3746897.6200000006</v>
      </c>
      <c r="AF61" s="184">
        <v>0</v>
      </c>
      <c r="AG61" s="184">
        <v>8210275</v>
      </c>
      <c r="AH61" s="184">
        <v>0</v>
      </c>
      <c r="AI61" s="184">
        <v>10795620.049999999</v>
      </c>
      <c r="AJ61" s="184">
        <v>3407510.2499999995</v>
      </c>
      <c r="AK61" s="184">
        <v>1812481.54</v>
      </c>
      <c r="AL61" s="184">
        <v>480877.93</v>
      </c>
      <c r="AM61" s="184">
        <v>0</v>
      </c>
      <c r="AN61" s="184">
        <v>0</v>
      </c>
      <c r="AO61" s="184">
        <v>0</v>
      </c>
      <c r="AP61" s="184">
        <v>289928.42</v>
      </c>
      <c r="AQ61" s="184">
        <v>0</v>
      </c>
      <c r="AR61" s="184">
        <v>26680107.27</v>
      </c>
      <c r="AS61" s="184">
        <v>0</v>
      </c>
      <c r="AT61" s="184">
        <v>0</v>
      </c>
      <c r="AU61" s="184">
        <v>0</v>
      </c>
      <c r="AV61" s="184">
        <v>2665524.46</v>
      </c>
      <c r="AW61" s="184">
        <v>0</v>
      </c>
      <c r="AX61" s="184">
        <v>0</v>
      </c>
      <c r="AY61" s="184">
        <v>0</v>
      </c>
      <c r="AZ61" s="184">
        <v>4871532.8500000006</v>
      </c>
      <c r="BA61" s="184">
        <v>156339.29000000004</v>
      </c>
      <c r="BB61" s="184">
        <v>0</v>
      </c>
      <c r="BC61" s="184">
        <v>1025606.14</v>
      </c>
      <c r="BD61" s="184">
        <v>0</v>
      </c>
      <c r="BE61" s="184">
        <v>1256549.3799999999</v>
      </c>
      <c r="BF61" s="184">
        <v>3630360.9500000007</v>
      </c>
      <c r="BG61" s="184">
        <v>0</v>
      </c>
      <c r="BH61" s="184">
        <v>0</v>
      </c>
      <c r="BI61" s="184">
        <v>115885.51999999999</v>
      </c>
      <c r="BJ61" s="184">
        <v>0</v>
      </c>
      <c r="BK61" s="184">
        <v>0</v>
      </c>
      <c r="BL61" s="184">
        <v>0</v>
      </c>
      <c r="BM61" s="184">
        <v>0</v>
      </c>
      <c r="BN61" s="184">
        <v>5416725.7699999996</v>
      </c>
      <c r="BO61" s="184">
        <v>0</v>
      </c>
      <c r="BP61" s="184">
        <v>0</v>
      </c>
      <c r="BQ61" s="184">
        <v>0</v>
      </c>
      <c r="BR61" s="184">
        <v>-5657.13</v>
      </c>
      <c r="BS61" s="184">
        <v>0</v>
      </c>
      <c r="BT61" s="184">
        <v>230257.16</v>
      </c>
      <c r="BU61" s="184">
        <v>0</v>
      </c>
      <c r="BV61" s="184">
        <v>0</v>
      </c>
      <c r="BW61" s="184">
        <v>0</v>
      </c>
      <c r="BX61" s="184">
        <v>0</v>
      </c>
      <c r="BY61" s="184">
        <v>3719665.1900000004</v>
      </c>
      <c r="BZ61" s="184">
        <v>0</v>
      </c>
      <c r="CA61" s="184">
        <v>670484.05000000005</v>
      </c>
      <c r="CB61" s="184">
        <v>87161.330000000016</v>
      </c>
      <c r="CC61" s="184">
        <v>-392862.5199999999</v>
      </c>
      <c r="CD61" s="249" t="s">
        <v>221</v>
      </c>
      <c r="CE61" s="195">
        <f t="shared" si="0"/>
        <v>202320421.93000001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3928891</v>
      </c>
      <c r="D62" s="195">
        <f t="shared" si="1"/>
        <v>0</v>
      </c>
      <c r="E62" s="195">
        <f t="shared" si="1"/>
        <v>8122528</v>
      </c>
      <c r="F62" s="195">
        <f t="shared" si="1"/>
        <v>0</v>
      </c>
      <c r="G62" s="195">
        <f t="shared" si="1"/>
        <v>841966</v>
      </c>
      <c r="H62" s="195">
        <f t="shared" si="1"/>
        <v>1011616</v>
      </c>
      <c r="I62" s="195">
        <f t="shared" si="1"/>
        <v>0</v>
      </c>
      <c r="J62" s="195">
        <f>ROUND(J47+J48,0)</f>
        <v>1175047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3097922</v>
      </c>
      <c r="P62" s="195">
        <f t="shared" si="1"/>
        <v>4361568</v>
      </c>
      <c r="Q62" s="195">
        <f t="shared" si="1"/>
        <v>486073</v>
      </c>
      <c r="R62" s="195">
        <f t="shared" si="1"/>
        <v>0</v>
      </c>
      <c r="S62" s="195">
        <f t="shared" si="1"/>
        <v>1072822</v>
      </c>
      <c r="T62" s="195">
        <f t="shared" si="1"/>
        <v>372733</v>
      </c>
      <c r="U62" s="195">
        <f t="shared" si="1"/>
        <v>3518885</v>
      </c>
      <c r="V62" s="195">
        <f t="shared" si="1"/>
        <v>137607</v>
      </c>
      <c r="W62" s="195">
        <f t="shared" si="1"/>
        <v>0</v>
      </c>
      <c r="X62" s="195">
        <f t="shared" si="1"/>
        <v>209508</v>
      </c>
      <c r="Y62" s="195">
        <f t="shared" si="1"/>
        <v>1466558</v>
      </c>
      <c r="Z62" s="195">
        <f t="shared" si="1"/>
        <v>0</v>
      </c>
      <c r="AA62" s="195">
        <f t="shared" si="1"/>
        <v>134127</v>
      </c>
      <c r="AB62" s="195">
        <f t="shared" si="1"/>
        <v>2196461</v>
      </c>
      <c r="AC62" s="195">
        <f t="shared" si="1"/>
        <v>664070</v>
      </c>
      <c r="AD62" s="195">
        <f t="shared" si="1"/>
        <v>30555</v>
      </c>
      <c r="AE62" s="195">
        <f t="shared" si="1"/>
        <v>949243</v>
      </c>
      <c r="AF62" s="195">
        <f t="shared" si="1"/>
        <v>0</v>
      </c>
      <c r="AG62" s="195">
        <f t="shared" si="1"/>
        <v>2268823</v>
      </c>
      <c r="AH62" s="195">
        <f t="shared" si="1"/>
        <v>0</v>
      </c>
      <c r="AI62" s="195">
        <f t="shared" si="1"/>
        <v>2974661</v>
      </c>
      <c r="AJ62" s="195">
        <f t="shared" si="1"/>
        <v>884109</v>
      </c>
      <c r="AK62" s="195">
        <f t="shared" si="1"/>
        <v>465667</v>
      </c>
      <c r="AL62" s="195">
        <f t="shared" si="1"/>
        <v>128711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70823</v>
      </c>
      <c r="AQ62" s="195">
        <f t="shared" si="1"/>
        <v>0</v>
      </c>
      <c r="AR62" s="195">
        <f t="shared" si="1"/>
        <v>7068820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697992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1973854</v>
      </c>
      <c r="BA62" s="195">
        <f>ROUND(BA47+BA48,0)</f>
        <v>67916</v>
      </c>
      <c r="BB62" s="195">
        <f t="shared" si="1"/>
        <v>0</v>
      </c>
      <c r="BC62" s="195">
        <f t="shared" si="1"/>
        <v>433488</v>
      </c>
      <c r="BD62" s="195">
        <f t="shared" si="1"/>
        <v>0</v>
      </c>
      <c r="BE62" s="195">
        <f t="shared" si="1"/>
        <v>391565</v>
      </c>
      <c r="BF62" s="195">
        <f t="shared" si="1"/>
        <v>1465668</v>
      </c>
      <c r="BG62" s="195">
        <f t="shared" si="1"/>
        <v>0</v>
      </c>
      <c r="BH62" s="195">
        <f t="shared" si="1"/>
        <v>0</v>
      </c>
      <c r="BI62" s="195">
        <f t="shared" si="1"/>
        <v>48024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1371020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13</v>
      </c>
      <c r="BS62" s="195">
        <f t="shared" si="2"/>
        <v>0</v>
      </c>
      <c r="BT62" s="195">
        <f t="shared" si="2"/>
        <v>71137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928071</v>
      </c>
      <c r="BZ62" s="195">
        <f t="shared" si="2"/>
        <v>0</v>
      </c>
      <c r="CA62" s="195">
        <f t="shared" si="2"/>
        <v>162870</v>
      </c>
      <c r="CB62" s="195">
        <f t="shared" si="2"/>
        <v>24742</v>
      </c>
      <c r="CC62" s="195">
        <f t="shared" si="2"/>
        <v>-129126</v>
      </c>
      <c r="CD62" s="249" t="s">
        <v>221</v>
      </c>
      <c r="CE62" s="195">
        <f t="shared" si="0"/>
        <v>55147028</v>
      </c>
      <c r="CF62" s="252"/>
    </row>
    <row r="63" spans="1:84" ht="12.6" customHeight="1" x14ac:dyDescent="0.25">
      <c r="A63" s="171" t="s">
        <v>236</v>
      </c>
      <c r="B63" s="175"/>
      <c r="C63" s="184">
        <v>3326964.9</v>
      </c>
      <c r="D63" s="184">
        <v>0</v>
      </c>
      <c r="E63" s="184">
        <v>50654.879999999997</v>
      </c>
      <c r="F63" s="184">
        <v>0</v>
      </c>
      <c r="G63" s="184">
        <v>389826.93</v>
      </c>
      <c r="H63" s="184">
        <v>365221.63</v>
      </c>
      <c r="I63" s="184">
        <v>0</v>
      </c>
      <c r="J63" s="184">
        <v>959014.76</v>
      </c>
      <c r="K63" s="184">
        <v>0</v>
      </c>
      <c r="L63" s="184">
        <v>0</v>
      </c>
      <c r="M63" s="184">
        <v>0</v>
      </c>
      <c r="N63" s="184">
        <v>0</v>
      </c>
      <c r="O63" s="184">
        <v>1425039.24</v>
      </c>
      <c r="P63" s="184">
        <v>3702679.6300000004</v>
      </c>
      <c r="Q63" s="184">
        <v>0</v>
      </c>
      <c r="R63" s="184">
        <v>0</v>
      </c>
      <c r="S63" s="184">
        <v>0</v>
      </c>
      <c r="T63" s="184">
        <v>0</v>
      </c>
      <c r="U63" s="184">
        <v>73456.03</v>
      </c>
      <c r="V63" s="184">
        <v>0</v>
      </c>
      <c r="W63" s="184">
        <v>0</v>
      </c>
      <c r="X63" s="184">
        <v>0</v>
      </c>
      <c r="Y63" s="184">
        <v>60139.8</v>
      </c>
      <c r="Z63" s="184">
        <v>0</v>
      </c>
      <c r="AA63" s="184">
        <v>0</v>
      </c>
      <c r="AB63" s="184">
        <v>12875.27</v>
      </c>
      <c r="AC63" s="184">
        <v>26203.8</v>
      </c>
      <c r="AD63" s="184">
        <v>1240.43</v>
      </c>
      <c r="AE63" s="184">
        <v>0</v>
      </c>
      <c r="AF63" s="184">
        <v>0</v>
      </c>
      <c r="AG63" s="184">
        <v>6541247.7300000004</v>
      </c>
      <c r="AH63" s="184">
        <v>0</v>
      </c>
      <c r="AI63" s="184">
        <v>0</v>
      </c>
      <c r="AJ63" s="184">
        <v>-198388.8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17584</v>
      </c>
      <c r="AS63" s="184">
        <v>0</v>
      </c>
      <c r="AT63" s="184">
        <v>0</v>
      </c>
      <c r="AU63" s="184">
        <v>0</v>
      </c>
      <c r="AV63" s="184">
        <v>8980232.3000000007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179600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9" t="s">
        <v>221</v>
      </c>
      <c r="CE63" s="195">
        <f t="shared" si="0"/>
        <v>25913592.530000001</v>
      </c>
      <c r="CF63" s="252"/>
    </row>
    <row r="64" spans="1:84" ht="12.6" customHeight="1" x14ac:dyDescent="0.25">
      <c r="A64" s="171" t="s">
        <v>237</v>
      </c>
      <c r="B64" s="175"/>
      <c r="C64" s="184">
        <v>2416303.7999999998</v>
      </c>
      <c r="D64" s="184">
        <v>0</v>
      </c>
      <c r="E64" s="184">
        <v>2683865.8200000003</v>
      </c>
      <c r="F64" s="184">
        <v>0</v>
      </c>
      <c r="G64" s="184">
        <v>147429.62</v>
      </c>
      <c r="H64" s="184">
        <v>60666.749999999993</v>
      </c>
      <c r="I64" s="184">
        <v>0</v>
      </c>
      <c r="J64" s="184">
        <v>673961.81</v>
      </c>
      <c r="K64" s="184">
        <v>0</v>
      </c>
      <c r="L64" s="184">
        <v>0</v>
      </c>
      <c r="M64" s="184">
        <v>0</v>
      </c>
      <c r="N64" s="184">
        <v>0</v>
      </c>
      <c r="O64" s="184">
        <v>1292791.4500000002</v>
      </c>
      <c r="P64" s="184">
        <v>52753132.38000001</v>
      </c>
      <c r="Q64" s="184">
        <v>122161.23999999999</v>
      </c>
      <c r="R64" s="184">
        <v>0</v>
      </c>
      <c r="S64" s="184">
        <v>466248.2200000002</v>
      </c>
      <c r="T64" s="184">
        <v>1020942.45</v>
      </c>
      <c r="U64" s="184">
        <v>7877521.3200000003</v>
      </c>
      <c r="V64" s="184">
        <v>5213392.72</v>
      </c>
      <c r="W64" s="184">
        <v>0</v>
      </c>
      <c r="X64" s="184">
        <v>274245.77</v>
      </c>
      <c r="Y64" s="184">
        <v>4185559.3699999996</v>
      </c>
      <c r="Z64" s="184">
        <v>0</v>
      </c>
      <c r="AA64" s="184">
        <v>707464.38</v>
      </c>
      <c r="AB64" s="184">
        <v>15674384.509999998</v>
      </c>
      <c r="AC64" s="184">
        <v>754621.34</v>
      </c>
      <c r="AD64" s="184">
        <v>336008.63999999996</v>
      </c>
      <c r="AE64" s="184">
        <v>49262.44</v>
      </c>
      <c r="AF64" s="184">
        <v>0</v>
      </c>
      <c r="AG64" s="184">
        <v>1701627.33</v>
      </c>
      <c r="AH64" s="184">
        <v>0</v>
      </c>
      <c r="AI64" s="184">
        <v>802285.16999999993</v>
      </c>
      <c r="AJ64" s="184">
        <v>1198512.01</v>
      </c>
      <c r="AK64" s="184">
        <v>5740.87</v>
      </c>
      <c r="AL64" s="184">
        <v>139.75</v>
      </c>
      <c r="AM64" s="184">
        <v>0</v>
      </c>
      <c r="AN64" s="184">
        <v>0</v>
      </c>
      <c r="AO64" s="184">
        <v>0</v>
      </c>
      <c r="AP64" s="184">
        <v>65341.03</v>
      </c>
      <c r="AQ64" s="184">
        <v>0</v>
      </c>
      <c r="AR64" s="184">
        <v>1407726.85</v>
      </c>
      <c r="AS64" s="184">
        <v>0</v>
      </c>
      <c r="AT64" s="184">
        <v>0</v>
      </c>
      <c r="AU64" s="184">
        <v>0</v>
      </c>
      <c r="AV64" s="184">
        <v>-554340.69999999995</v>
      </c>
      <c r="AW64" s="184">
        <v>0</v>
      </c>
      <c r="AX64" s="184">
        <v>0</v>
      </c>
      <c r="AY64" s="184">
        <v>0</v>
      </c>
      <c r="AZ64" s="184">
        <v>2866187.1599999992</v>
      </c>
      <c r="BA64" s="184">
        <v>10349.48</v>
      </c>
      <c r="BB64" s="184">
        <v>0</v>
      </c>
      <c r="BC64" s="184">
        <v>16191.86</v>
      </c>
      <c r="BD64" s="184">
        <v>0</v>
      </c>
      <c r="BE64" s="184">
        <v>44087.729999999996</v>
      </c>
      <c r="BF64" s="184">
        <v>547683.61999999988</v>
      </c>
      <c r="BG64" s="184">
        <v>0</v>
      </c>
      <c r="BH64" s="184">
        <v>0</v>
      </c>
      <c r="BI64" s="184">
        <v>262532.34000000003</v>
      </c>
      <c r="BJ64" s="184">
        <v>0</v>
      </c>
      <c r="BK64" s="184">
        <v>0</v>
      </c>
      <c r="BL64" s="184">
        <v>25614.140000000007</v>
      </c>
      <c r="BM64" s="184">
        <v>0</v>
      </c>
      <c r="BN64" s="184">
        <v>-5920.8599999999869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320.71999999999997</v>
      </c>
      <c r="BU64" s="184">
        <v>0</v>
      </c>
      <c r="BV64" s="184">
        <v>0</v>
      </c>
      <c r="BW64" s="184">
        <v>0</v>
      </c>
      <c r="BX64" s="184">
        <v>0</v>
      </c>
      <c r="BY64" s="184">
        <v>3437.8399999999997</v>
      </c>
      <c r="BZ64" s="184">
        <v>0</v>
      </c>
      <c r="CA64" s="184">
        <v>0</v>
      </c>
      <c r="CB64" s="184">
        <v>4363.8</v>
      </c>
      <c r="CC64" s="184">
        <v>6367.89</v>
      </c>
      <c r="CD64" s="249" t="s">
        <v>221</v>
      </c>
      <c r="CE64" s="195">
        <f t="shared" si="0"/>
        <v>105118212.06000003</v>
      </c>
      <c r="CF64" s="252"/>
    </row>
    <row r="65" spans="1:84" ht="12.6" customHeight="1" x14ac:dyDescent="0.25">
      <c r="A65" s="171" t="s">
        <v>238</v>
      </c>
      <c r="B65" s="175"/>
      <c r="C65" s="184">
        <v>3326.1800000000003</v>
      </c>
      <c r="D65" s="184">
        <v>0</v>
      </c>
      <c r="E65" s="184">
        <v>5776.5399999999991</v>
      </c>
      <c r="F65" s="184">
        <v>0</v>
      </c>
      <c r="G65" s="184">
        <v>724.05</v>
      </c>
      <c r="H65" s="184">
        <v>1164.43</v>
      </c>
      <c r="I65" s="184">
        <v>0</v>
      </c>
      <c r="J65" s="184">
        <v>1614.56</v>
      </c>
      <c r="K65" s="184">
        <v>0</v>
      </c>
      <c r="L65" s="184">
        <v>0</v>
      </c>
      <c r="M65" s="184">
        <v>0</v>
      </c>
      <c r="N65" s="184">
        <v>0</v>
      </c>
      <c r="O65" s="184">
        <v>3503.5699999999997</v>
      </c>
      <c r="P65" s="184">
        <v>11950.69</v>
      </c>
      <c r="Q65" s="184">
        <v>907.07999999999993</v>
      </c>
      <c r="R65" s="184">
        <v>0</v>
      </c>
      <c r="S65" s="184">
        <v>0</v>
      </c>
      <c r="T65" s="184">
        <v>749.96</v>
      </c>
      <c r="U65" s="184">
        <v>215143.92</v>
      </c>
      <c r="V65" s="184">
        <v>0</v>
      </c>
      <c r="W65" s="184">
        <v>0</v>
      </c>
      <c r="X65" s="184">
        <v>414.62</v>
      </c>
      <c r="Y65" s="184">
        <v>6140.64</v>
      </c>
      <c r="Z65" s="184">
        <v>0</v>
      </c>
      <c r="AA65" s="184">
        <v>0</v>
      </c>
      <c r="AB65" s="184">
        <v>6652.24</v>
      </c>
      <c r="AC65" s="184">
        <v>817.22</v>
      </c>
      <c r="AD65" s="184">
        <v>10582.7</v>
      </c>
      <c r="AE65" s="184">
        <v>1676.57</v>
      </c>
      <c r="AF65" s="184">
        <v>0</v>
      </c>
      <c r="AG65" s="184">
        <v>2003.81</v>
      </c>
      <c r="AH65" s="184">
        <v>0</v>
      </c>
      <c r="AI65" s="184">
        <v>2370.52</v>
      </c>
      <c r="AJ65" s="184">
        <v>1975.31</v>
      </c>
      <c r="AK65" s="184">
        <v>1373.24</v>
      </c>
      <c r="AL65" s="184">
        <v>724.6</v>
      </c>
      <c r="AM65" s="184">
        <v>0</v>
      </c>
      <c r="AN65" s="184">
        <v>0</v>
      </c>
      <c r="AO65" s="184">
        <v>0</v>
      </c>
      <c r="AP65" s="184">
        <v>1352.15</v>
      </c>
      <c r="AQ65" s="184">
        <v>0</v>
      </c>
      <c r="AR65" s="184">
        <v>337461.6</v>
      </c>
      <c r="AS65" s="184">
        <v>0</v>
      </c>
      <c r="AT65" s="184">
        <v>0</v>
      </c>
      <c r="AU65" s="184">
        <v>0</v>
      </c>
      <c r="AV65" s="184">
        <v>9607.6200000000008</v>
      </c>
      <c r="AW65" s="184">
        <v>0</v>
      </c>
      <c r="AX65" s="184">
        <v>0</v>
      </c>
      <c r="AY65" s="184">
        <v>0</v>
      </c>
      <c r="AZ65" s="184">
        <v>2904.71</v>
      </c>
      <c r="BA65" s="184">
        <v>0</v>
      </c>
      <c r="BB65" s="184">
        <v>0</v>
      </c>
      <c r="BC65" s="184">
        <v>0</v>
      </c>
      <c r="BD65" s="184">
        <v>0</v>
      </c>
      <c r="BE65" s="184">
        <v>3376071.87</v>
      </c>
      <c r="BF65" s="184">
        <v>2297.0299999999997</v>
      </c>
      <c r="BG65" s="184">
        <v>0</v>
      </c>
      <c r="BH65" s="184">
        <v>0</v>
      </c>
      <c r="BI65" s="184">
        <v>0.43</v>
      </c>
      <c r="BJ65" s="184">
        <v>0</v>
      </c>
      <c r="BK65" s="184">
        <v>0</v>
      </c>
      <c r="BL65" s="184">
        <v>335.16</v>
      </c>
      <c r="BM65" s="184">
        <v>0</v>
      </c>
      <c r="BN65" s="184">
        <v>963.29000000000008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5525.58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4016111.89</v>
      </c>
      <c r="CF65" s="252"/>
    </row>
    <row r="66" spans="1:84" ht="12.6" customHeight="1" x14ac:dyDescent="0.25">
      <c r="A66" s="171" t="s">
        <v>239</v>
      </c>
      <c r="B66" s="175"/>
      <c r="C66" s="184">
        <v>191140.21</v>
      </c>
      <c r="D66" s="184">
        <v>0</v>
      </c>
      <c r="E66" s="184">
        <v>1503568.8900000001</v>
      </c>
      <c r="F66" s="184">
        <v>0</v>
      </c>
      <c r="G66" s="184">
        <v>192463.66</v>
      </c>
      <c r="H66" s="184">
        <v>144619.85999999999</v>
      </c>
      <c r="I66" s="184">
        <v>0</v>
      </c>
      <c r="J66" s="184">
        <v>496704.96</v>
      </c>
      <c r="K66" s="184">
        <v>0</v>
      </c>
      <c r="L66" s="184">
        <v>0</v>
      </c>
      <c r="M66" s="184">
        <v>0</v>
      </c>
      <c r="N66" s="184">
        <v>0</v>
      </c>
      <c r="O66" s="184">
        <v>560874.46000000008</v>
      </c>
      <c r="P66" s="184">
        <v>4144258.9249999998</v>
      </c>
      <c r="Q66" s="184">
        <v>22125.7</v>
      </c>
      <c r="R66" s="184">
        <v>0</v>
      </c>
      <c r="S66" s="184">
        <v>249705.97137020002</v>
      </c>
      <c r="T66" s="184">
        <v>10.31</v>
      </c>
      <c r="U66" s="184">
        <v>7865081.5999999996</v>
      </c>
      <c r="V66" s="184">
        <v>272355</v>
      </c>
      <c r="W66" s="184">
        <v>0</v>
      </c>
      <c r="X66" s="184">
        <v>225157.09</v>
      </c>
      <c r="Y66" s="184">
        <v>2448756.9700000002</v>
      </c>
      <c r="Z66" s="184">
        <v>0</v>
      </c>
      <c r="AA66" s="184">
        <v>103611.71</v>
      </c>
      <c r="AB66" s="184">
        <v>1612793.53</v>
      </c>
      <c r="AC66" s="184">
        <v>76452.81</v>
      </c>
      <c r="AD66" s="184">
        <v>6215599.8999999994</v>
      </c>
      <c r="AE66" s="184">
        <v>154090.78999999998</v>
      </c>
      <c r="AF66" s="184">
        <v>0</v>
      </c>
      <c r="AG66" s="184">
        <v>2212723.0000000005</v>
      </c>
      <c r="AH66" s="184">
        <v>0</v>
      </c>
      <c r="AI66" s="184">
        <v>163318.10999999999</v>
      </c>
      <c r="AJ66" s="184">
        <v>1044667.3799999999</v>
      </c>
      <c r="AK66" s="184">
        <v>7207.5</v>
      </c>
      <c r="AL66" s="184">
        <v>1038</v>
      </c>
      <c r="AM66" s="184">
        <v>0</v>
      </c>
      <c r="AN66" s="184">
        <v>0</v>
      </c>
      <c r="AO66" s="184">
        <v>0</v>
      </c>
      <c r="AP66" s="184">
        <v>93027.82</v>
      </c>
      <c r="AQ66" s="184">
        <v>0</v>
      </c>
      <c r="AR66" s="184">
        <v>9440483.1500000004</v>
      </c>
      <c r="AS66" s="184">
        <v>0</v>
      </c>
      <c r="AT66" s="184">
        <v>0</v>
      </c>
      <c r="AU66" s="184">
        <v>0</v>
      </c>
      <c r="AV66" s="184">
        <v>4098576.911400002</v>
      </c>
      <c r="AW66" s="184">
        <v>0</v>
      </c>
      <c r="AX66" s="184">
        <v>2285.6268999999998</v>
      </c>
      <c r="AY66" s="184">
        <v>0</v>
      </c>
      <c r="AZ66" s="184">
        <v>1972006.8800000004</v>
      </c>
      <c r="BA66" s="184">
        <v>6618.6200000000008</v>
      </c>
      <c r="BB66" s="184">
        <v>0</v>
      </c>
      <c r="BC66" s="184">
        <v>109.42</v>
      </c>
      <c r="BD66" s="184">
        <v>0</v>
      </c>
      <c r="BE66" s="184">
        <v>18900967.4322</v>
      </c>
      <c r="BF66" s="184">
        <v>856342.8899999999</v>
      </c>
      <c r="BG66" s="184">
        <v>110463.8404</v>
      </c>
      <c r="BH66" s="184">
        <v>-698446.68900000001</v>
      </c>
      <c r="BI66" s="184">
        <v>803.11</v>
      </c>
      <c r="BJ66" s="184">
        <v>1938000.52489797</v>
      </c>
      <c r="BK66" s="184">
        <v>7339247.2191812899</v>
      </c>
      <c r="BL66" s="184">
        <v>7725465.4680751804</v>
      </c>
      <c r="BM66" s="184">
        <v>0</v>
      </c>
      <c r="BN66" s="184">
        <v>14590971.008752607</v>
      </c>
      <c r="BO66" s="184">
        <v>1067275.4931999999</v>
      </c>
      <c r="BP66" s="184">
        <v>1399108.6538</v>
      </c>
      <c r="BQ66" s="184">
        <v>0</v>
      </c>
      <c r="BR66" s="184">
        <v>4204371.2534999996</v>
      </c>
      <c r="BS66" s="184">
        <v>52.155200000000001</v>
      </c>
      <c r="BT66" s="184">
        <v>77535.00910000001</v>
      </c>
      <c r="BU66" s="184">
        <v>125375.68770000001</v>
      </c>
      <c r="BV66" s="184">
        <v>10514209.689107802</v>
      </c>
      <c r="BW66" s="184">
        <v>1300871.7238059998</v>
      </c>
      <c r="BX66" s="184">
        <v>5362295.0302633392</v>
      </c>
      <c r="BY66" s="184">
        <v>621047.81239999994</v>
      </c>
      <c r="BZ66" s="184">
        <v>0</v>
      </c>
      <c r="CA66" s="184">
        <v>1518040.0145</v>
      </c>
      <c r="CB66" s="184">
        <v>155964.64440000002</v>
      </c>
      <c r="CC66" s="184">
        <v>47677759.876194783</v>
      </c>
      <c r="CD66" s="249" t="s">
        <v>221</v>
      </c>
      <c r="CE66" s="195">
        <f t="shared" si="0"/>
        <v>170309156.61234921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697256</v>
      </c>
      <c r="D67" s="195">
        <f>ROUND(D51+D52,0)</f>
        <v>0</v>
      </c>
      <c r="E67" s="195">
        <f t="shared" ref="E67:BP67" si="3">ROUND(E51+E52,0)</f>
        <v>2425800</v>
      </c>
      <c r="F67" s="195">
        <f t="shared" si="3"/>
        <v>0</v>
      </c>
      <c r="G67" s="195">
        <f t="shared" si="3"/>
        <v>340115</v>
      </c>
      <c r="H67" s="195">
        <f t="shared" si="3"/>
        <v>155966</v>
      </c>
      <c r="I67" s="195">
        <f t="shared" si="3"/>
        <v>0</v>
      </c>
      <c r="J67" s="195">
        <f>ROUND(J51+J52,0)</f>
        <v>215698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704430</v>
      </c>
      <c r="P67" s="195">
        <f t="shared" si="3"/>
        <v>8471715</v>
      </c>
      <c r="Q67" s="195">
        <f t="shared" si="3"/>
        <v>63252</v>
      </c>
      <c r="R67" s="195">
        <f t="shared" si="3"/>
        <v>0</v>
      </c>
      <c r="S67" s="195">
        <f t="shared" si="3"/>
        <v>327750</v>
      </c>
      <c r="T67" s="195">
        <f t="shared" si="3"/>
        <v>16084</v>
      </c>
      <c r="U67" s="195">
        <f t="shared" si="3"/>
        <v>569152</v>
      </c>
      <c r="V67" s="195">
        <f t="shared" si="3"/>
        <v>159592</v>
      </c>
      <c r="W67" s="195">
        <f t="shared" si="3"/>
        <v>0</v>
      </c>
      <c r="X67" s="195">
        <f t="shared" si="3"/>
        <v>4649</v>
      </c>
      <c r="Y67" s="195">
        <f t="shared" si="3"/>
        <v>973742</v>
      </c>
      <c r="Z67" s="195">
        <f t="shared" si="3"/>
        <v>0</v>
      </c>
      <c r="AA67" s="195">
        <f t="shared" si="3"/>
        <v>3951</v>
      </c>
      <c r="AB67" s="195">
        <f t="shared" si="3"/>
        <v>809942</v>
      </c>
      <c r="AC67" s="195">
        <f t="shared" si="3"/>
        <v>153283</v>
      </c>
      <c r="AD67" s="195">
        <f t="shared" si="3"/>
        <v>542454</v>
      </c>
      <c r="AE67" s="195">
        <f t="shared" si="3"/>
        <v>192806</v>
      </c>
      <c r="AF67" s="195">
        <f t="shared" si="3"/>
        <v>0</v>
      </c>
      <c r="AG67" s="195">
        <f t="shared" si="3"/>
        <v>677618</v>
      </c>
      <c r="AH67" s="195">
        <f t="shared" si="3"/>
        <v>0</v>
      </c>
      <c r="AI67" s="195">
        <f t="shared" si="3"/>
        <v>25318</v>
      </c>
      <c r="AJ67" s="195">
        <f t="shared" si="3"/>
        <v>438021</v>
      </c>
      <c r="AK67" s="195">
        <f t="shared" si="3"/>
        <v>83320</v>
      </c>
      <c r="AL67" s="195">
        <f t="shared" si="3"/>
        <v>56217</v>
      </c>
      <c r="AM67" s="195">
        <f t="shared" si="3"/>
        <v>0</v>
      </c>
      <c r="AN67" s="195">
        <f t="shared" si="3"/>
        <v>44612</v>
      </c>
      <c r="AO67" s="195">
        <f t="shared" si="3"/>
        <v>0</v>
      </c>
      <c r="AP67" s="195">
        <f t="shared" si="3"/>
        <v>23230</v>
      </c>
      <c r="AQ67" s="195">
        <f t="shared" si="3"/>
        <v>0</v>
      </c>
      <c r="AR67" s="195">
        <f t="shared" si="3"/>
        <v>257012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54973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517697</v>
      </c>
      <c r="BA67" s="195">
        <f>ROUND(BA51+BA52,0)</f>
        <v>57201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3373487</v>
      </c>
      <c r="BF67" s="195">
        <f t="shared" si="3"/>
        <v>63752</v>
      </c>
      <c r="BG67" s="195">
        <f t="shared" si="3"/>
        <v>0</v>
      </c>
      <c r="BH67" s="195">
        <f t="shared" si="3"/>
        <v>0</v>
      </c>
      <c r="BI67" s="195">
        <f t="shared" si="3"/>
        <v>18038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2735158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225109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127434</v>
      </c>
      <c r="BW67" s="195">
        <f t="shared" si="4"/>
        <v>0</v>
      </c>
      <c r="BX67" s="195">
        <f t="shared" si="4"/>
        <v>0</v>
      </c>
      <c r="BY67" s="195">
        <f t="shared" si="4"/>
        <v>136627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25742702</v>
      </c>
      <c r="CF67" s="252"/>
    </row>
    <row r="68" spans="1:84" ht="12.6" customHeight="1" x14ac:dyDescent="0.25">
      <c r="A68" s="171" t="s">
        <v>240</v>
      </c>
      <c r="B68" s="175"/>
      <c r="C68" s="184">
        <v>3956.95</v>
      </c>
      <c r="D68" s="184">
        <v>0</v>
      </c>
      <c r="E68" s="184">
        <v>52607.570000000007</v>
      </c>
      <c r="F68" s="184">
        <v>0</v>
      </c>
      <c r="G68" s="184">
        <v>17255.670000000002</v>
      </c>
      <c r="H68" s="184">
        <v>1992.1799999999998</v>
      </c>
      <c r="I68" s="184">
        <v>0</v>
      </c>
      <c r="J68" s="184">
        <v>2259.4300000000003</v>
      </c>
      <c r="K68" s="184">
        <v>0</v>
      </c>
      <c r="L68" s="184">
        <v>0</v>
      </c>
      <c r="M68" s="184">
        <v>0</v>
      </c>
      <c r="N68" s="184">
        <v>0</v>
      </c>
      <c r="O68" s="184">
        <v>199920.58</v>
      </c>
      <c r="P68" s="184">
        <v>1165682.27</v>
      </c>
      <c r="Q68" s="184">
        <v>2439.1699999999996</v>
      </c>
      <c r="R68" s="184">
        <v>0</v>
      </c>
      <c r="S68" s="184">
        <v>32071.35</v>
      </c>
      <c r="T68" s="184">
        <v>397.34</v>
      </c>
      <c r="U68" s="184">
        <v>1212894.77</v>
      </c>
      <c r="V68" s="184">
        <v>0</v>
      </c>
      <c r="W68" s="184">
        <v>0</v>
      </c>
      <c r="X68" s="184">
        <v>460.06</v>
      </c>
      <c r="Y68" s="184">
        <v>39121.390000000007</v>
      </c>
      <c r="Z68" s="184">
        <v>0</v>
      </c>
      <c r="AA68" s="184">
        <v>338.22</v>
      </c>
      <c r="AB68" s="184">
        <v>85851.89</v>
      </c>
      <c r="AC68" s="184">
        <v>122778.28</v>
      </c>
      <c r="AD68" s="184">
        <v>9059.11</v>
      </c>
      <c r="AE68" s="184">
        <v>158241.76999999999</v>
      </c>
      <c r="AF68" s="184">
        <v>0</v>
      </c>
      <c r="AG68" s="184">
        <v>33389.199999999997</v>
      </c>
      <c r="AH68" s="184">
        <v>0</v>
      </c>
      <c r="AI68" s="184">
        <v>16751.620000000003</v>
      </c>
      <c r="AJ68" s="184">
        <v>457580.91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171658.51</v>
      </c>
      <c r="AQ68" s="184">
        <v>0</v>
      </c>
      <c r="AR68" s="184">
        <v>1342851.29</v>
      </c>
      <c r="AS68" s="184">
        <v>0</v>
      </c>
      <c r="AT68" s="184">
        <v>0</v>
      </c>
      <c r="AU68" s="184">
        <v>0</v>
      </c>
      <c r="AV68" s="184">
        <v>991383.83000000007</v>
      </c>
      <c r="AW68" s="184">
        <v>0</v>
      </c>
      <c r="AX68" s="184">
        <v>0</v>
      </c>
      <c r="AY68" s="184">
        <v>0</v>
      </c>
      <c r="AZ68" s="184">
        <v>98711.98000000001</v>
      </c>
      <c r="BA68" s="184">
        <v>29.51</v>
      </c>
      <c r="BB68" s="184">
        <v>0</v>
      </c>
      <c r="BC68" s="184">
        <v>1851.12</v>
      </c>
      <c r="BD68" s="184">
        <v>0</v>
      </c>
      <c r="BE68" s="184">
        <v>2440647.35</v>
      </c>
      <c r="BF68" s="184">
        <v>3718.32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15809.16</v>
      </c>
      <c r="BM68" s="184">
        <v>0</v>
      </c>
      <c r="BN68" s="184">
        <v>82284.510000000009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5141.4399999999996</v>
      </c>
      <c r="BZ68" s="184">
        <v>0</v>
      </c>
      <c r="CA68" s="184">
        <v>0</v>
      </c>
      <c r="CB68" s="184">
        <v>-21.46</v>
      </c>
      <c r="CC68" s="184">
        <v>0</v>
      </c>
      <c r="CD68" s="249" t="s">
        <v>221</v>
      </c>
      <c r="CE68" s="195">
        <f t="shared" si="0"/>
        <v>8769115.290000001</v>
      </c>
      <c r="CF68" s="252"/>
    </row>
    <row r="69" spans="1:84" ht="12.6" customHeight="1" x14ac:dyDescent="0.25">
      <c r="A69" s="171" t="s">
        <v>241</v>
      </c>
      <c r="B69" s="175"/>
      <c r="C69" s="184">
        <v>66380.97</v>
      </c>
      <c r="D69" s="184">
        <v>0</v>
      </c>
      <c r="E69" s="184">
        <v>73342.44</v>
      </c>
      <c r="F69" s="184">
        <v>0</v>
      </c>
      <c r="G69" s="184">
        <v>25249.909999999996</v>
      </c>
      <c r="H69" s="184">
        <v>22596.260000000002</v>
      </c>
      <c r="I69" s="184">
        <v>0</v>
      </c>
      <c r="J69" s="184">
        <v>41512.19</v>
      </c>
      <c r="K69" s="184">
        <v>0</v>
      </c>
      <c r="L69" s="184">
        <v>0</v>
      </c>
      <c r="M69" s="184">
        <v>0</v>
      </c>
      <c r="N69" s="184">
        <v>0</v>
      </c>
      <c r="O69" s="184">
        <v>62819.159999999996</v>
      </c>
      <c r="P69" s="184">
        <v>154161.37</v>
      </c>
      <c r="Q69" s="184">
        <v>12478.490000000002</v>
      </c>
      <c r="R69" s="184">
        <v>0</v>
      </c>
      <c r="S69" s="184">
        <v>60407.43</v>
      </c>
      <c r="T69" s="184">
        <v>955</v>
      </c>
      <c r="U69" s="184">
        <v>190028.11000000002</v>
      </c>
      <c r="V69" s="184">
        <v>0</v>
      </c>
      <c r="W69" s="184">
        <v>0</v>
      </c>
      <c r="X69" s="184">
        <v>0</v>
      </c>
      <c r="Y69" s="184">
        <v>7243.8899999999994</v>
      </c>
      <c r="Z69" s="184">
        <v>0</v>
      </c>
      <c r="AA69" s="184">
        <v>2.71</v>
      </c>
      <c r="AB69" s="184">
        <v>2948200.05</v>
      </c>
      <c r="AC69" s="184">
        <v>5058.32</v>
      </c>
      <c r="AD69" s="184">
        <v>66808.259999999995</v>
      </c>
      <c r="AE69" s="184">
        <v>20807.079999999998</v>
      </c>
      <c r="AF69" s="184">
        <v>0</v>
      </c>
      <c r="AG69" s="184">
        <v>56998.09</v>
      </c>
      <c r="AH69" s="184">
        <v>0</v>
      </c>
      <c r="AI69" s="184">
        <v>37658.99</v>
      </c>
      <c r="AJ69" s="184">
        <v>26305.019999999997</v>
      </c>
      <c r="AK69" s="184">
        <v>6996.64</v>
      </c>
      <c r="AL69" s="184">
        <v>4906.0200000000004</v>
      </c>
      <c r="AM69" s="184">
        <v>0</v>
      </c>
      <c r="AN69" s="184">
        <v>0</v>
      </c>
      <c r="AO69" s="184">
        <v>0</v>
      </c>
      <c r="AP69" s="184">
        <v>388.21000000000004</v>
      </c>
      <c r="AQ69" s="184">
        <v>0</v>
      </c>
      <c r="AR69" s="184">
        <v>1049183.6500000001</v>
      </c>
      <c r="AS69" s="184">
        <v>0</v>
      </c>
      <c r="AT69" s="184">
        <v>0</v>
      </c>
      <c r="AU69" s="184">
        <v>0</v>
      </c>
      <c r="AV69" s="184">
        <v>3147937.02</v>
      </c>
      <c r="AW69" s="184">
        <v>0</v>
      </c>
      <c r="AX69" s="184">
        <v>0</v>
      </c>
      <c r="AY69" s="184">
        <v>0</v>
      </c>
      <c r="AZ69" s="184">
        <v>134325.93</v>
      </c>
      <c r="BA69" s="184">
        <v>0</v>
      </c>
      <c r="BB69" s="184">
        <v>0</v>
      </c>
      <c r="BC69" s="184">
        <v>1183.19</v>
      </c>
      <c r="BD69" s="184">
        <v>0</v>
      </c>
      <c r="BE69" s="184">
        <v>412579.61000000004</v>
      </c>
      <c r="BF69" s="184">
        <v>5019.7700000000004</v>
      </c>
      <c r="BG69" s="184">
        <v>0</v>
      </c>
      <c r="BH69" s="184">
        <v>0</v>
      </c>
      <c r="BI69" s="184">
        <v>2639.12</v>
      </c>
      <c r="BJ69" s="184">
        <v>0</v>
      </c>
      <c r="BK69" s="184">
        <v>0</v>
      </c>
      <c r="BL69" s="184">
        <v>7329.33</v>
      </c>
      <c r="BM69" s="184">
        <v>0</v>
      </c>
      <c r="BN69" s="184">
        <v>429312.37999999989</v>
      </c>
      <c r="BO69" s="184">
        <v>0</v>
      </c>
      <c r="BP69" s="184">
        <v>0</v>
      </c>
      <c r="BQ69" s="184">
        <v>0</v>
      </c>
      <c r="BR69" s="184">
        <v>-196.25</v>
      </c>
      <c r="BS69" s="184">
        <v>0</v>
      </c>
      <c r="BT69" s="184">
        <v>16833.129999999997</v>
      </c>
      <c r="BU69" s="184">
        <v>0</v>
      </c>
      <c r="BV69" s="184">
        <v>0</v>
      </c>
      <c r="BW69" s="184">
        <v>0</v>
      </c>
      <c r="BX69" s="184">
        <v>0</v>
      </c>
      <c r="BY69" s="184">
        <v>3431.7999999999997</v>
      </c>
      <c r="BZ69" s="184">
        <v>0</v>
      </c>
      <c r="CA69" s="184">
        <v>135</v>
      </c>
      <c r="CB69" s="184">
        <v>5162.21</v>
      </c>
      <c r="CC69" s="184">
        <v>1021244.49</v>
      </c>
      <c r="CD69" s="184">
        <v>33031680.609999999</v>
      </c>
      <c r="CE69" s="195">
        <f t="shared" si="0"/>
        <v>43159105.600000001</v>
      </c>
      <c r="CF69" s="252"/>
    </row>
    <row r="70" spans="1:84" ht="12.6" customHeight="1" x14ac:dyDescent="0.25">
      <c r="A70" s="171" t="s">
        <v>242</v>
      </c>
      <c r="B70" s="175"/>
      <c r="C70" s="184">
        <v>19000</v>
      </c>
      <c r="D70" s="184">
        <v>0</v>
      </c>
      <c r="E70" s="184">
        <v>68250</v>
      </c>
      <c r="F70" s="184">
        <v>0</v>
      </c>
      <c r="G70" s="184">
        <v>0</v>
      </c>
      <c r="H70" s="184">
        <v>12416.81</v>
      </c>
      <c r="I70" s="184">
        <v>0</v>
      </c>
      <c r="J70" s="184">
        <v>15794.86</v>
      </c>
      <c r="K70" s="184">
        <v>0</v>
      </c>
      <c r="L70" s="184">
        <v>0</v>
      </c>
      <c r="M70" s="184">
        <v>0</v>
      </c>
      <c r="N70" s="184">
        <v>0</v>
      </c>
      <c r="O70" s="184">
        <v>88531.58</v>
      </c>
      <c r="P70" s="184">
        <v>12316.369999999999</v>
      </c>
      <c r="Q70" s="184">
        <v>0</v>
      </c>
      <c r="R70" s="184">
        <v>0</v>
      </c>
      <c r="S70" s="184">
        <v>0</v>
      </c>
      <c r="T70" s="184">
        <v>0</v>
      </c>
      <c r="U70" s="184">
        <v>12085205.149999999</v>
      </c>
      <c r="V70" s="184">
        <v>1248.18</v>
      </c>
      <c r="W70" s="184">
        <v>0</v>
      </c>
      <c r="X70" s="184">
        <v>0</v>
      </c>
      <c r="Y70" s="184">
        <v>11742.5</v>
      </c>
      <c r="Z70" s="184">
        <v>0</v>
      </c>
      <c r="AA70" s="184">
        <v>0</v>
      </c>
      <c r="AB70" s="184">
        <v>4871604.4500000011</v>
      </c>
      <c r="AC70" s="184">
        <v>0</v>
      </c>
      <c r="AD70" s="184">
        <v>1222596.68</v>
      </c>
      <c r="AE70" s="184">
        <v>5681.87</v>
      </c>
      <c r="AF70" s="184">
        <v>0</v>
      </c>
      <c r="AG70" s="184">
        <v>2000</v>
      </c>
      <c r="AH70" s="184">
        <v>0</v>
      </c>
      <c r="AI70" s="184">
        <v>4000</v>
      </c>
      <c r="AJ70" s="184">
        <v>38660</v>
      </c>
      <c r="AK70" s="184">
        <v>240</v>
      </c>
      <c r="AL70" s="184">
        <v>0</v>
      </c>
      <c r="AM70" s="184">
        <v>0</v>
      </c>
      <c r="AN70" s="184">
        <v>0</v>
      </c>
      <c r="AO70" s="184">
        <v>0</v>
      </c>
      <c r="AP70" s="184">
        <v>532966.62000000011</v>
      </c>
      <c r="AQ70" s="184">
        <v>0</v>
      </c>
      <c r="AR70" s="184">
        <v>167128.75</v>
      </c>
      <c r="AS70" s="184">
        <v>0</v>
      </c>
      <c r="AT70" s="184">
        <v>0</v>
      </c>
      <c r="AU70" s="184">
        <v>0</v>
      </c>
      <c r="AV70" s="184">
        <v>4922703.41</v>
      </c>
      <c r="AW70" s="184">
        <v>0</v>
      </c>
      <c r="AX70" s="184">
        <v>0</v>
      </c>
      <c r="AY70" s="184">
        <v>0</v>
      </c>
      <c r="AZ70" s="184">
        <v>3722106.5100000002</v>
      </c>
      <c r="BA70" s="184">
        <v>0</v>
      </c>
      <c r="BB70" s="184">
        <v>0</v>
      </c>
      <c r="BC70" s="184">
        <v>0</v>
      </c>
      <c r="BD70" s="184">
        <v>0</v>
      </c>
      <c r="BE70" s="184">
        <v>4112.4399999999996</v>
      </c>
      <c r="BF70" s="184">
        <v>0</v>
      </c>
      <c r="BG70" s="184">
        <v>0</v>
      </c>
      <c r="BH70" s="184">
        <v>0</v>
      </c>
      <c r="BI70" s="184">
        <v>518029.94</v>
      </c>
      <c r="BJ70" s="184">
        <v>0</v>
      </c>
      <c r="BK70" s="184">
        <v>0</v>
      </c>
      <c r="BL70" s="184">
        <v>0</v>
      </c>
      <c r="BM70" s="184">
        <v>0</v>
      </c>
      <c r="BN70" s="184">
        <v>-3429192.7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13250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115573.89</v>
      </c>
      <c r="CC70" s="184">
        <v>10000</v>
      </c>
      <c r="CD70" s="184">
        <v>0</v>
      </c>
      <c r="CE70" s="195">
        <f t="shared" si="0"/>
        <v>25035967.310000006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26551164.93</v>
      </c>
      <c r="D71" s="195">
        <f t="shared" ref="D71:AI71" si="5">SUM(D61:D69)-D70</f>
        <v>0</v>
      </c>
      <c r="E71" s="195">
        <f t="shared" si="5"/>
        <v>45324978.640000001</v>
      </c>
      <c r="F71" s="195">
        <f t="shared" si="5"/>
        <v>0</v>
      </c>
      <c r="G71" s="195">
        <f t="shared" si="5"/>
        <v>4950575.1899999995</v>
      </c>
      <c r="H71" s="195">
        <f t="shared" si="5"/>
        <v>5575060.2699999996</v>
      </c>
      <c r="I71" s="195">
        <f t="shared" si="5"/>
        <v>0</v>
      </c>
      <c r="J71" s="195">
        <f t="shared" si="5"/>
        <v>8128542.6399999987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19261759.660000004</v>
      </c>
      <c r="P71" s="195">
        <f t="shared" si="5"/>
        <v>92160046.105000004</v>
      </c>
      <c r="Q71" s="195">
        <f t="shared" si="5"/>
        <v>2721287.9200000009</v>
      </c>
      <c r="R71" s="195">
        <f t="shared" si="5"/>
        <v>0</v>
      </c>
      <c r="S71" s="195">
        <f t="shared" si="5"/>
        <v>5014774.4713701997</v>
      </c>
      <c r="T71" s="195">
        <f t="shared" si="5"/>
        <v>3079357.0999999996</v>
      </c>
      <c r="U71" s="195">
        <f t="shared" si="5"/>
        <v>20130215.870000001</v>
      </c>
      <c r="V71" s="195">
        <f t="shared" si="5"/>
        <v>6380226.5599999996</v>
      </c>
      <c r="W71" s="195">
        <f t="shared" si="5"/>
        <v>0</v>
      </c>
      <c r="X71" s="195">
        <f t="shared" si="5"/>
        <v>1535419.2900000003</v>
      </c>
      <c r="Y71" s="195">
        <f t="shared" si="5"/>
        <v>14806044.130000001</v>
      </c>
      <c r="Z71" s="195">
        <f t="shared" si="5"/>
        <v>0</v>
      </c>
      <c r="AA71" s="195">
        <f t="shared" si="5"/>
        <v>1506419.68</v>
      </c>
      <c r="AB71" s="195">
        <f t="shared" si="5"/>
        <v>27262122.710000001</v>
      </c>
      <c r="AC71" s="195">
        <f t="shared" si="5"/>
        <v>4299746.16</v>
      </c>
      <c r="AD71" s="195">
        <f t="shared" si="5"/>
        <v>6151571.1399999997</v>
      </c>
      <c r="AE71" s="195">
        <f t="shared" si="5"/>
        <v>5267343.4000000013</v>
      </c>
      <c r="AF71" s="195">
        <f t="shared" si="5"/>
        <v>0</v>
      </c>
      <c r="AG71" s="195">
        <f t="shared" si="5"/>
        <v>21702705.16</v>
      </c>
      <c r="AH71" s="195">
        <f t="shared" si="5"/>
        <v>0</v>
      </c>
      <c r="AI71" s="195">
        <f t="shared" si="5"/>
        <v>14813983.459999997</v>
      </c>
      <c r="AJ71" s="195">
        <f t="shared" ref="AJ71:BO71" si="6">SUM(AJ61:AJ69)-AJ70</f>
        <v>7221632.0799999991</v>
      </c>
      <c r="AK71" s="195">
        <f t="shared" si="6"/>
        <v>2382546.7900000005</v>
      </c>
      <c r="AL71" s="195">
        <f t="shared" si="6"/>
        <v>672614.29999999993</v>
      </c>
      <c r="AM71" s="195">
        <f t="shared" si="6"/>
        <v>0</v>
      </c>
      <c r="AN71" s="195">
        <f t="shared" si="6"/>
        <v>44612</v>
      </c>
      <c r="AO71" s="195">
        <f t="shared" si="6"/>
        <v>0</v>
      </c>
      <c r="AP71" s="195">
        <f t="shared" si="6"/>
        <v>182782.51999999979</v>
      </c>
      <c r="AQ71" s="195">
        <f t="shared" si="6"/>
        <v>0</v>
      </c>
      <c r="AR71" s="195">
        <f t="shared" si="6"/>
        <v>47434101.059999995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15169183.031400003</v>
      </c>
      <c r="AW71" s="195">
        <f t="shared" si="6"/>
        <v>0</v>
      </c>
      <c r="AX71" s="195">
        <f t="shared" si="6"/>
        <v>2285.6268999999998</v>
      </c>
      <c r="AY71" s="195">
        <f t="shared" si="6"/>
        <v>0</v>
      </c>
      <c r="AZ71" s="195">
        <f t="shared" si="6"/>
        <v>8715114.0000000019</v>
      </c>
      <c r="BA71" s="195">
        <f t="shared" si="6"/>
        <v>298453.90000000002</v>
      </c>
      <c r="BB71" s="195">
        <f t="shared" si="6"/>
        <v>0</v>
      </c>
      <c r="BC71" s="195">
        <f t="shared" si="6"/>
        <v>1478429.7300000002</v>
      </c>
      <c r="BD71" s="195">
        <f t="shared" si="6"/>
        <v>0</v>
      </c>
      <c r="BE71" s="195">
        <f t="shared" si="6"/>
        <v>30191842.9322</v>
      </c>
      <c r="BF71" s="195">
        <f t="shared" si="6"/>
        <v>6574842.580000001</v>
      </c>
      <c r="BG71" s="195">
        <f t="shared" si="6"/>
        <v>110463.8404</v>
      </c>
      <c r="BH71" s="195">
        <f t="shared" si="6"/>
        <v>-698446.68900000001</v>
      </c>
      <c r="BI71" s="195">
        <f t="shared" si="6"/>
        <v>-70107.420000000042</v>
      </c>
      <c r="BJ71" s="195">
        <f t="shared" si="6"/>
        <v>1938000.52489797</v>
      </c>
      <c r="BK71" s="195">
        <f t="shared" si="6"/>
        <v>7339247.2191812899</v>
      </c>
      <c r="BL71" s="195">
        <f t="shared" si="6"/>
        <v>7774794.2580751805</v>
      </c>
      <c r="BM71" s="195">
        <f t="shared" si="6"/>
        <v>0</v>
      </c>
      <c r="BN71" s="195">
        <f t="shared" si="6"/>
        <v>28229306.798752606</v>
      </c>
      <c r="BO71" s="195">
        <f t="shared" si="6"/>
        <v>1067275.4931999999</v>
      </c>
      <c r="BP71" s="195">
        <f t="shared" ref="BP71:CC71" si="7">SUM(BP61:BP69)-BP70</f>
        <v>1399108.6538</v>
      </c>
      <c r="BQ71" s="195">
        <f t="shared" si="7"/>
        <v>0</v>
      </c>
      <c r="BR71" s="195">
        <f t="shared" si="7"/>
        <v>4423639.8734999998</v>
      </c>
      <c r="BS71" s="195">
        <f t="shared" si="7"/>
        <v>52.155200000000001</v>
      </c>
      <c r="BT71" s="195">
        <f t="shared" si="7"/>
        <v>382833.01910000003</v>
      </c>
      <c r="BU71" s="195">
        <f t="shared" si="7"/>
        <v>125375.68770000001</v>
      </c>
      <c r="BV71" s="195">
        <f t="shared" si="7"/>
        <v>10641643.689107802</v>
      </c>
      <c r="BW71" s="195">
        <f t="shared" si="7"/>
        <v>1300871.7238059998</v>
      </c>
      <c r="BX71" s="195">
        <f t="shared" si="7"/>
        <v>5362295.0302633392</v>
      </c>
      <c r="BY71" s="195">
        <f t="shared" si="7"/>
        <v>5422947.6624000007</v>
      </c>
      <c r="BZ71" s="195">
        <f t="shared" si="7"/>
        <v>0</v>
      </c>
      <c r="CA71" s="195">
        <f t="shared" si="7"/>
        <v>2351529.0645000003</v>
      </c>
      <c r="CB71" s="195">
        <f t="shared" si="7"/>
        <v>161798.63440000004</v>
      </c>
      <c r="CC71" s="195">
        <f t="shared" si="7"/>
        <v>48173383.736194782</v>
      </c>
      <c r="CD71" s="245">
        <f>CD69-CD70</f>
        <v>33031680.609999999</v>
      </c>
      <c r="CE71" s="195">
        <f>SUM(CE61:CE69)-CE70</f>
        <v>615459478.60234928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93678197.780000001</v>
      </c>
      <c r="D73" s="184">
        <v>0</v>
      </c>
      <c r="E73" s="184">
        <v>190219267.22999996</v>
      </c>
      <c r="F73" s="184">
        <v>0</v>
      </c>
      <c r="G73" s="184">
        <v>17054863.109999999</v>
      </c>
      <c r="H73" s="184">
        <v>22293696.130000003</v>
      </c>
      <c r="I73" s="184">
        <v>0</v>
      </c>
      <c r="J73" s="184">
        <v>42448311.359999999</v>
      </c>
      <c r="K73" s="184">
        <v>0</v>
      </c>
      <c r="L73" s="184">
        <v>0</v>
      </c>
      <c r="M73" s="184">
        <v>0</v>
      </c>
      <c r="N73" s="184">
        <v>0</v>
      </c>
      <c r="O73" s="184">
        <v>118239540.91999999</v>
      </c>
      <c r="P73" s="184">
        <v>505651062.22000009</v>
      </c>
      <c r="Q73" s="184">
        <v>16733274.140000001</v>
      </c>
      <c r="R73" s="184">
        <v>0</v>
      </c>
      <c r="S73" s="184">
        <v>0</v>
      </c>
      <c r="T73" s="184">
        <v>11869393.939999999</v>
      </c>
      <c r="U73" s="184">
        <v>87776052.460000008</v>
      </c>
      <c r="V73" s="184">
        <v>19093649.520000003</v>
      </c>
      <c r="W73" s="184">
        <v>0</v>
      </c>
      <c r="X73" s="184">
        <v>55539924.019999996</v>
      </c>
      <c r="Y73" s="184">
        <v>66695035.350000001</v>
      </c>
      <c r="Z73" s="184">
        <v>0</v>
      </c>
      <c r="AA73" s="184">
        <v>3722471.26</v>
      </c>
      <c r="AB73" s="184">
        <v>264988198.09999999</v>
      </c>
      <c r="AC73" s="184">
        <v>54992915.659999989</v>
      </c>
      <c r="AD73" s="184">
        <v>10183630</v>
      </c>
      <c r="AE73" s="184">
        <v>11259705.690000001</v>
      </c>
      <c r="AF73" s="184">
        <v>0</v>
      </c>
      <c r="AG73" s="184">
        <v>67358218.510000005</v>
      </c>
      <c r="AH73" s="184">
        <v>0</v>
      </c>
      <c r="AI73" s="184">
        <v>46265631.209999993</v>
      </c>
      <c r="AJ73" s="184">
        <v>80319.350000000006</v>
      </c>
      <c r="AK73" s="184">
        <v>9621414.3599999994</v>
      </c>
      <c r="AL73" s="184">
        <v>2705544.62</v>
      </c>
      <c r="AM73" s="184">
        <v>0</v>
      </c>
      <c r="AN73" s="184">
        <v>0</v>
      </c>
      <c r="AO73" s="184">
        <v>0</v>
      </c>
      <c r="AP73" s="184">
        <v>-526303.94999999995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2142562.42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1720086575.4099996</v>
      </c>
      <c r="CF73" s="252"/>
    </row>
    <row r="74" spans="1:84" ht="12.6" customHeight="1" x14ac:dyDescent="0.25">
      <c r="A74" s="171" t="s">
        <v>246</v>
      </c>
      <c r="B74" s="175"/>
      <c r="C74" s="184">
        <v>721084.04</v>
      </c>
      <c r="D74" s="184">
        <v>0</v>
      </c>
      <c r="E74" s="184">
        <v>14488961.830000002</v>
      </c>
      <c r="F74" s="184">
        <v>0</v>
      </c>
      <c r="G74" s="184">
        <v>6660.1</v>
      </c>
      <c r="H74" s="184">
        <v>1110254.6800000002</v>
      </c>
      <c r="I74" s="184">
        <v>0</v>
      </c>
      <c r="J74" s="184">
        <v>365.38</v>
      </c>
      <c r="K74" s="184">
        <v>0</v>
      </c>
      <c r="L74" s="184">
        <v>0</v>
      </c>
      <c r="M74" s="184">
        <v>0</v>
      </c>
      <c r="N74" s="184">
        <v>0</v>
      </c>
      <c r="O74" s="184">
        <v>10451453.709999999</v>
      </c>
      <c r="P74" s="184">
        <v>406790255.40999997</v>
      </c>
      <c r="Q74" s="184">
        <v>9969533.0700000003</v>
      </c>
      <c r="R74" s="184">
        <v>0</v>
      </c>
      <c r="S74" s="184">
        <v>0</v>
      </c>
      <c r="T74" s="184">
        <v>668357.18000000005</v>
      </c>
      <c r="U74" s="184">
        <v>32690499.870000005</v>
      </c>
      <c r="V74" s="184">
        <v>63121094.460000001</v>
      </c>
      <c r="W74" s="184">
        <v>0</v>
      </c>
      <c r="X74" s="184">
        <v>57610742.859999999</v>
      </c>
      <c r="Y74" s="184">
        <v>81058280.670000002</v>
      </c>
      <c r="Z74" s="184">
        <v>0</v>
      </c>
      <c r="AA74" s="184">
        <v>17950115.550000004</v>
      </c>
      <c r="AB74" s="184">
        <v>107058366.94000003</v>
      </c>
      <c r="AC74" s="184">
        <v>7926337.9099999992</v>
      </c>
      <c r="AD74" s="184">
        <v>15560849.449999997</v>
      </c>
      <c r="AE74" s="184">
        <v>14839352.490000002</v>
      </c>
      <c r="AF74" s="184">
        <v>0</v>
      </c>
      <c r="AG74" s="184">
        <v>110797627.98999999</v>
      </c>
      <c r="AH74" s="184">
        <v>0</v>
      </c>
      <c r="AI74" s="184">
        <v>36586637.549999997</v>
      </c>
      <c r="AJ74" s="184">
        <v>37855899.890000001</v>
      </c>
      <c r="AK74" s="184">
        <v>3891852.07</v>
      </c>
      <c r="AL74" s="184">
        <v>749786.7699999999</v>
      </c>
      <c r="AM74" s="184">
        <v>0</v>
      </c>
      <c r="AN74" s="184">
        <v>0</v>
      </c>
      <c r="AO74" s="184">
        <v>0</v>
      </c>
      <c r="AP74" s="184">
        <v>5359825.6199999992</v>
      </c>
      <c r="AQ74" s="184">
        <v>0</v>
      </c>
      <c r="AR74" s="184">
        <v>70997700.209999993</v>
      </c>
      <c r="AS74" s="184">
        <v>0</v>
      </c>
      <c r="AT74" s="184">
        <v>0</v>
      </c>
      <c r="AU74" s="184">
        <v>0</v>
      </c>
      <c r="AV74" s="184">
        <v>1829886.01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1110091781.71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94399281.820000008</v>
      </c>
      <c r="D75" s="195">
        <f t="shared" si="9"/>
        <v>0</v>
      </c>
      <c r="E75" s="195">
        <f t="shared" si="9"/>
        <v>204708229.05999997</v>
      </c>
      <c r="F75" s="195">
        <f t="shared" si="9"/>
        <v>0</v>
      </c>
      <c r="G75" s="195">
        <f t="shared" si="9"/>
        <v>17061523.210000001</v>
      </c>
      <c r="H75" s="195">
        <f t="shared" si="9"/>
        <v>23403950.810000002</v>
      </c>
      <c r="I75" s="195">
        <f t="shared" si="9"/>
        <v>0</v>
      </c>
      <c r="J75" s="195">
        <f t="shared" si="9"/>
        <v>42448676.740000002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128690994.62999998</v>
      </c>
      <c r="P75" s="195">
        <f t="shared" si="9"/>
        <v>912441317.63000011</v>
      </c>
      <c r="Q75" s="195">
        <f t="shared" si="9"/>
        <v>26702807.210000001</v>
      </c>
      <c r="R75" s="195">
        <f t="shared" si="9"/>
        <v>0</v>
      </c>
      <c r="S75" s="195">
        <f t="shared" si="9"/>
        <v>0</v>
      </c>
      <c r="T75" s="195">
        <f t="shared" si="9"/>
        <v>12537751.119999999</v>
      </c>
      <c r="U75" s="195">
        <f t="shared" si="9"/>
        <v>120466552.33000001</v>
      </c>
      <c r="V75" s="195">
        <f t="shared" si="9"/>
        <v>82214743.980000004</v>
      </c>
      <c r="W75" s="195">
        <f t="shared" si="9"/>
        <v>0</v>
      </c>
      <c r="X75" s="195">
        <f t="shared" si="9"/>
        <v>113150666.88</v>
      </c>
      <c r="Y75" s="195">
        <f t="shared" si="9"/>
        <v>147753316.02000001</v>
      </c>
      <c r="Z75" s="195">
        <f t="shared" si="9"/>
        <v>0</v>
      </c>
      <c r="AA75" s="195">
        <f t="shared" si="9"/>
        <v>21672586.810000002</v>
      </c>
      <c r="AB75" s="195">
        <f t="shared" si="9"/>
        <v>372046565.04000002</v>
      </c>
      <c r="AC75" s="195">
        <f t="shared" si="9"/>
        <v>62919253.569999985</v>
      </c>
      <c r="AD75" s="195">
        <f t="shared" si="9"/>
        <v>25744479.449999996</v>
      </c>
      <c r="AE75" s="195">
        <f t="shared" si="9"/>
        <v>26099058.180000003</v>
      </c>
      <c r="AF75" s="195">
        <f t="shared" si="9"/>
        <v>0</v>
      </c>
      <c r="AG75" s="195">
        <f t="shared" si="9"/>
        <v>178155846.5</v>
      </c>
      <c r="AH75" s="195">
        <f t="shared" si="9"/>
        <v>0</v>
      </c>
      <c r="AI75" s="195">
        <f t="shared" si="9"/>
        <v>82852268.75999999</v>
      </c>
      <c r="AJ75" s="195">
        <f t="shared" si="9"/>
        <v>37936219.240000002</v>
      </c>
      <c r="AK75" s="195">
        <f t="shared" si="9"/>
        <v>13513266.43</v>
      </c>
      <c r="AL75" s="195">
        <f t="shared" si="9"/>
        <v>3455331.39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4833521.669999999</v>
      </c>
      <c r="AQ75" s="195">
        <f t="shared" si="9"/>
        <v>0</v>
      </c>
      <c r="AR75" s="195">
        <f t="shared" si="9"/>
        <v>70997700.209999993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3972448.4299999997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2830178357.1199994</v>
      </c>
      <c r="CF75" s="252"/>
    </row>
    <row r="76" spans="1:84" ht="12.6" customHeight="1" x14ac:dyDescent="0.25">
      <c r="A76" s="171" t="s">
        <v>248</v>
      </c>
      <c r="B76" s="175"/>
      <c r="C76" s="184">
        <v>20827</v>
      </c>
      <c r="D76" s="184"/>
      <c r="E76" s="185">
        <v>93975</v>
      </c>
      <c r="F76" s="185"/>
      <c r="G76" s="184">
        <v>20301</v>
      </c>
      <c r="H76" s="184"/>
      <c r="I76" s="185"/>
      <c r="J76" s="185">
        <v>2522</v>
      </c>
      <c r="K76" s="185"/>
      <c r="L76" s="185"/>
      <c r="M76" s="185"/>
      <c r="N76" s="185"/>
      <c r="O76" s="185">
        <v>17619</v>
      </c>
      <c r="P76" s="185">
        <v>88022</v>
      </c>
      <c r="Q76" s="185">
        <v>2369</v>
      </c>
      <c r="R76" s="185"/>
      <c r="S76" s="185">
        <v>17441</v>
      </c>
      <c r="T76" s="185"/>
      <c r="U76" s="185">
        <v>18834</v>
      </c>
      <c r="V76" s="185"/>
      <c r="W76" s="185"/>
      <c r="X76" s="185"/>
      <c r="Y76" s="185">
        <v>46504</v>
      </c>
      <c r="Z76" s="185"/>
      <c r="AA76" s="185"/>
      <c r="AB76" s="185">
        <v>19190</v>
      </c>
      <c r="AC76" s="185">
        <v>981</v>
      </c>
      <c r="AD76" s="185">
        <v>40223</v>
      </c>
      <c r="AE76" s="185">
        <v>12994</v>
      </c>
      <c r="AF76" s="185"/>
      <c r="AG76" s="185">
        <v>20182</v>
      </c>
      <c r="AH76" s="185"/>
      <c r="AI76" s="185"/>
      <c r="AJ76" s="185">
        <v>21019</v>
      </c>
      <c r="AK76" s="185">
        <v>5815</v>
      </c>
      <c r="AL76" s="185">
        <v>4171</v>
      </c>
      <c r="AM76" s="185"/>
      <c r="AN76" s="185">
        <v>3310</v>
      </c>
      <c r="AO76" s="185"/>
      <c r="AP76" s="185">
        <v>1709</v>
      </c>
      <c r="AQ76" s="185"/>
      <c r="AR76" s="185"/>
      <c r="AS76" s="185"/>
      <c r="AT76" s="185"/>
      <c r="AU76" s="185"/>
      <c r="AV76" s="185">
        <v>1394</v>
      </c>
      <c r="AW76" s="185"/>
      <c r="AX76" s="185"/>
      <c r="AY76" s="185"/>
      <c r="AZ76" s="185">
        <v>19038</v>
      </c>
      <c r="BA76" s="185">
        <v>4244</v>
      </c>
      <c r="BB76" s="185"/>
      <c r="BC76" s="185"/>
      <c r="BD76" s="185"/>
      <c r="BE76" s="185">
        <v>174493</v>
      </c>
      <c r="BF76" s="185">
        <v>2066</v>
      </c>
      <c r="BG76" s="185"/>
      <c r="BH76" s="185"/>
      <c r="BI76" s="185">
        <v>1333</v>
      </c>
      <c r="BJ76" s="185"/>
      <c r="BK76" s="185"/>
      <c r="BL76" s="185"/>
      <c r="BM76" s="185"/>
      <c r="BN76" s="185">
        <v>201284</v>
      </c>
      <c r="BO76" s="185"/>
      <c r="BP76" s="185"/>
      <c r="BQ76" s="185"/>
      <c r="BR76" s="185">
        <v>16702</v>
      </c>
      <c r="BS76" s="185"/>
      <c r="BT76" s="185"/>
      <c r="BU76" s="185"/>
      <c r="BV76" s="185">
        <v>9455</v>
      </c>
      <c r="BW76" s="185"/>
      <c r="BX76" s="185"/>
      <c r="BY76" s="185">
        <v>978</v>
      </c>
      <c r="BZ76" s="185"/>
      <c r="CA76" s="185"/>
      <c r="CB76" s="185"/>
      <c r="CC76" s="185"/>
      <c r="CD76" s="249" t="s">
        <v>221</v>
      </c>
      <c r="CE76" s="195">
        <f t="shared" si="8"/>
        <v>888995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f>3+36470</f>
        <v>36473</v>
      </c>
      <c r="D77" s="184"/>
      <c r="E77" s="184">
        <v>247757</v>
      </c>
      <c r="F77" s="184"/>
      <c r="G77" s="184">
        <v>26244</v>
      </c>
      <c r="H77" s="184">
        <v>30457</v>
      </c>
      <c r="I77" s="184"/>
      <c r="J77" s="184"/>
      <c r="K77" s="184"/>
      <c r="L77" s="184"/>
      <c r="M77" s="184"/>
      <c r="N77" s="184"/>
      <c r="O77" s="184">
        <v>53848</v>
      </c>
      <c r="P77" s="184">
        <v>48714</v>
      </c>
      <c r="Q77" s="184"/>
      <c r="R77" s="184"/>
      <c r="S77" s="184"/>
      <c r="T77" s="184">
        <v>82421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>
        <v>51363</v>
      </c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577277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8174</v>
      </c>
      <c r="D78" s="184"/>
      <c r="E78" s="184">
        <f>-2+36881</f>
        <v>36879</v>
      </c>
      <c r="F78" s="184"/>
      <c r="G78" s="184">
        <v>7967</v>
      </c>
      <c r="H78" s="184"/>
      <c r="I78" s="184"/>
      <c r="J78" s="184">
        <v>990</v>
      </c>
      <c r="K78" s="184"/>
      <c r="L78" s="184"/>
      <c r="M78" s="184"/>
      <c r="N78" s="184"/>
      <c r="O78" s="184">
        <v>6915</v>
      </c>
      <c r="P78" s="184">
        <v>30697</v>
      </c>
      <c r="Q78" s="184">
        <v>930</v>
      </c>
      <c r="R78" s="184"/>
      <c r="S78" s="184">
        <v>6845</v>
      </c>
      <c r="T78" s="184"/>
      <c r="U78" s="184">
        <v>6537</v>
      </c>
      <c r="V78" s="184"/>
      <c r="W78" s="184"/>
      <c r="X78" s="184"/>
      <c r="Y78" s="184">
        <v>18250</v>
      </c>
      <c r="Z78" s="184"/>
      <c r="AA78" s="184"/>
      <c r="AB78" s="184">
        <v>6427</v>
      </c>
      <c r="AC78" s="184">
        <v>385</v>
      </c>
      <c r="AD78" s="184">
        <v>20624</v>
      </c>
      <c r="AE78" s="184">
        <v>5100</v>
      </c>
      <c r="AF78" s="184"/>
      <c r="AG78" s="184">
        <v>7920</v>
      </c>
      <c r="AH78" s="184"/>
      <c r="AI78" s="184"/>
      <c r="AJ78" s="184"/>
      <c r="AK78" s="184">
        <v>2282</v>
      </c>
      <c r="AL78" s="184">
        <v>1637</v>
      </c>
      <c r="AM78" s="184"/>
      <c r="AN78" s="184">
        <v>1299</v>
      </c>
      <c r="AO78" s="184"/>
      <c r="AP78" s="184">
        <v>671</v>
      </c>
      <c r="AQ78" s="184"/>
      <c r="AR78" s="184"/>
      <c r="AS78" s="184"/>
      <c r="AT78" s="184"/>
      <c r="AU78" s="184"/>
      <c r="AV78" s="184">
        <v>547</v>
      </c>
      <c r="AW78" s="184"/>
      <c r="AX78" s="249" t="s">
        <v>221</v>
      </c>
      <c r="AY78" s="249" t="s">
        <v>221</v>
      </c>
      <c r="AZ78" s="249" t="s">
        <v>221</v>
      </c>
      <c r="BA78" s="184">
        <v>1666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523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3711</v>
      </c>
      <c r="BW78" s="184"/>
      <c r="BX78" s="184"/>
      <c r="BY78" s="184">
        <v>340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177316</v>
      </c>
      <c r="CF78" s="195"/>
    </row>
    <row r="79" spans="1:84" ht="12.6" customHeight="1" x14ac:dyDescent="0.25">
      <c r="A79" s="171" t="s">
        <v>251</v>
      </c>
      <c r="B79" s="175"/>
      <c r="C79" s="225">
        <v>243480</v>
      </c>
      <c r="D79" s="225"/>
      <c r="E79" s="184">
        <f>751969+12030</f>
        <v>763999</v>
      </c>
      <c r="F79" s="184"/>
      <c r="G79" s="184"/>
      <c r="H79" s="184">
        <v>31331</v>
      </c>
      <c r="I79" s="184"/>
      <c r="J79" s="184"/>
      <c r="K79" s="184"/>
      <c r="L79" s="184"/>
      <c r="M79" s="184"/>
      <c r="N79" s="184"/>
      <c r="O79" s="184">
        <v>305746</v>
      </c>
      <c r="P79" s="184">
        <v>702939</v>
      </c>
      <c r="Q79" s="184">
        <v>66228</v>
      </c>
      <c r="R79" s="184"/>
      <c r="S79" s="184">
        <v>15449</v>
      </c>
      <c r="T79" s="184"/>
      <c r="U79" s="184">
        <v>9380</v>
      </c>
      <c r="V79" s="184"/>
      <c r="W79" s="184"/>
      <c r="X79" s="184"/>
      <c r="Y79" s="184">
        <v>145076</v>
      </c>
      <c r="Z79" s="184"/>
      <c r="AA79" s="184">
        <v>16235</v>
      </c>
      <c r="AB79" s="184"/>
      <c r="AC79" s="184"/>
      <c r="AD79" s="184">
        <v>53515</v>
      </c>
      <c r="AE79" s="184"/>
      <c r="AF79" s="184"/>
      <c r="AG79" s="184">
        <v>281352</v>
      </c>
      <c r="AH79" s="184"/>
      <c r="AI79" s="184"/>
      <c r="AJ79" s="184">
        <v>26342</v>
      </c>
      <c r="AK79" s="184">
        <v>27656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14737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2703465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119.07</v>
      </c>
      <c r="D80" s="187"/>
      <c r="E80" s="187">
        <v>225.33</v>
      </c>
      <c r="F80" s="187"/>
      <c r="G80" s="187">
        <v>18.309999999999999</v>
      </c>
      <c r="H80" s="187">
        <v>20.149999999999999</v>
      </c>
      <c r="I80" s="187"/>
      <c r="J80" s="187">
        <v>30.65</v>
      </c>
      <c r="K80" s="187"/>
      <c r="L80" s="187"/>
      <c r="M80" s="187"/>
      <c r="N80" s="187"/>
      <c r="O80" s="187">
        <v>80.73</v>
      </c>
      <c r="P80" s="187">
        <v>79.84</v>
      </c>
      <c r="Q80" s="187">
        <v>14.89</v>
      </c>
      <c r="R80" s="187"/>
      <c r="S80" s="187"/>
      <c r="T80" s="187">
        <v>12.28</v>
      </c>
      <c r="U80" s="187">
        <v>3.26</v>
      </c>
      <c r="V80" s="187">
        <v>2.96</v>
      </c>
      <c r="W80" s="187"/>
      <c r="X80" s="187"/>
      <c r="Y80" s="187">
        <v>5.78</v>
      </c>
      <c r="Z80" s="187"/>
      <c r="AA80" s="187"/>
      <c r="AB80" s="187">
        <v>3.29</v>
      </c>
      <c r="AC80" s="187"/>
      <c r="AD80" s="187"/>
      <c r="AE80" s="187"/>
      <c r="AF80" s="187"/>
      <c r="AG80" s="187">
        <v>50.65</v>
      </c>
      <c r="AH80" s="187"/>
      <c r="AI80" s="187">
        <v>76.94</v>
      </c>
      <c r="AJ80" s="187">
        <v>15.78</v>
      </c>
      <c r="AK80" s="187"/>
      <c r="AL80" s="187"/>
      <c r="AM80" s="187"/>
      <c r="AN80" s="187"/>
      <c r="AO80" s="187"/>
      <c r="AP80" s="187">
        <v>1.88</v>
      </c>
      <c r="AQ80" s="187"/>
      <c r="AR80" s="187">
        <v>106.89</v>
      </c>
      <c r="AS80" s="187"/>
      <c r="AT80" s="187"/>
      <c r="AU80" s="187"/>
      <c r="AV80" s="187">
        <v>3.32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871.99999999999989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71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71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1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19956</v>
      </c>
      <c r="D111" s="174">
        <v>110758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4415</v>
      </c>
      <c r="D114" s="174">
        <v>10888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35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26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23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23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366</v>
      </c>
    </row>
    <row r="128" spans="1:5" ht="12.6" customHeight="1" x14ac:dyDescent="0.25">
      <c r="A128" s="173" t="s">
        <v>292</v>
      </c>
      <c r="B128" s="172" t="s">
        <v>256</v>
      </c>
      <c r="C128" s="189">
        <v>366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35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4935+3383</f>
        <v>8318</v>
      </c>
      <c r="C138" s="189">
        <f>608+4328+2</f>
        <v>4938</v>
      </c>
      <c r="D138" s="174">
        <f>19956-13256</f>
        <v>6700</v>
      </c>
      <c r="E138" s="175">
        <f>SUM(B138:D138)</f>
        <v>19956</v>
      </c>
    </row>
    <row r="139" spans="1:6" ht="12.6" customHeight="1" x14ac:dyDescent="0.25">
      <c r="A139" s="173" t="s">
        <v>215</v>
      </c>
      <c r="B139" s="174">
        <f>33047+22774</f>
        <v>55821</v>
      </c>
      <c r="C139" s="189">
        <f>3079+24678+3</f>
        <v>27760</v>
      </c>
      <c r="D139" s="174">
        <f>-83581+110758</f>
        <v>27177</v>
      </c>
      <c r="E139" s="175">
        <f>SUM(B139:D139)</f>
        <v>110758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839598453</f>
        <v>839598453</v>
      </c>
      <c r="C141" s="189">
        <f>391494020</f>
        <v>391494020</v>
      </c>
      <c r="D141" s="174">
        <f>-1231092473+1720086575</f>
        <v>488994102</v>
      </c>
      <c r="E141" s="175">
        <f>SUM(B141:D141)</f>
        <v>1720086575</v>
      </c>
      <c r="F141" s="199"/>
    </row>
    <row r="142" spans="1:6" ht="12.6" customHeight="1" x14ac:dyDescent="0.25">
      <c r="A142" s="173" t="s">
        <v>246</v>
      </c>
      <c r="B142" s="174">
        <v>462265557</v>
      </c>
      <c r="C142" s="189">
        <f>1+229380064</f>
        <v>229380065</v>
      </c>
      <c r="D142" s="174">
        <f>-691645621+1110091781</f>
        <v>418446160</v>
      </c>
      <c r="E142" s="175">
        <f>SUM(B142:D142)</f>
        <v>1110091782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14498940.550000001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655974.79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2937393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27390089.41-3801180.56+894378.42+221727.56+1719024.81-600920.79+248875.47-248011.93+657598.87</f>
        <v>26481581.260000002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558090.57-450732.02</f>
        <v>107358.54999999993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5771592.63+3796949.37+193272.04</f>
        <v>9761814.0399999991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456680.49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-54899743+55147027.71+1</f>
        <v>247285.71000000089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55147028.390000001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5541373.8499999996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2726142.83+501598.61</f>
        <v>3227741.44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8769115.2899999991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4467183-125547</f>
        <v>4341636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760863.72+51390.37</f>
        <v>812254.09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5153890.09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145587.01999999999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27477069.989999998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27622657.009999998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255133.4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255133.4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286">
        <v>7877315</v>
      </c>
      <c r="C195" s="189"/>
      <c r="D195" s="174"/>
      <c r="E195" s="175">
        <f t="shared" ref="E195:E203" si="10">SUM(B195:C195)-D195</f>
        <v>7877315</v>
      </c>
    </row>
    <row r="196" spans="1:8" ht="12.6" customHeight="1" x14ac:dyDescent="0.25">
      <c r="A196" s="173" t="s">
        <v>333</v>
      </c>
      <c r="B196" s="286">
        <v>4412190</v>
      </c>
      <c r="C196" s="189"/>
      <c r="D196" s="174"/>
      <c r="E196" s="175">
        <f t="shared" si="10"/>
        <v>4412190</v>
      </c>
    </row>
    <row r="197" spans="1:8" ht="12.6" customHeight="1" x14ac:dyDescent="0.25">
      <c r="A197" s="173" t="s">
        <v>334</v>
      </c>
      <c r="B197" s="286">
        <v>170461210.50999999</v>
      </c>
      <c r="C197" s="189">
        <f>1898583.13+4231603.44</f>
        <v>6130186.5700000003</v>
      </c>
      <c r="D197" s="174"/>
      <c r="E197" s="175">
        <f t="shared" si="10"/>
        <v>176591397.07999998</v>
      </c>
    </row>
    <row r="198" spans="1:8" ht="12.6" customHeight="1" x14ac:dyDescent="0.25">
      <c r="A198" s="173" t="s">
        <v>335</v>
      </c>
      <c r="B198" s="286">
        <v>0</v>
      </c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286">
        <v>72677417.920000002</v>
      </c>
      <c r="C199" s="189">
        <f>4279748.92+1806912.5</f>
        <v>6086661.4199999999</v>
      </c>
      <c r="D199" s="174">
        <f>-9974.74+752949.76</f>
        <v>742975.02</v>
      </c>
      <c r="E199" s="175">
        <f t="shared" si="10"/>
        <v>78021104.320000008</v>
      </c>
    </row>
    <row r="200" spans="1:8" ht="12.6" customHeight="1" x14ac:dyDescent="0.25">
      <c r="A200" s="173" t="s">
        <v>337</v>
      </c>
      <c r="B200" s="286">
        <v>230500672.39999998</v>
      </c>
      <c r="C200" s="189">
        <f>21366173.33+1348838.4</f>
        <v>22715011.729999997</v>
      </c>
      <c r="D200" s="174">
        <f>-329289.48+387459</f>
        <v>58169.520000000019</v>
      </c>
      <c r="E200" s="175">
        <f t="shared" si="10"/>
        <v>253157514.60999995</v>
      </c>
    </row>
    <row r="201" spans="1:8" ht="12.6" customHeight="1" x14ac:dyDescent="0.25">
      <c r="A201" s="173" t="s">
        <v>338</v>
      </c>
      <c r="B201" s="286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286">
        <v>26048309.020000003</v>
      </c>
      <c r="C202" s="189">
        <f>5487247.81+2209736.56</f>
        <v>7696984.3699999992</v>
      </c>
      <c r="D202" s="174">
        <f>-323334.27+323334.27</f>
        <v>0</v>
      </c>
      <c r="E202" s="175">
        <f t="shared" si="10"/>
        <v>33745293.390000001</v>
      </c>
    </row>
    <row r="203" spans="1:8" ht="12.6" customHeight="1" x14ac:dyDescent="0.25">
      <c r="A203" s="173" t="s">
        <v>340</v>
      </c>
      <c r="B203" s="286">
        <v>11342590.23</v>
      </c>
      <c r="C203" s="189">
        <f>48603897.77+122850-1</f>
        <v>48726746.770000003</v>
      </c>
      <c r="D203" s="174">
        <v>42114457.590000004</v>
      </c>
      <c r="E203" s="175">
        <f t="shared" si="10"/>
        <v>17954879.409999996</v>
      </c>
    </row>
    <row r="204" spans="1:8" ht="12.6" customHeight="1" x14ac:dyDescent="0.25">
      <c r="A204" s="173" t="s">
        <v>203</v>
      </c>
      <c r="B204" s="175">
        <f>SUM(B195:B203)</f>
        <v>523319705.07999998</v>
      </c>
      <c r="C204" s="191">
        <f>SUM(C195:C203)</f>
        <v>91355590.859999999</v>
      </c>
      <c r="D204" s="175">
        <f>SUM(D195:D203)</f>
        <v>42915602.130000003</v>
      </c>
      <c r="E204" s="175">
        <f>SUM(E195:E203)</f>
        <v>571759693.80999994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3171543.5399999996</v>
      </c>
      <c r="C209" s="189">
        <v>169315.56</v>
      </c>
      <c r="D209" s="174"/>
      <c r="E209" s="175">
        <f t="shared" ref="E209:E216" si="11">SUM(B209:C209)-D209</f>
        <v>3340859.0999999996</v>
      </c>
      <c r="H209" s="259"/>
    </row>
    <row r="210" spans="1:8" ht="12.6" customHeight="1" x14ac:dyDescent="0.25">
      <c r="A210" s="173" t="s">
        <v>334</v>
      </c>
      <c r="B210" s="174">
        <f>8678282+69297423.25</f>
        <v>77975705.25</v>
      </c>
      <c r="C210" s="189">
        <f>2385754.18+2929064.54</f>
        <v>5314818.7200000007</v>
      </c>
      <c r="D210" s="174">
        <f>-(117011.69-50275.72)</f>
        <v>-66735.97</v>
      </c>
      <c r="E210" s="175">
        <f t="shared" si="11"/>
        <v>83357259.939999998</v>
      </c>
      <c r="H210" s="259"/>
    </row>
    <row r="211" spans="1:8" ht="12.6" customHeight="1" x14ac:dyDescent="0.25">
      <c r="A211" s="173" t="s">
        <v>335</v>
      </c>
      <c r="B211" s="174">
        <f>-8678282+12448414.8</f>
        <v>3770132.8000000007</v>
      </c>
      <c r="C211" s="189"/>
      <c r="D211" s="174"/>
      <c r="E211" s="175">
        <f t="shared" si="11"/>
        <v>3770132.8000000007</v>
      </c>
      <c r="H211" s="259"/>
    </row>
    <row r="212" spans="1:8" ht="12.6" customHeight="1" x14ac:dyDescent="0.25">
      <c r="A212" s="173" t="s">
        <v>336</v>
      </c>
      <c r="B212" s="174">
        <v>61630978.329999998</v>
      </c>
      <c r="C212" s="189">
        <v>1282773.8500000001</v>
      </c>
      <c r="D212" s="174">
        <f>-(-10984.53+2337.81-2714.03)</f>
        <v>11360.750000000002</v>
      </c>
      <c r="E212" s="175">
        <f t="shared" si="11"/>
        <v>62902391.43</v>
      </c>
      <c r="H212" s="259"/>
    </row>
    <row r="213" spans="1:8" ht="12.6" customHeight="1" x14ac:dyDescent="0.25">
      <c r="A213" s="173" t="s">
        <v>337</v>
      </c>
      <c r="B213" s="174">
        <v>171580698.22999996</v>
      </c>
      <c r="C213" s="189">
        <f>985886+15919529.43</f>
        <v>16905415.43</v>
      </c>
      <c r="D213" s="174">
        <f>-(1573027.81-140753.09+115182.16-985886)</f>
        <v>-561570.87999999989</v>
      </c>
      <c r="E213" s="175">
        <f t="shared" si="11"/>
        <v>189047684.53999996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f>9323054.5729546-1</f>
        <v>9323053.5729546007</v>
      </c>
      <c r="C215" s="189">
        <v>2070378.18</v>
      </c>
      <c r="D215" s="174">
        <f>-(-94683.7+93328.98)</f>
        <v>1354.7200000000012</v>
      </c>
      <c r="E215" s="175">
        <f t="shared" si="11"/>
        <v>11392077.0329546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327452111.72295457</v>
      </c>
      <c r="C217" s="191">
        <f>SUM(C208:C216)</f>
        <v>25742701.740000002</v>
      </c>
      <c r="D217" s="175">
        <f>SUM(D208:D216)</f>
        <v>-615591.37999999989</v>
      </c>
      <c r="E217" s="175">
        <f>SUM(E208:E216)</f>
        <v>353810404.84295452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7" t="s">
        <v>1255</v>
      </c>
      <c r="C220" s="34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5300584.28</v>
      </c>
      <c r="D221" s="172">
        <f>C221</f>
        <v>5300584.28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691560429.45+348931915.27+87.97+1648466.58+27463.57</f>
        <v>1042168362.8400002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328881166.29+204002071.42+94.02+782987.44</f>
        <v>533666319.17000002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48319090.13+43595360.49+107071.21</f>
        <v>92021521.829999998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2100634273.24-C223-C224-C225-C228-C238-C226</f>
        <v>383088072.80999982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15685111.35+20278038.07+20697.99</f>
        <v>35983847.410000004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2086928124.0600002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10134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17658278.579999998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32458675.19-17658278.58</f>
        <v>14800396.610000003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32458675.190000001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544847.67+72353.86+23391.15+358162.04+12707394.46</f>
        <v>13706149.180000002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13706149.180000002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2138393532.7100003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54008395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401428577.23000002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286599119.16+19677784.96</f>
        <v>306276904.12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7149590.56+287743.65+14310580.73</f>
        <v>21747914.940000001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15532003.699999999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617650.30000000005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187057637.05000001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7877314.96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4412190.25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122860258.49+53731138.59</f>
        <v>176591397.07999998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78021103.969999999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253157514.61000001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33745293.340000004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12934752.62+5020127.62</f>
        <v>17954880.239999998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571759694.45000005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353810405.16000003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217949289.29000002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78877688.85+5994224.72</f>
        <v>84871913.569999993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f>32737+1208828.2</f>
        <v>1241565.2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86113478.769999996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491120405.11000001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10547057.119999999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23156488.5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21526117.2+572806.07+25064800.41</f>
        <v>47163723.68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4617459.5999999996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46026577.210000001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2025678.77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133536984.87999998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3807303.23+2025678.77</f>
        <v>5832982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4935092.9000000004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10768074.9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2025678.77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8742396.1300000008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348841024.04000002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491120405.05000001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491120405.11000001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1720086575.4100001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2830178356.37-1720086575</f>
        <v>1110091781.3699999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2830178356.7799997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5300584.28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1284355903.64+813459580.25+236.17+2694622.1+72353.86+51577.22-C366</f>
        <v>2086928124.0599999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32458675.190000001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C238</f>
        <v>13706149.180000002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2138393532.71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691784824.06999969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26481175.07+430310.38-1875518.14</f>
        <v>25035967.309999999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25035967.309999999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716820791.37999964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197830567.79+4489854.14</f>
        <v>202320421.92999998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55147027.710000001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25913592.530000001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105118212.06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4016111.89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7619844+6344552.4+155954702.72+390057.49</f>
        <v>170309156.61000001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3+25742699.1</f>
        <v>25742702.100000001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8769115.2899999991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5153890.09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145587.02+27477069.99</f>
        <v>27622657.009999998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255133.4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-630368018+640495442.72</f>
        <v>10127424.720000029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640495445.34000003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76325346.039999604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7702443.6900000004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84027789.729999602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84027789.729999602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St.Joseph Medical Center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19956</v>
      </c>
      <c r="C414" s="194">
        <f>E138</f>
        <v>19956</v>
      </c>
      <c r="D414" s="179"/>
    </row>
    <row r="415" spans="1:5" ht="12.6" customHeight="1" x14ac:dyDescent="0.25">
      <c r="A415" s="179" t="s">
        <v>464</v>
      </c>
      <c r="B415" s="179">
        <f>D111</f>
        <v>110758</v>
      </c>
      <c r="C415" s="179">
        <f>E139</f>
        <v>110758</v>
      </c>
      <c r="D415" s="194">
        <f>SUM(C59:H59)+N59</f>
        <v>110758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4415</v>
      </c>
    </row>
    <row r="424" spans="1:7" ht="12.6" customHeight="1" x14ac:dyDescent="0.25">
      <c r="A424" s="179" t="s">
        <v>1244</v>
      </c>
      <c r="B424" s="179">
        <f>D114</f>
        <v>10888</v>
      </c>
      <c r="D424" s="179">
        <f>J59</f>
        <v>10888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202320421.92999998</v>
      </c>
      <c r="C427" s="179">
        <f t="shared" ref="C427:C434" si="13">CE61</f>
        <v>202320421.93000001</v>
      </c>
      <c r="D427" s="179"/>
    </row>
    <row r="428" spans="1:7" ht="12.6" customHeight="1" x14ac:dyDescent="0.25">
      <c r="A428" s="179" t="s">
        <v>3</v>
      </c>
      <c r="B428" s="179">
        <f t="shared" si="12"/>
        <v>55147027.710000001</v>
      </c>
      <c r="C428" s="179">
        <f t="shared" si="13"/>
        <v>55147028</v>
      </c>
      <c r="D428" s="179">
        <f>D173</f>
        <v>55147028.390000001</v>
      </c>
    </row>
    <row r="429" spans="1:7" ht="12.6" customHeight="1" x14ac:dyDescent="0.25">
      <c r="A429" s="179" t="s">
        <v>236</v>
      </c>
      <c r="B429" s="179">
        <f t="shared" si="12"/>
        <v>25913592.530000001</v>
      </c>
      <c r="C429" s="179">
        <f t="shared" si="13"/>
        <v>25913592.530000001</v>
      </c>
      <c r="D429" s="179"/>
    </row>
    <row r="430" spans="1:7" ht="12.6" customHeight="1" x14ac:dyDescent="0.25">
      <c r="A430" s="179" t="s">
        <v>237</v>
      </c>
      <c r="B430" s="179">
        <f t="shared" si="12"/>
        <v>105118212.06</v>
      </c>
      <c r="C430" s="179">
        <f t="shared" si="13"/>
        <v>105118212.06000003</v>
      </c>
      <c r="D430" s="179"/>
    </row>
    <row r="431" spans="1:7" ht="12.6" customHeight="1" x14ac:dyDescent="0.25">
      <c r="A431" s="179" t="s">
        <v>444</v>
      </c>
      <c r="B431" s="179">
        <f t="shared" si="12"/>
        <v>4016111.89</v>
      </c>
      <c r="C431" s="179">
        <f t="shared" si="13"/>
        <v>4016111.89</v>
      </c>
      <c r="D431" s="179"/>
    </row>
    <row r="432" spans="1:7" ht="12.6" customHeight="1" x14ac:dyDescent="0.25">
      <c r="A432" s="179" t="s">
        <v>445</v>
      </c>
      <c r="B432" s="179">
        <f t="shared" si="12"/>
        <v>170309156.61000001</v>
      </c>
      <c r="C432" s="179">
        <f t="shared" si="13"/>
        <v>170309156.61234921</v>
      </c>
      <c r="D432" s="179"/>
    </row>
    <row r="433" spans="1:7" ht="12.6" customHeight="1" x14ac:dyDescent="0.25">
      <c r="A433" s="179" t="s">
        <v>6</v>
      </c>
      <c r="B433" s="179">
        <f t="shared" si="12"/>
        <v>25742702.100000001</v>
      </c>
      <c r="C433" s="179">
        <f t="shared" si="13"/>
        <v>25742702</v>
      </c>
      <c r="D433" s="179">
        <f>C217</f>
        <v>25742701.740000002</v>
      </c>
    </row>
    <row r="434" spans="1:7" ht="12.6" customHeight="1" x14ac:dyDescent="0.25">
      <c r="A434" s="179" t="s">
        <v>474</v>
      </c>
      <c r="B434" s="179">
        <f t="shared" si="12"/>
        <v>8769115.2899999991</v>
      </c>
      <c r="C434" s="179">
        <f t="shared" si="13"/>
        <v>8769115.290000001</v>
      </c>
      <c r="D434" s="179">
        <f>D177</f>
        <v>8769115.2899999991</v>
      </c>
    </row>
    <row r="435" spans="1:7" ht="12.6" customHeight="1" x14ac:dyDescent="0.25">
      <c r="A435" s="179" t="s">
        <v>447</v>
      </c>
      <c r="B435" s="179">
        <f t="shared" si="12"/>
        <v>5153890.09</v>
      </c>
      <c r="C435" s="179"/>
      <c r="D435" s="179">
        <f>D181</f>
        <v>5153890.09</v>
      </c>
    </row>
    <row r="436" spans="1:7" ht="12.6" customHeight="1" x14ac:dyDescent="0.25">
      <c r="A436" s="179" t="s">
        <v>475</v>
      </c>
      <c r="B436" s="179">
        <f t="shared" si="12"/>
        <v>27622657.009999998</v>
      </c>
      <c r="C436" s="179"/>
      <c r="D436" s="179">
        <f>D186</f>
        <v>27622657.009999998</v>
      </c>
    </row>
    <row r="437" spans="1:7" ht="12.6" customHeight="1" x14ac:dyDescent="0.25">
      <c r="A437" s="194" t="s">
        <v>449</v>
      </c>
      <c r="B437" s="194">
        <f t="shared" si="12"/>
        <v>255133.4</v>
      </c>
      <c r="C437" s="194"/>
      <c r="D437" s="194">
        <f>D190</f>
        <v>255133.4</v>
      </c>
    </row>
    <row r="438" spans="1:7" ht="12.6" customHeight="1" x14ac:dyDescent="0.25">
      <c r="A438" s="194" t="s">
        <v>476</v>
      </c>
      <c r="B438" s="194">
        <f>C386+C387+C388</f>
        <v>33031680.499999996</v>
      </c>
      <c r="C438" s="194">
        <f>CD69</f>
        <v>33031680.609999999</v>
      </c>
      <c r="D438" s="194">
        <f>D181+D186+D190</f>
        <v>33031680.499999996</v>
      </c>
    </row>
    <row r="439" spans="1:7" ht="12.6" customHeight="1" x14ac:dyDescent="0.25">
      <c r="A439" s="179" t="s">
        <v>451</v>
      </c>
      <c r="B439" s="194">
        <f>C389</f>
        <v>10127424.720000029</v>
      </c>
      <c r="C439" s="194">
        <f>SUM(C69:CC69)</f>
        <v>10127424.990000002</v>
      </c>
      <c r="D439" s="179"/>
    </row>
    <row r="440" spans="1:7" ht="12.6" customHeight="1" x14ac:dyDescent="0.25">
      <c r="A440" s="179" t="s">
        <v>477</v>
      </c>
      <c r="B440" s="194">
        <f>B438+B439</f>
        <v>43159105.220000029</v>
      </c>
      <c r="C440" s="194">
        <f>CE69</f>
        <v>43159105.600000001</v>
      </c>
      <c r="D440" s="179"/>
    </row>
    <row r="441" spans="1:7" ht="12.6" customHeight="1" x14ac:dyDescent="0.25">
      <c r="A441" s="179" t="s">
        <v>478</v>
      </c>
      <c r="B441" s="179">
        <f>D390</f>
        <v>640495445.34000003</v>
      </c>
      <c r="C441" s="179">
        <f>SUM(C427:C437)+C440</f>
        <v>640495445.91234934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5300584.28</v>
      </c>
      <c r="C444" s="179">
        <f>C363</f>
        <v>5300584.28</v>
      </c>
      <c r="D444" s="179"/>
    </row>
    <row r="445" spans="1:7" ht="12.6" customHeight="1" x14ac:dyDescent="0.25">
      <c r="A445" s="179" t="s">
        <v>343</v>
      </c>
      <c r="B445" s="179">
        <f>D229</f>
        <v>2086928124.0600002</v>
      </c>
      <c r="C445" s="179">
        <f>C364</f>
        <v>2086928124.0599999</v>
      </c>
      <c r="D445" s="179"/>
    </row>
    <row r="446" spans="1:7" ht="12.6" customHeight="1" x14ac:dyDescent="0.25">
      <c r="A446" s="179" t="s">
        <v>351</v>
      </c>
      <c r="B446" s="179">
        <f>D236</f>
        <v>32458675.190000001</v>
      </c>
      <c r="C446" s="179">
        <f>C365</f>
        <v>32458675.190000001</v>
      </c>
      <c r="D446" s="179"/>
    </row>
    <row r="447" spans="1:7" ht="12.6" customHeight="1" x14ac:dyDescent="0.25">
      <c r="A447" s="179" t="s">
        <v>356</v>
      </c>
      <c r="B447" s="179">
        <f>D240</f>
        <v>13706149.180000002</v>
      </c>
      <c r="C447" s="179">
        <f>C366</f>
        <v>13706149.180000002</v>
      </c>
      <c r="D447" s="179"/>
    </row>
    <row r="448" spans="1:7" ht="12.6" customHeight="1" x14ac:dyDescent="0.25">
      <c r="A448" s="179" t="s">
        <v>358</v>
      </c>
      <c r="B448" s="179">
        <f>D242</f>
        <v>2138393532.7100003</v>
      </c>
      <c r="C448" s="179">
        <f>D367</f>
        <v>2138393532.71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10134</v>
      </c>
    </row>
    <row r="454" spans="1:7" ht="12.6" customHeight="1" x14ac:dyDescent="0.25">
      <c r="A454" s="179" t="s">
        <v>168</v>
      </c>
      <c r="B454" s="179">
        <f>C233</f>
        <v>17658278.579999998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14800396.610000003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25035967.309999999</v>
      </c>
      <c r="C458" s="194">
        <f>CE70</f>
        <v>25035967.310000006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1720086575.4100001</v>
      </c>
      <c r="C463" s="194">
        <f>CE73</f>
        <v>1720086575.4099996</v>
      </c>
      <c r="D463" s="194">
        <f>E141+E147+E153</f>
        <v>1720086575</v>
      </c>
    </row>
    <row r="464" spans="1:7" ht="12.6" customHeight="1" x14ac:dyDescent="0.25">
      <c r="A464" s="179" t="s">
        <v>246</v>
      </c>
      <c r="B464" s="194">
        <f>C360</f>
        <v>1110091781.3699999</v>
      </c>
      <c r="C464" s="194">
        <f>CE74</f>
        <v>1110091781.71</v>
      </c>
      <c r="D464" s="194">
        <f>E142+E148+E154</f>
        <v>1110091782</v>
      </c>
    </row>
    <row r="465" spans="1:7" ht="12.6" customHeight="1" x14ac:dyDescent="0.25">
      <c r="A465" s="179" t="s">
        <v>247</v>
      </c>
      <c r="B465" s="194">
        <f>D361</f>
        <v>2830178356.7799997</v>
      </c>
      <c r="C465" s="194">
        <f>CE75</f>
        <v>2830178357.1199994</v>
      </c>
      <c r="D465" s="194">
        <f>D463+D464</f>
        <v>2830178357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7877314.96</v>
      </c>
      <c r="C468" s="179">
        <f>E195</f>
        <v>7877315</v>
      </c>
      <c r="D468" s="179"/>
    </row>
    <row r="469" spans="1:7" ht="12.6" customHeight="1" x14ac:dyDescent="0.25">
      <c r="A469" s="179" t="s">
        <v>333</v>
      </c>
      <c r="B469" s="179">
        <f t="shared" si="14"/>
        <v>4412190.25</v>
      </c>
      <c r="C469" s="179">
        <f>E196</f>
        <v>4412190</v>
      </c>
      <c r="D469" s="179"/>
    </row>
    <row r="470" spans="1:7" ht="12.6" customHeight="1" x14ac:dyDescent="0.25">
      <c r="A470" s="179" t="s">
        <v>334</v>
      </c>
      <c r="B470" s="179">
        <f t="shared" si="14"/>
        <v>176591397.07999998</v>
      </c>
      <c r="C470" s="179">
        <f>E197</f>
        <v>176591397.07999998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78021103.969999999</v>
      </c>
      <c r="C472" s="179">
        <f>E199</f>
        <v>78021104.320000008</v>
      </c>
      <c r="D472" s="179"/>
    </row>
    <row r="473" spans="1:7" ht="12.6" customHeight="1" x14ac:dyDescent="0.25">
      <c r="A473" s="179" t="s">
        <v>495</v>
      </c>
      <c r="B473" s="179">
        <f t="shared" si="14"/>
        <v>253157514.61000001</v>
      </c>
      <c r="C473" s="179">
        <f>SUM(E200:E201)</f>
        <v>253157514.60999995</v>
      </c>
      <c r="D473" s="179"/>
    </row>
    <row r="474" spans="1:7" ht="12.6" customHeight="1" x14ac:dyDescent="0.25">
      <c r="A474" s="179" t="s">
        <v>339</v>
      </c>
      <c r="B474" s="179">
        <f t="shared" si="14"/>
        <v>33745293.340000004</v>
      </c>
      <c r="C474" s="179">
        <f>E202</f>
        <v>33745293.390000001</v>
      </c>
      <c r="D474" s="179"/>
    </row>
    <row r="475" spans="1:7" ht="12.6" customHeight="1" x14ac:dyDescent="0.25">
      <c r="A475" s="179" t="s">
        <v>340</v>
      </c>
      <c r="B475" s="179">
        <f t="shared" si="14"/>
        <v>17954880.239999998</v>
      </c>
      <c r="C475" s="179">
        <f>E203</f>
        <v>17954879.409999996</v>
      </c>
      <c r="D475" s="179"/>
    </row>
    <row r="476" spans="1:7" ht="12.6" customHeight="1" x14ac:dyDescent="0.25">
      <c r="A476" s="179" t="s">
        <v>203</v>
      </c>
      <c r="B476" s="179">
        <f>D275</f>
        <v>571759694.45000005</v>
      </c>
      <c r="C476" s="179">
        <f>E204</f>
        <v>571759693.80999994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353810405.16000003</v>
      </c>
      <c r="C478" s="179">
        <f>E217</f>
        <v>353810404.84295452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491120405.11000001</v>
      </c>
    </row>
    <row r="482" spans="1:12" ht="12.6" customHeight="1" x14ac:dyDescent="0.25">
      <c r="A482" s="180" t="s">
        <v>499</v>
      </c>
      <c r="C482" s="180">
        <f>D339</f>
        <v>491120405.05000001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St.Joseph Medical Center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25771402.27</v>
      </c>
      <c r="C496" s="240">
        <f>C71</f>
        <v>26551164.93</v>
      </c>
      <c r="D496" s="240">
        <v>23888</v>
      </c>
      <c r="E496" s="180">
        <f>C59</f>
        <v>25433</v>
      </c>
      <c r="F496" s="263">
        <f t="shared" ref="F496:G511" si="15">IF(B496=0,"",IF(D496=0,"",B496/D496))</f>
        <v>1078.8430287173476</v>
      </c>
      <c r="G496" s="264">
        <f t="shared" si="15"/>
        <v>1043.9651212990996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44053398.559999995</v>
      </c>
      <c r="C498" s="240">
        <f>E71</f>
        <v>45324978.640000001</v>
      </c>
      <c r="D498" s="240">
        <v>71992</v>
      </c>
      <c r="E498" s="180">
        <f>E59</f>
        <v>72116</v>
      </c>
      <c r="F498" s="263">
        <f t="shared" si="15"/>
        <v>611.92074897210796</v>
      </c>
      <c r="G498" s="263">
        <f t="shared" si="15"/>
        <v>628.50100726607138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6110848.2399999984</v>
      </c>
      <c r="C500" s="240">
        <f>G71</f>
        <v>4950575.1899999995</v>
      </c>
      <c r="D500" s="240">
        <v>7712</v>
      </c>
      <c r="E500" s="180">
        <f>G59</f>
        <v>5646</v>
      </c>
      <c r="F500" s="263">
        <f t="shared" si="15"/>
        <v>792.38177385892095</v>
      </c>
      <c r="G500" s="263">
        <f t="shared" si="15"/>
        <v>876.82876195536653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8148696.4100000011</v>
      </c>
      <c r="C501" s="240">
        <f>H71</f>
        <v>5575060.2699999996</v>
      </c>
      <c r="D501" s="240">
        <v>7600</v>
      </c>
      <c r="E501" s="180">
        <f>H59</f>
        <v>7563</v>
      </c>
      <c r="F501" s="263">
        <f t="shared" si="15"/>
        <v>1072.1968960526317</v>
      </c>
      <c r="G501" s="263">
        <f t="shared" si="15"/>
        <v>737.14931508660584</v>
      </c>
      <c r="H501" s="265">
        <f t="shared" si="16"/>
        <v>-0.31248699021562842</v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7624900.7199999988</v>
      </c>
      <c r="C503" s="240">
        <f>J71</f>
        <v>8128542.6399999987</v>
      </c>
      <c r="D503" s="240">
        <v>11071</v>
      </c>
      <c r="E503" s="180">
        <f>J59</f>
        <v>10888</v>
      </c>
      <c r="F503" s="263">
        <f t="shared" si="15"/>
        <v>688.72737060789439</v>
      </c>
      <c r="G503" s="263">
        <f t="shared" si="15"/>
        <v>746.55975753122698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18753567.300000001</v>
      </c>
      <c r="C508" s="240">
        <f>O71</f>
        <v>19261759.660000004</v>
      </c>
      <c r="D508" s="240">
        <v>20325</v>
      </c>
      <c r="E508" s="180">
        <f>O59</f>
        <v>19960</v>
      </c>
      <c r="F508" s="263">
        <f t="shared" si="15"/>
        <v>922.68473800738013</v>
      </c>
      <c r="G508" s="263">
        <f t="shared" si="15"/>
        <v>965.01801903807632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92375846.816099986</v>
      </c>
      <c r="C509" s="240">
        <f>P71</f>
        <v>92160046.105000004</v>
      </c>
      <c r="D509" s="240">
        <v>4119106</v>
      </c>
      <c r="E509" s="180">
        <f>P59</f>
        <v>2611928</v>
      </c>
      <c r="F509" s="263">
        <f t="shared" si="15"/>
        <v>22.426188307875542</v>
      </c>
      <c r="G509" s="263">
        <f t="shared" si="15"/>
        <v>35.284298075980658</v>
      </c>
      <c r="H509" s="265">
        <f t="shared" si="16"/>
        <v>0.57335243919224799</v>
      </c>
      <c r="I509" s="267" t="s">
        <v>1277</v>
      </c>
      <c r="K509" s="261"/>
      <c r="L509" s="261"/>
    </row>
    <row r="510" spans="1:12" ht="12.6" customHeight="1" x14ac:dyDescent="0.25">
      <c r="A510" s="180" t="s">
        <v>526</v>
      </c>
      <c r="B510" s="240">
        <v>2843634.7000000007</v>
      </c>
      <c r="C510" s="240">
        <f>Q71</f>
        <v>2721287.9200000009</v>
      </c>
      <c r="D510" s="240">
        <v>1241535</v>
      </c>
      <c r="E510" s="180">
        <f>Q59</f>
        <v>1201215</v>
      </c>
      <c r="F510" s="263">
        <f t="shared" si="15"/>
        <v>2.2904184739052873</v>
      </c>
      <c r="G510" s="263">
        <f t="shared" si="15"/>
        <v>2.2654461690871335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4216840.6176576009</v>
      </c>
      <c r="C512" s="240">
        <f>S71</f>
        <v>5014774.4713701997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3057276.59</v>
      </c>
      <c r="C513" s="240">
        <f>T71</f>
        <v>3079357.0999999996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15864794.110000003</v>
      </c>
      <c r="C514" s="240">
        <f>U71</f>
        <v>20130215.870000001</v>
      </c>
      <c r="D514" s="240">
        <v>3078895</v>
      </c>
      <c r="E514" s="180">
        <f>U59</f>
        <v>2875360</v>
      </c>
      <c r="F514" s="263">
        <f t="shared" si="17"/>
        <v>5.1527558133681088</v>
      </c>
      <c r="G514" s="263">
        <f t="shared" si="17"/>
        <v>7.0009375765121584</v>
      </c>
      <c r="H514" s="265">
        <f t="shared" si="16"/>
        <v>0.35867831313667131</v>
      </c>
      <c r="I514" s="267" t="s">
        <v>1277</v>
      </c>
      <c r="K514" s="261"/>
      <c r="L514" s="261"/>
    </row>
    <row r="515" spans="1:12" ht="12.6" customHeight="1" x14ac:dyDescent="0.25">
      <c r="A515" s="180" t="s">
        <v>531</v>
      </c>
      <c r="B515" s="240">
        <v>135678</v>
      </c>
      <c r="C515" s="240">
        <f>V71</f>
        <v>6380226.5599999996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1611090.53</v>
      </c>
      <c r="C517" s="240">
        <f>X71</f>
        <v>1535419.2900000003</v>
      </c>
      <c r="D517" s="240">
        <v>82838</v>
      </c>
      <c r="E517" s="180">
        <f>X59</f>
        <v>25118</v>
      </c>
      <c r="F517" s="263">
        <f t="shared" si="17"/>
        <v>19.448689369612978</v>
      </c>
      <c r="G517" s="263">
        <f t="shared" si="17"/>
        <v>61.128246277569879</v>
      </c>
      <c r="H517" s="265">
        <f t="shared" si="16"/>
        <v>2.1430522188851384</v>
      </c>
      <c r="I517" s="267" t="s">
        <v>1277</v>
      </c>
      <c r="K517" s="261"/>
      <c r="L517" s="261"/>
    </row>
    <row r="518" spans="1:12" ht="12.6" customHeight="1" x14ac:dyDescent="0.25">
      <c r="A518" s="180" t="s">
        <v>534</v>
      </c>
      <c r="B518" s="240">
        <v>14493118.700000001</v>
      </c>
      <c r="C518" s="240">
        <f>Y71</f>
        <v>14806044.130000001</v>
      </c>
      <c r="D518" s="240">
        <v>1203618</v>
      </c>
      <c r="E518" s="180">
        <f>Y59</f>
        <v>210018</v>
      </c>
      <c r="F518" s="263">
        <f t="shared" si="17"/>
        <v>12.041294414008432</v>
      </c>
      <c r="G518" s="263">
        <f t="shared" si="17"/>
        <v>70.498929282252007</v>
      </c>
      <c r="H518" s="265">
        <f t="shared" si="16"/>
        <v>4.8547633550290037</v>
      </c>
      <c r="I518" s="267" t="s">
        <v>1277</v>
      </c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1457768.24</v>
      </c>
      <c r="C520" s="240">
        <f>AA71</f>
        <v>1506419.68</v>
      </c>
      <c r="D520" s="240">
        <v>38200</v>
      </c>
      <c r="E520" s="180">
        <f>AA59</f>
        <v>4861</v>
      </c>
      <c r="F520" s="263">
        <f t="shared" si="17"/>
        <v>38.161472251308901</v>
      </c>
      <c r="G520" s="263">
        <f t="shared" si="17"/>
        <v>309.8991318658712</v>
      </c>
      <c r="H520" s="265">
        <f t="shared" si="16"/>
        <v>7.1207331264647937</v>
      </c>
      <c r="I520" s="267" t="s">
        <v>1277</v>
      </c>
      <c r="K520" s="261"/>
      <c r="L520" s="261"/>
    </row>
    <row r="521" spans="1:12" ht="12.6" customHeight="1" x14ac:dyDescent="0.25">
      <c r="A521" s="180" t="s">
        <v>537</v>
      </c>
      <c r="B521" s="240">
        <v>28362084.470000003</v>
      </c>
      <c r="C521" s="240">
        <f>AB71</f>
        <v>27262122.710000001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3944987.6700000009</v>
      </c>
      <c r="C522" s="240">
        <f>AC71</f>
        <v>4299746.16</v>
      </c>
      <c r="D522" s="240">
        <v>135774</v>
      </c>
      <c r="E522" s="180">
        <f>AC59</f>
        <v>65948</v>
      </c>
      <c r="F522" s="263">
        <f t="shared" si="17"/>
        <v>29.055545759865666</v>
      </c>
      <c r="G522" s="263">
        <f t="shared" si="17"/>
        <v>65.199038029963006</v>
      </c>
      <c r="H522" s="265">
        <f t="shared" si="16"/>
        <v>1.2439447040097327</v>
      </c>
      <c r="I522" s="267" t="s">
        <v>1277</v>
      </c>
      <c r="K522" s="261"/>
      <c r="L522" s="261"/>
    </row>
    <row r="523" spans="1:12" ht="12.6" customHeight="1" x14ac:dyDescent="0.25">
      <c r="A523" s="180" t="s">
        <v>539</v>
      </c>
      <c r="B523" s="240">
        <v>9447098.5100000016</v>
      </c>
      <c r="C523" s="240">
        <f>AD71</f>
        <v>6151571.1399999997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5568338.879999999</v>
      </c>
      <c r="C524" s="240">
        <f>AE71</f>
        <v>5267343.4000000013</v>
      </c>
      <c r="D524" s="240">
        <v>177994</v>
      </c>
      <c r="E524" s="180">
        <f>AE59</f>
        <v>164091</v>
      </c>
      <c r="F524" s="263">
        <f t="shared" si="17"/>
        <v>31.28385720866995</v>
      </c>
      <c r="G524" s="263">
        <f t="shared" si="17"/>
        <v>32.100135900201728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19030834.780000001</v>
      </c>
      <c r="C526" s="240">
        <f>AG71</f>
        <v>21702705.16</v>
      </c>
      <c r="D526" s="240">
        <v>53547</v>
      </c>
      <c r="E526" s="180">
        <f>AG59</f>
        <v>50081</v>
      </c>
      <c r="F526" s="263">
        <f t="shared" si="17"/>
        <v>355.40431359366539</v>
      </c>
      <c r="G526" s="263">
        <f t="shared" si="17"/>
        <v>433.35207284199595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15343089.200000001</v>
      </c>
      <c r="C528" s="240">
        <f>AI71</f>
        <v>14813983.459999997</v>
      </c>
      <c r="D528" s="240">
        <v>15376</v>
      </c>
      <c r="E528" s="180">
        <f>AI59</f>
        <v>14940</v>
      </c>
      <c r="F528" s="263">
        <f t="shared" ref="F528:G540" si="18">IF(B528=0,"",IF(D528=0,"",B528/D528))</f>
        <v>997.85959937565042</v>
      </c>
      <c r="G528" s="263">
        <f t="shared" si="18"/>
        <v>991.56515796519398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8837036.459999999</v>
      </c>
      <c r="C529" s="240">
        <f>AJ71</f>
        <v>7221632.0799999991</v>
      </c>
      <c r="D529" s="240">
        <v>24775</v>
      </c>
      <c r="E529" s="180">
        <f>AJ59</f>
        <v>25537</v>
      </c>
      <c r="F529" s="263">
        <f t="shared" si="18"/>
        <v>356.69168355196769</v>
      </c>
      <c r="G529" s="263">
        <f t="shared" si="18"/>
        <v>282.79093393899046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2396724.9800000004</v>
      </c>
      <c r="C530" s="240">
        <f>AK71</f>
        <v>2382546.7900000005</v>
      </c>
      <c r="D530" s="240">
        <v>76973</v>
      </c>
      <c r="E530" s="180">
        <f>AK59</f>
        <v>74450</v>
      </c>
      <c r="F530" s="263">
        <f t="shared" si="18"/>
        <v>31.13721668637055</v>
      </c>
      <c r="G530" s="263">
        <f t="shared" si="18"/>
        <v>32.001971658831437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654171.52</v>
      </c>
      <c r="C531" s="240">
        <f>AL71</f>
        <v>672614.29999999993</v>
      </c>
      <c r="D531" s="240">
        <v>8615</v>
      </c>
      <c r="E531" s="180">
        <f>AL59</f>
        <v>8770</v>
      </c>
      <c r="F531" s="263">
        <f t="shared" si="18"/>
        <v>75.934012768427166</v>
      </c>
      <c r="G531" s="263">
        <f t="shared" si="18"/>
        <v>76.694903078677299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40270</v>
      </c>
      <c r="C533" s="240">
        <f>AN71</f>
        <v>44612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4476870.9200000009</v>
      </c>
      <c r="C535" s="240">
        <f>AP71</f>
        <v>182782.51999999979</v>
      </c>
      <c r="D535" s="240">
        <v>19698</v>
      </c>
      <c r="E535" s="180">
        <f>AP59</f>
        <v>888</v>
      </c>
      <c r="F535" s="263">
        <f t="shared" si="18"/>
        <v>227.27540460960509</v>
      </c>
      <c r="G535" s="263">
        <f t="shared" si="18"/>
        <v>205.83617117117092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44715184.619999997</v>
      </c>
      <c r="C537" s="240">
        <f>AR71</f>
        <v>47434101.059999995</v>
      </c>
      <c r="D537" s="240">
        <v>345775</v>
      </c>
      <c r="E537" s="180">
        <f>AR59</f>
        <v>385162</v>
      </c>
      <c r="F537" s="263">
        <f t="shared" si="18"/>
        <v>129.3187321813318</v>
      </c>
      <c r="G537" s="263">
        <f t="shared" si="18"/>
        <v>123.15363680736935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-95645446.635200009</v>
      </c>
      <c r="C541" s="240">
        <f>AV71</f>
        <v>15169183.031400003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435101.20400000009</v>
      </c>
      <c r="C543" s="240">
        <f>AX71</f>
        <v>2285.6268999999998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611178</v>
      </c>
      <c r="E544" s="180">
        <f>AY59</f>
        <v>577277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8412087.6999999993</v>
      </c>
      <c r="C545" s="240">
        <f>AZ71</f>
        <v>8715114.0000000019</v>
      </c>
      <c r="D545" s="240">
        <v>2003232</v>
      </c>
      <c r="E545" s="180">
        <f>AZ59</f>
        <v>1456766</v>
      </c>
      <c r="F545" s="263">
        <f t="shared" si="19"/>
        <v>4.1992578493155062</v>
      </c>
      <c r="G545" s="263">
        <f t="shared" si="19"/>
        <v>5.9825078289855762</v>
      </c>
      <c r="H545" s="265">
        <f t="shared" si="16"/>
        <v>0.42465836670657087</v>
      </c>
      <c r="I545" s="267" t="s">
        <v>1278</v>
      </c>
      <c r="K545" s="261"/>
      <c r="L545" s="261"/>
    </row>
    <row r="546" spans="1:13" ht="12.6" customHeight="1" x14ac:dyDescent="0.25">
      <c r="A546" s="180" t="s">
        <v>560</v>
      </c>
      <c r="B546" s="240">
        <v>78742.149999999994</v>
      </c>
      <c r="C546" s="240">
        <f>BA71</f>
        <v>298453.90000000002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1500003.9199999997</v>
      </c>
      <c r="C548" s="240">
        <f>BC71</f>
        <v>1478429.7300000002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27769183.0242</v>
      </c>
      <c r="C550" s="240">
        <f>BE71</f>
        <v>30191842.9322</v>
      </c>
      <c r="D550" s="240">
        <v>888995</v>
      </c>
      <c r="E550" s="180">
        <f>BE59</f>
        <v>888995</v>
      </c>
      <c r="F550" s="263">
        <f t="shared" si="19"/>
        <v>31.236602032857327</v>
      </c>
      <c r="G550" s="263">
        <f t="shared" si="19"/>
        <v>33.961769112537191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6423960.0999999987</v>
      </c>
      <c r="C551" s="240">
        <f>BF71</f>
        <v>6574842.580000001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1059846.648</v>
      </c>
      <c r="C552" s="240">
        <f>BG71</f>
        <v>110463.8404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1850726.4030000002</v>
      </c>
      <c r="C553" s="240">
        <f>BH71</f>
        <v>-698446.68900000001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-122654.14999999991</v>
      </c>
      <c r="C554" s="240">
        <f>BI71</f>
        <v>-70107.420000000042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1555428.2702999997</v>
      </c>
      <c r="C555" s="240">
        <f>BJ71</f>
        <v>1938000.52489797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6786585.2952997433</v>
      </c>
      <c r="C556" s="240">
        <f>BK71</f>
        <v>7339247.2191812899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7296540.7911999999</v>
      </c>
      <c r="C557" s="240">
        <f>BL71</f>
        <v>7774794.2580751805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18937902.057850901</v>
      </c>
      <c r="C559" s="240">
        <f>BN71</f>
        <v>28229306.798752606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872702.76499999978</v>
      </c>
      <c r="C560" s="240">
        <f>BO71</f>
        <v>1067275.4931999999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5647923.7818999998</v>
      </c>
      <c r="C561" s="240">
        <f>BP71</f>
        <v>1399108.6538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2083995.7704000003</v>
      </c>
      <c r="C563" s="240">
        <f>BR71</f>
        <v>4423639.8734999998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283268.31849999999</v>
      </c>
      <c r="C564" s="240">
        <f>BS71</f>
        <v>52.155200000000001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755054.12459999986</v>
      </c>
      <c r="C565" s="240">
        <f>BT71</f>
        <v>382833.01910000003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105989.6931</v>
      </c>
      <c r="C566" s="240">
        <f>BU71</f>
        <v>125375.68770000001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9719861.2224418223</v>
      </c>
      <c r="C567" s="240">
        <f>BV71</f>
        <v>10641643.689107802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1430824.11395264</v>
      </c>
      <c r="C568" s="240">
        <f>BW71</f>
        <v>1300871.7238059998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3415145.7910401607</v>
      </c>
      <c r="C569" s="240">
        <f>BX71</f>
        <v>5362295.0302633392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3249825.5593000003</v>
      </c>
      <c r="C570" s="240">
        <f>BY71</f>
        <v>5422947.6624000007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2090825.3770000003</v>
      </c>
      <c r="C572" s="240">
        <f>CA71</f>
        <v>2351529.0645000003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178011.31089999995</v>
      </c>
      <c r="C573" s="240">
        <f>CB71</f>
        <v>161798.63440000004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63627774.958099991</v>
      </c>
      <c r="C574" s="240">
        <f>CC71</f>
        <v>48173383.736194782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32268709</v>
      </c>
      <c r="C575" s="240">
        <f>CD71</f>
        <v>33031680.609999999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714502</v>
      </c>
      <c r="E612" s="180">
        <f>SUM(C624:D647)+SUM(C668:D713)</f>
        <v>517634286.71285397</v>
      </c>
      <c r="F612" s="180">
        <f>CE64-(AX64+BD64+BE64+BG64+BJ64+BN64+BP64+BQ64+CB64+CC64+CD64)</f>
        <v>105069313.50000003</v>
      </c>
      <c r="G612" s="180">
        <f>CE77-(AX77+AY77+BD77+BE77+BG77+BJ77+BN77+BP77+BQ77+CB77+CC77+CD77)</f>
        <v>577277</v>
      </c>
      <c r="H612" s="197">
        <f>CE60-(AX60+AY60+AZ60+BD60+BE60+BG60+BJ60+BN60+BO60+BP60+BQ60+BR60+CB60+CC60+CD60)</f>
        <v>2385.41</v>
      </c>
      <c r="I612" s="180">
        <f>CE78-(AX78+AY78+AZ78+BD78+BE78+BF78+BG78+BJ78+BN78+BO78+BP78+BQ78+BR78+CB78+CC78+CD78)</f>
        <v>177316</v>
      </c>
      <c r="J612" s="180">
        <f>CE79-(AX79+AY79+AZ79+BA79+BD79+BE79+BF79+BG79+BJ79+BN79+BO79+BP79+BQ79+BR79+CB79+CC79+CD79)</f>
        <v>2703465</v>
      </c>
      <c r="K612" s="180">
        <f>CE75-(AW75+AX75+AY75+AZ75+BA75+BB75+BC75+BD75+BE75+BF75+BG75+BH75+BI75+BJ75+BK75+BL75+BM75+BN75+BO75+BP75+BQ75+BR75+BS75+BT75+BU75+BV75+BW75+BX75+CB75+CC75+CD75)</f>
        <v>2830178357.1199994</v>
      </c>
      <c r="L612" s="197">
        <f>CE80-(AW80+AX80+AY80+AZ80+BA80+BB80+BC80+BD80+BE80+BF80+BG80+BH80+BI80+BJ80+BK80+BL80+BM80+BN80+BO80+BP80+BQ80+BR80+BS80+BT80+BU80+BV80+BW80+BX80+BY80+BZ80+CA80+CB80+CC80+CD80)</f>
        <v>871.99999999999989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30191842.9322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33031680.609999999</v>
      </c>
      <c r="D615" s="266">
        <f>SUM(C614:C615)</f>
        <v>63223523.542199999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2285.6268999999998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1938000.52489797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110463.8404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28229306.798752606</v>
      </c>
      <c r="D619" s="180">
        <f>(D615/D612)*BN76</f>
        <v>17810844.074149806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48173383.736194782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1399108.6538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161798.63440000004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97825191.889495164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4423639.8734999998</v>
      </c>
      <c r="D626" s="180">
        <f>(D615/D612)*BR76</f>
        <v>1477895.4995252979</v>
      </c>
      <c r="E626" s="180">
        <f>(E623/E612)*SUM(C626:D626)</f>
        <v>1115302.5313972256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1067275.4931999999</v>
      </c>
      <c r="D627" s="180">
        <f>(D615/D612)*BO76</f>
        <v>0</v>
      </c>
      <c r="E627" s="180">
        <f>(E623/E612)*SUM(C627:D627)</f>
        <v>201699.21622514684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8715114.0000000019</v>
      </c>
      <c r="D628" s="180">
        <f>(D615/D612)*AZ76</f>
        <v>1684599.1210611076</v>
      </c>
      <c r="E628" s="180">
        <f>(E623/E612)*SUM(C628:D628)</f>
        <v>1965391.3154092475</v>
      </c>
      <c r="F628" s="180">
        <f>(F624/F612)*AZ64</f>
        <v>0</v>
      </c>
      <c r="G628" s="180">
        <f>(G625/G612)*AZ77</f>
        <v>0</v>
      </c>
      <c r="H628" s="180">
        <f>SUM(C626:G628)</f>
        <v>20650917.050318029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6574842.580000001</v>
      </c>
      <c r="D629" s="180">
        <f>(D615/D612)*BF76</f>
        <v>182812.36390966742</v>
      </c>
      <c r="E629" s="180">
        <f>(E623/E612)*SUM(C629:D629)</f>
        <v>1277096.4145535287</v>
      </c>
      <c r="F629" s="180">
        <f>(F624/F612)*BF64</f>
        <v>0</v>
      </c>
      <c r="G629" s="180">
        <f>(G625/G612)*BF77</f>
        <v>0</v>
      </c>
      <c r="H629" s="180">
        <f>(H628/H612)*BF60</f>
        <v>738024.35578773136</v>
      </c>
      <c r="I629" s="180">
        <f>SUM(C629:H629)</f>
        <v>8772775.7142509278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298453.90000000002</v>
      </c>
      <c r="D630" s="180">
        <f>(D615/D612)*BA76</f>
        <v>375535.17542721616</v>
      </c>
      <c r="E630" s="180">
        <f>(E623/E612)*SUM(C630:D630)</f>
        <v>127373.92465593336</v>
      </c>
      <c r="F630" s="180">
        <f>(F624/F612)*BA64</f>
        <v>0</v>
      </c>
      <c r="G630" s="180">
        <f>(G625/G612)*BA77</f>
        <v>0</v>
      </c>
      <c r="H630" s="180">
        <f>(H628/H612)*BA60</f>
        <v>35407.854723423123</v>
      </c>
      <c r="I630" s="180">
        <f>(I629/I612)*BA78</f>
        <v>82425.975884534084</v>
      </c>
      <c r="J630" s="180">
        <f>SUM(C630:I630)</f>
        <v>919196.83069110685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1478429.7300000002</v>
      </c>
      <c r="D633" s="180">
        <f>(D615/D612)*BC76</f>
        <v>0</v>
      </c>
      <c r="E633" s="180">
        <f>(E623/E612)*SUM(C633:D633)</f>
        <v>279401.26020402799</v>
      </c>
      <c r="F633" s="180">
        <f>(F624/F612)*BC64</f>
        <v>0</v>
      </c>
      <c r="G633" s="180">
        <f>(G625/G612)*BC77</f>
        <v>0</v>
      </c>
      <c r="H633" s="180">
        <f>(H628/H612)*BC60</f>
        <v>220584.87490289027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-70107.420000000042</v>
      </c>
      <c r="D634" s="180">
        <f>(D615/D612)*BI76</f>
        <v>117952.02376165861</v>
      </c>
      <c r="E634" s="180">
        <f>(E623/E612)*SUM(C634:D634)</f>
        <v>9041.9194864065539</v>
      </c>
      <c r="F634" s="180">
        <f>(F624/F612)*BI64</f>
        <v>0</v>
      </c>
      <c r="G634" s="180">
        <f>(G625/G612)*BI77</f>
        <v>0</v>
      </c>
      <c r="H634" s="180">
        <f>(H628/H612)*BI60</f>
        <v>24499.811458994482</v>
      </c>
      <c r="I634" s="180">
        <f>(I629/I612)*BI78</f>
        <v>25875.621481159258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7339247.2191812899</v>
      </c>
      <c r="D635" s="180">
        <f>(D615/D612)*BK76</f>
        <v>0</v>
      </c>
      <c r="E635" s="180">
        <f>(E623/E612)*SUM(C635:D635)</f>
        <v>1387008.716327803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-698446.68900000001</v>
      </c>
      <c r="D636" s="180">
        <f>(D615/D612)*BH76</f>
        <v>0</v>
      </c>
      <c r="E636" s="180">
        <f>(E623/E612)*SUM(C636:D636)</f>
        <v>-131996.05035805848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7774794.2580751805</v>
      </c>
      <c r="D637" s="180">
        <f>(D615/D612)*BL76</f>
        <v>0</v>
      </c>
      <c r="E637" s="180">
        <f>(E623/E612)*SUM(C637:D637)</f>
        <v>1469320.6376019279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52.155200000000001</v>
      </c>
      <c r="D639" s="180">
        <f>(D615/D612)*BS76</f>
        <v>0</v>
      </c>
      <c r="E639" s="180">
        <f>(E623/E612)*SUM(C639:D639)</f>
        <v>9.8565581511899918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382833.01910000003</v>
      </c>
      <c r="D640" s="180">
        <f>(D615/D612)*BT76</f>
        <v>0</v>
      </c>
      <c r="E640" s="180">
        <f>(E623/E612)*SUM(C640:D640)</f>
        <v>72349.754481907454</v>
      </c>
      <c r="F640" s="180">
        <f>(F624/F612)*BT64</f>
        <v>0</v>
      </c>
      <c r="G640" s="180">
        <f>(G625/G612)*BT77</f>
        <v>0</v>
      </c>
      <c r="H640" s="180">
        <f>(H628/H612)*BT60</f>
        <v>30559.835494788167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125375.68770000001</v>
      </c>
      <c r="D641" s="180">
        <f>(D615/D612)*BU76</f>
        <v>0</v>
      </c>
      <c r="E641" s="180">
        <f>(E623/E612)*SUM(C641:D641)</f>
        <v>23694.142799960235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10641643.689107802</v>
      </c>
      <c r="D642" s="180">
        <f>(D615/D612)*BV76</f>
        <v>836636.44761176454</v>
      </c>
      <c r="E642" s="180">
        <f>(E623/E612)*SUM(C642:D642)</f>
        <v>2169224.4616687391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183603.11915216447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1300871.7238059998</v>
      </c>
      <c r="D643" s="180">
        <f>(D615/D612)*BW76</f>
        <v>0</v>
      </c>
      <c r="E643" s="180">
        <f>(E623/E612)*SUM(C643:D643)</f>
        <v>245845.43426029629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5362295.0302633392</v>
      </c>
      <c r="D644" s="180">
        <f>(D615/D612)*BX76</f>
        <v>0</v>
      </c>
      <c r="E644" s="180">
        <f>(E623/E612)*SUM(C644:D644)</f>
        <v>1013394.1158240732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41613994.386152267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5422947.6624000007</v>
      </c>
      <c r="D645" s="180">
        <f>(D615/D612)*BY76</f>
        <v>86539.444290249143</v>
      </c>
      <c r="E645" s="180">
        <f>(E623/E612)*SUM(C645:D645)</f>
        <v>1041211.2320597746</v>
      </c>
      <c r="F645" s="180">
        <f>(F624/F612)*BY64</f>
        <v>0</v>
      </c>
      <c r="G645" s="180">
        <f>(G625/G612)*BY77</f>
        <v>0</v>
      </c>
      <c r="H645" s="180">
        <f>(H628/H612)*BY60</f>
        <v>342304.78625040344</v>
      </c>
      <c r="I645" s="180">
        <f>(I629/I612)*BY78</f>
        <v>16821.627731537566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2351529.0645000003</v>
      </c>
      <c r="D647" s="180">
        <f>(D615/D612)*CA76</f>
        <v>0</v>
      </c>
      <c r="E647" s="180">
        <f>(E623/E612)*SUM(C647:D647)</f>
        <v>444404.06648728519</v>
      </c>
      <c r="F647" s="180">
        <f>(F624/F612)*CA64</f>
        <v>0</v>
      </c>
      <c r="G647" s="180">
        <f>(G625/G612)*CA77</f>
        <v>0</v>
      </c>
      <c r="H647" s="180">
        <f>(H628/H612)*CA60</f>
        <v>57829.943655859766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9763587.8273751102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205728662.33457902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26551164.93</v>
      </c>
      <c r="D668" s="180">
        <f>(D615/D612)*C76</f>
        <v>1842900.82436914</v>
      </c>
      <c r="E668" s="180">
        <f>(E623/E612)*SUM(C668:D668)</f>
        <v>5366056.6972545739</v>
      </c>
      <c r="F668" s="180">
        <f>(F624/F612)*C64</f>
        <v>0</v>
      </c>
      <c r="G668" s="180">
        <f>(G625/G612)*C77</f>
        <v>0</v>
      </c>
      <c r="H668" s="180">
        <f>(H628/H612)*C60</f>
        <v>1511196.850983066</v>
      </c>
      <c r="I668" s="180">
        <f>(I629/I612)*C78</f>
        <v>404411.72081643553</v>
      </c>
      <c r="J668" s="180">
        <f>(J630/J612)*C79</f>
        <v>82784.886927210347</v>
      </c>
      <c r="K668" s="180">
        <f>(K644/K612)*C75</f>
        <v>1388015.4138807603</v>
      </c>
      <c r="L668" s="180">
        <f>(L647/L612)*C80</f>
        <v>1333200.0029880211</v>
      </c>
      <c r="M668" s="180">
        <f t="shared" ref="M668:M713" si="20">ROUND(SUM(D668:L668),0)</f>
        <v>11928566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45324978.640000001</v>
      </c>
      <c r="D670" s="180">
        <f>(D615/D612)*E76</f>
        <v>8315484.945987897</v>
      </c>
      <c r="E670" s="180">
        <f>(E623/E612)*SUM(C670:D670)</f>
        <v>10137250.908674091</v>
      </c>
      <c r="F670" s="180">
        <f>(F624/F612)*E64</f>
        <v>0</v>
      </c>
      <c r="G670" s="180">
        <f>(G625/G612)*E77</f>
        <v>0</v>
      </c>
      <c r="H670" s="180">
        <f>(H628/H612)*E60</f>
        <v>3471354.9112465046</v>
      </c>
      <c r="I670" s="180">
        <f>(I629/I612)*E78</f>
        <v>1824602.3797393353</v>
      </c>
      <c r="J670" s="180">
        <f>(J630/J612)*E79</f>
        <v>259764.95329185878</v>
      </c>
      <c r="K670" s="180">
        <f>(K644/K612)*E75</f>
        <v>3009961.2179815765</v>
      </c>
      <c r="L670" s="180">
        <f>(L647/L612)*E80</f>
        <v>2522969.317823892</v>
      </c>
      <c r="M670" s="180">
        <f t="shared" si="20"/>
        <v>29541389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4950575.1899999995</v>
      </c>
      <c r="D672" s="180">
        <f>(D615/D612)*G76</f>
        <v>1796357.1150678403</v>
      </c>
      <c r="E672" s="180">
        <f>(E623/E612)*SUM(C672:D672)</f>
        <v>1275069.9950732335</v>
      </c>
      <c r="F672" s="180">
        <f>(F624/F612)*G64</f>
        <v>0</v>
      </c>
      <c r="G672" s="180">
        <f>(G625/G612)*G77</f>
        <v>0</v>
      </c>
      <c r="H672" s="180">
        <f>(H628/H612)*G60</f>
        <v>325250.14717824123</v>
      </c>
      <c r="I672" s="180">
        <f>(I629/I612)*G78</f>
        <v>394170.31805047003</v>
      </c>
      <c r="J672" s="180">
        <f>(J630/J612)*G79</f>
        <v>0</v>
      </c>
      <c r="K672" s="180">
        <f>(K644/K612)*G75</f>
        <v>250866.92126451121</v>
      </c>
      <c r="L672" s="180">
        <f>(L647/L612)*G80</f>
        <v>205012.95082481453</v>
      </c>
      <c r="M672" s="180">
        <f t="shared" si="20"/>
        <v>4246727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5575060.2699999996</v>
      </c>
      <c r="D673" s="180">
        <f>(D615/D612)*H76</f>
        <v>0</v>
      </c>
      <c r="E673" s="180">
        <f>(E623/E612)*SUM(C673:D673)</f>
        <v>1053603.585982682</v>
      </c>
      <c r="F673" s="180">
        <f>(F624/F612)*H64</f>
        <v>0</v>
      </c>
      <c r="G673" s="180">
        <f>(G625/G612)*H77</f>
        <v>0</v>
      </c>
      <c r="H673" s="180">
        <f>(H628/H612)*H60</f>
        <v>394074.70587046957</v>
      </c>
      <c r="I673" s="180">
        <f>(I629/I612)*H78</f>
        <v>0</v>
      </c>
      <c r="J673" s="180">
        <f>(J630/J612)*H79</f>
        <v>10652.757073749084</v>
      </c>
      <c r="K673" s="180">
        <f>(K644/K612)*H75</f>
        <v>344123.85183109122</v>
      </c>
      <c r="L673" s="180">
        <f>(L647/L612)*H80</f>
        <v>225615.01688257852</v>
      </c>
      <c r="M673" s="180">
        <f t="shared" si="20"/>
        <v>2028070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8128542.6399999987</v>
      </c>
      <c r="D675" s="180">
        <f>(D615/D612)*J76</f>
        <v>223162.04345604125</v>
      </c>
      <c r="E675" s="180">
        <f>(E623/E612)*SUM(C675:D675)</f>
        <v>1578348.1392852538</v>
      </c>
      <c r="F675" s="180">
        <f>(F624/F612)*J64</f>
        <v>0</v>
      </c>
      <c r="G675" s="180">
        <f>(G625/G612)*J77</f>
        <v>0</v>
      </c>
      <c r="H675" s="180">
        <f>(H628/H612)*J60</f>
        <v>441775.7522093599</v>
      </c>
      <c r="I675" s="180">
        <f>(I629/I612)*J78</f>
        <v>48980.621924182917</v>
      </c>
      <c r="J675" s="180">
        <f>(J630/J612)*J79</f>
        <v>0</v>
      </c>
      <c r="K675" s="180">
        <f>(K644/K612)*J75</f>
        <v>624151.12147048849</v>
      </c>
      <c r="L675" s="180">
        <f>(L647/L612)*J80</f>
        <v>343181.15471221</v>
      </c>
      <c r="M675" s="180">
        <f t="shared" si="20"/>
        <v>3259599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19261759.660000004</v>
      </c>
      <c r="D680" s="180">
        <f>(D615/D612)*O76</f>
        <v>1559037.2893148258</v>
      </c>
      <c r="E680" s="180">
        <f>(E623/E612)*SUM(C680:D680)</f>
        <v>3934821.3770638555</v>
      </c>
      <c r="F680" s="180">
        <f>(F624/F612)*O64</f>
        <v>0</v>
      </c>
      <c r="G680" s="180">
        <f>(G625/G612)*O77</f>
        <v>0</v>
      </c>
      <c r="H680" s="180">
        <f>(H628/H612)*O60</f>
        <v>1172787.7944699584</v>
      </c>
      <c r="I680" s="180">
        <f>(I629/I612)*O78</f>
        <v>342122.22283406556</v>
      </c>
      <c r="J680" s="180">
        <f>(J630/J612)*O79</f>
        <v>103955.7583310615</v>
      </c>
      <c r="K680" s="180">
        <f>(K644/K612)*O75</f>
        <v>1892229.2705010974</v>
      </c>
      <c r="L680" s="180">
        <f>(L647/L612)*O80</f>
        <v>903915.64828439534</v>
      </c>
      <c r="M680" s="180">
        <f t="shared" si="20"/>
        <v>9908869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92160046.105000004</v>
      </c>
      <c r="D681" s="180">
        <f>(D615/D612)*P76</f>
        <v>7788726.9584011352</v>
      </c>
      <c r="E681" s="180">
        <f>(E623/E612)*SUM(C681:D681)</f>
        <v>18888833.593572743</v>
      </c>
      <c r="F681" s="180">
        <f>(F624/F612)*P64</f>
        <v>0</v>
      </c>
      <c r="G681" s="180">
        <f>(G625/G612)*P77</f>
        <v>0</v>
      </c>
      <c r="H681" s="180">
        <f>(H628/H612)*P60</f>
        <v>1676116.0765285944</v>
      </c>
      <c r="I681" s="180">
        <f>(I629/I612)*P78</f>
        <v>1518745.6072794374</v>
      </c>
      <c r="J681" s="180">
        <f>(J630/J612)*P79</f>
        <v>239004.13024365989</v>
      </c>
      <c r="K681" s="180">
        <f>(K644/K612)*P75</f>
        <v>13416231.444928071</v>
      </c>
      <c r="L681" s="180">
        <f>(L647/L612)*P80</f>
        <v>893950.51850645512</v>
      </c>
      <c r="M681" s="180">
        <f t="shared" si="20"/>
        <v>44421608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2721287.9200000009</v>
      </c>
      <c r="D682" s="180">
        <f>(D615/D612)*Q76</f>
        <v>209623.66413456056</v>
      </c>
      <c r="E682" s="180">
        <f>(E623/E612)*SUM(C682:D682)</f>
        <v>553898.75726713124</v>
      </c>
      <c r="F682" s="180">
        <f>(F624/F612)*Q64</f>
        <v>0</v>
      </c>
      <c r="G682" s="180">
        <f>(G625/G612)*Q77</f>
        <v>0</v>
      </c>
      <c r="H682" s="180">
        <f>(H628/H612)*Q60</f>
        <v>175048.12286249766</v>
      </c>
      <c r="I682" s="180">
        <f>(I629/I612)*Q78</f>
        <v>46012.099383323352</v>
      </c>
      <c r="J682" s="180">
        <f>(J630/J612)*Q79</f>
        <v>22517.978854178109</v>
      </c>
      <c r="K682" s="180">
        <f>(K644/K612)*Q75</f>
        <v>392629.13114147988</v>
      </c>
      <c r="L682" s="180">
        <f>(L647/L612)*Q80</f>
        <v>166719.98021744887</v>
      </c>
      <c r="M682" s="180">
        <f t="shared" si="20"/>
        <v>1566450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5014774.4713701997</v>
      </c>
      <c r="D684" s="180">
        <f>(D615/D612)*S76</f>
        <v>1543286.756509443</v>
      </c>
      <c r="E684" s="180">
        <f>(E623/E612)*SUM(C684:D684)</f>
        <v>1239376.1667419574</v>
      </c>
      <c r="F684" s="180">
        <f>(F624/F612)*S64</f>
        <v>0</v>
      </c>
      <c r="G684" s="180">
        <f>(G625/G612)*S77</f>
        <v>0</v>
      </c>
      <c r="H684" s="180">
        <f>(H628/H612)*S60</f>
        <v>533368.68692178442</v>
      </c>
      <c r="I684" s="180">
        <f>(I629/I612)*S78</f>
        <v>338658.94653639605</v>
      </c>
      <c r="J684" s="180">
        <f>(J630/J612)*S79</f>
        <v>5252.7670368756062</v>
      </c>
      <c r="K684" s="180">
        <f>(K644/K612)*S75</f>
        <v>0</v>
      </c>
      <c r="L684" s="180">
        <f>(L647/L612)*S80</f>
        <v>0</v>
      </c>
      <c r="M684" s="180">
        <f t="shared" si="20"/>
        <v>3659943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3079357.0999999996</v>
      </c>
      <c r="D685" s="180">
        <f>(D615/D612)*T76</f>
        <v>0</v>
      </c>
      <c r="E685" s="180">
        <f>(E623/E612)*SUM(C685:D685)</f>
        <v>581952.75493967568</v>
      </c>
      <c r="F685" s="180">
        <f>(F624/F612)*T64</f>
        <v>0</v>
      </c>
      <c r="G685" s="180">
        <f>(G625/G612)*T77</f>
        <v>0</v>
      </c>
      <c r="H685" s="180">
        <f>(H628/H612)*T60</f>
        <v>122758.77261079213</v>
      </c>
      <c r="I685" s="180">
        <f>(I629/I612)*T78</f>
        <v>0</v>
      </c>
      <c r="J685" s="180">
        <f>(J630/J612)*T79</f>
        <v>0</v>
      </c>
      <c r="K685" s="180">
        <f>(K644/K612)*T75</f>
        <v>184350.8920241991</v>
      </c>
      <c r="L685" s="180">
        <f>(L647/L612)*T80</f>
        <v>137496.39738551187</v>
      </c>
      <c r="M685" s="180">
        <f t="shared" si="20"/>
        <v>1026559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20130215.870000001</v>
      </c>
      <c r="D686" s="180">
        <f>(D615/D612)*U76</f>
        <v>1666547.9486324666</v>
      </c>
      <c r="E686" s="180">
        <f>(E623/E612)*SUM(C686:D686)</f>
        <v>4119264.6195605607</v>
      </c>
      <c r="F686" s="180">
        <f>(F624/F612)*U64</f>
        <v>0</v>
      </c>
      <c r="G686" s="180">
        <f>(G625/G612)*U77</f>
        <v>0</v>
      </c>
      <c r="H686" s="180">
        <f>(H628/H612)*U60</f>
        <v>1605386.9388536878</v>
      </c>
      <c r="I686" s="180">
        <f>(I629/I612)*U78</f>
        <v>323420.53082665027</v>
      </c>
      <c r="J686" s="180">
        <f>(J630/J612)*U79</f>
        <v>3189.2649884065754</v>
      </c>
      <c r="K686" s="180">
        <f>(K644/K612)*U75</f>
        <v>1771299.8263053228</v>
      </c>
      <c r="L686" s="180">
        <f>(L647/L612)*U80</f>
        <v>36501.486602342731</v>
      </c>
      <c r="M686" s="180">
        <f t="shared" si="20"/>
        <v>9525611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6380226.5599999996</v>
      </c>
      <c r="D687" s="180">
        <f>(D615/D612)*V76</f>
        <v>0</v>
      </c>
      <c r="E687" s="180">
        <f>(E623/E612)*SUM(C687:D687)</f>
        <v>1205768.0558488297</v>
      </c>
      <c r="F687" s="180">
        <f>(F624/F612)*V64</f>
        <v>0</v>
      </c>
      <c r="G687" s="180">
        <f>(G625/G612)*V77</f>
        <v>0</v>
      </c>
      <c r="H687" s="180">
        <f>(H628/H612)*V60</f>
        <v>45190.46495263293</v>
      </c>
      <c r="I687" s="180">
        <f>(I629/I612)*V78</f>
        <v>0</v>
      </c>
      <c r="J687" s="180">
        <f>(J630/J612)*V79</f>
        <v>0</v>
      </c>
      <c r="K687" s="180">
        <f>(K644/K612)*V75</f>
        <v>1208858.0515908466</v>
      </c>
      <c r="L687" s="180">
        <f>(L647/L612)*V80</f>
        <v>33142.454092924687</v>
      </c>
      <c r="M687" s="180">
        <f t="shared" si="20"/>
        <v>2492959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1535419.2900000003</v>
      </c>
      <c r="D689" s="180">
        <f>(D615/D612)*X76</f>
        <v>0</v>
      </c>
      <c r="E689" s="180">
        <f>(E623/E612)*SUM(C689:D689)</f>
        <v>290171.44059161603</v>
      </c>
      <c r="F689" s="180">
        <f>(F624/F612)*X64</f>
        <v>0</v>
      </c>
      <c r="G689" s="180">
        <f>(G625/G612)*X77</f>
        <v>0</v>
      </c>
      <c r="H689" s="180">
        <f>(H628/H612)*X60</f>
        <v>78001.166517858757</v>
      </c>
      <c r="I689" s="180">
        <f>(I629/I612)*X78</f>
        <v>0</v>
      </c>
      <c r="J689" s="180">
        <f>(J630/J612)*X79</f>
        <v>0</v>
      </c>
      <c r="K689" s="180">
        <f>(K644/K612)*X75</f>
        <v>1663729.4976438328</v>
      </c>
      <c r="L689" s="180">
        <f>(L647/L612)*X80</f>
        <v>0</v>
      </c>
      <c r="M689" s="180">
        <f t="shared" si="20"/>
        <v>2031902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14806044.130000001</v>
      </c>
      <c r="D690" s="180">
        <f>(D615/D612)*Y76</f>
        <v>4114959.4246152826</v>
      </c>
      <c r="E690" s="180">
        <f>(E623/E612)*SUM(C690:D690)</f>
        <v>3575788.6426461423</v>
      </c>
      <c r="F690" s="180">
        <f>(F624/F612)*Y64</f>
        <v>0</v>
      </c>
      <c r="G690" s="180">
        <f>(G625/G612)*Y77</f>
        <v>0</v>
      </c>
      <c r="H690" s="180">
        <f>(H628/H612)*Y60</f>
        <v>569036.25696102739</v>
      </c>
      <c r="I690" s="180">
        <f>(I629/I612)*Y78</f>
        <v>902925.60617811943</v>
      </c>
      <c r="J690" s="180">
        <f>(J630/J612)*Y79</f>
        <v>49326.845144783831</v>
      </c>
      <c r="K690" s="180">
        <f>(K644/K612)*Y75</f>
        <v>2172515.2578894384</v>
      </c>
      <c r="L690" s="180">
        <f>(L647/L612)*Y80</f>
        <v>64717.359681454291</v>
      </c>
      <c r="M690" s="180">
        <f t="shared" si="20"/>
        <v>11449269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1506419.68</v>
      </c>
      <c r="D692" s="180">
        <f>(D615/D612)*AA76</f>
        <v>0</v>
      </c>
      <c r="E692" s="180">
        <f>(E623/E612)*SUM(C692:D692)</f>
        <v>284690.94502594217</v>
      </c>
      <c r="F692" s="180">
        <f>(F624/F612)*AA64</f>
        <v>0</v>
      </c>
      <c r="G692" s="180">
        <f>(G625/G612)*AA77</f>
        <v>0</v>
      </c>
      <c r="H692" s="180">
        <f>(H628/H612)*AA60</f>
        <v>47181.615707250858</v>
      </c>
      <c r="I692" s="180">
        <f>(I629/I612)*AA78</f>
        <v>0</v>
      </c>
      <c r="J692" s="180">
        <f>(J630/J612)*AA79</f>
        <v>5520.012482599227</v>
      </c>
      <c r="K692" s="180">
        <f>(K644/K612)*AA75</f>
        <v>318666.45562313515</v>
      </c>
      <c r="L692" s="180">
        <f>(L647/L612)*AA80</f>
        <v>0</v>
      </c>
      <c r="M692" s="180">
        <f t="shared" si="20"/>
        <v>656059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27262122.710000001</v>
      </c>
      <c r="D693" s="180">
        <f>(D615/D612)*AB76</f>
        <v>1698049.0142432323</v>
      </c>
      <c r="E693" s="180">
        <f>(E623/E612)*SUM(C693:D693)</f>
        <v>5473042.3173231352</v>
      </c>
      <c r="F693" s="180">
        <f>(F624/F612)*AB64</f>
        <v>0</v>
      </c>
      <c r="G693" s="180">
        <f>(G625/G612)*AB77</f>
        <v>0</v>
      </c>
      <c r="H693" s="180">
        <f>(H628/H612)*AB60</f>
        <v>811610.36193665466</v>
      </c>
      <c r="I693" s="180">
        <f>(I629/I612)*AB78</f>
        <v>317978.23950174102</v>
      </c>
      <c r="J693" s="180">
        <f>(J630/J612)*AB79</f>
        <v>0</v>
      </c>
      <c r="K693" s="180">
        <f>(K644/K612)*AB75</f>
        <v>5470448.0479162056</v>
      </c>
      <c r="L693" s="180">
        <f>(L647/L612)*AB80</f>
        <v>36837.389853284534</v>
      </c>
      <c r="M693" s="180">
        <f t="shared" si="20"/>
        <v>13807965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4299746.16</v>
      </c>
      <c r="D694" s="180">
        <f>(D615/D612)*AC76</f>
        <v>86804.902708317401</v>
      </c>
      <c r="E694" s="180">
        <f>(E623/E612)*SUM(C694:D694)</f>
        <v>828992.99844979576</v>
      </c>
      <c r="F694" s="180">
        <f>(F624/F612)*AC64</f>
        <v>0</v>
      </c>
      <c r="G694" s="180">
        <f>(G625/G612)*AC77</f>
        <v>0</v>
      </c>
      <c r="H694" s="180">
        <f>(H628/H612)*AC60</f>
        <v>260148.17467942904</v>
      </c>
      <c r="I694" s="180">
        <f>(I629/I612)*AC78</f>
        <v>19048.019637182246</v>
      </c>
      <c r="J694" s="180">
        <f>(J630/J612)*AC79</f>
        <v>0</v>
      </c>
      <c r="K694" s="180">
        <f>(K644/K612)*AC75</f>
        <v>925143.62504958326</v>
      </c>
      <c r="L694" s="180">
        <f>(L647/L612)*AC80</f>
        <v>0</v>
      </c>
      <c r="M694" s="180">
        <f t="shared" si="20"/>
        <v>2120138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6151571.1399999997</v>
      </c>
      <c r="D695" s="180">
        <f>(D615/D612)*AD76</f>
        <v>3559177.9833197254</v>
      </c>
      <c r="E695" s="180">
        <f>(E623/E612)*SUM(C695:D695)</f>
        <v>1835187.3528549043</v>
      </c>
      <c r="F695" s="180">
        <f>(F624/F612)*AD64</f>
        <v>0</v>
      </c>
      <c r="G695" s="180">
        <f>(G625/G612)*AD77</f>
        <v>0</v>
      </c>
      <c r="H695" s="180">
        <f>(H628/H612)*AD60</f>
        <v>8657.1771939909831</v>
      </c>
      <c r="I695" s="180">
        <f>(I629/I612)*AD78</f>
        <v>1020380.1480447965</v>
      </c>
      <c r="J695" s="180">
        <f>(J630/J612)*AD79</f>
        <v>18195.470773409157</v>
      </c>
      <c r="K695" s="180">
        <f>(K644/K612)*AD75</f>
        <v>378538.20082099084</v>
      </c>
      <c r="L695" s="180">
        <f>(L647/L612)*AD80</f>
        <v>0</v>
      </c>
      <c r="M695" s="180">
        <f t="shared" si="20"/>
        <v>6820136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5267343.4000000013</v>
      </c>
      <c r="D696" s="180">
        <f>(D615/D612)*AE76</f>
        <v>1149788.8947929421</v>
      </c>
      <c r="E696" s="180">
        <f>(E623/E612)*SUM(C696:D696)</f>
        <v>1212742.6915725744</v>
      </c>
      <c r="F696" s="180">
        <f>(F624/F612)*AE64</f>
        <v>0</v>
      </c>
      <c r="G696" s="180">
        <f>(G625/G612)*AE77</f>
        <v>0</v>
      </c>
      <c r="H696" s="180">
        <f>(H628/H612)*AE60</f>
        <v>345854.2288999398</v>
      </c>
      <c r="I696" s="180">
        <f>(I629/I612)*AE78</f>
        <v>252324.41597306353</v>
      </c>
      <c r="J696" s="180">
        <f>(J630/J612)*AE79</f>
        <v>0</v>
      </c>
      <c r="K696" s="180">
        <f>(K644/K612)*AE75</f>
        <v>383751.80767461844</v>
      </c>
      <c r="L696" s="180">
        <f>(L647/L612)*AE80</f>
        <v>0</v>
      </c>
      <c r="M696" s="180">
        <f t="shared" si="20"/>
        <v>3344462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21702705.16</v>
      </c>
      <c r="D698" s="180">
        <f>(D615/D612)*AG76</f>
        <v>1785827.2644844665</v>
      </c>
      <c r="E698" s="180">
        <f>(E623/E612)*SUM(C698:D698)</f>
        <v>4438983.7586289151</v>
      </c>
      <c r="F698" s="180">
        <f>(F624/F612)*AG64</f>
        <v>0</v>
      </c>
      <c r="G698" s="180">
        <f>(G625/G612)*AG77</f>
        <v>0</v>
      </c>
      <c r="H698" s="180">
        <f>(H628/H612)*AG60</f>
        <v>748586.11196440028</v>
      </c>
      <c r="I698" s="180">
        <f>(I629/I612)*AG78</f>
        <v>391844.97539346333</v>
      </c>
      <c r="J698" s="180">
        <f>(J630/J612)*AG79</f>
        <v>95661.629319633983</v>
      </c>
      <c r="K698" s="180">
        <f>(K644/K612)*AG75</f>
        <v>2619543.8804978682</v>
      </c>
      <c r="L698" s="180">
        <f>(L647/L612)*AG80</f>
        <v>567116.65534007957</v>
      </c>
      <c r="M698" s="180">
        <f t="shared" si="20"/>
        <v>10647564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14813983.459999997</v>
      </c>
      <c r="D700" s="180">
        <f>(D615/D612)*AI76</f>
        <v>0</v>
      </c>
      <c r="E700" s="180">
        <f>(E623/E612)*SUM(C700:D700)</f>
        <v>2799622.845358789</v>
      </c>
      <c r="F700" s="180">
        <f>(F624/F612)*AI64</f>
        <v>0</v>
      </c>
      <c r="G700" s="180">
        <f>(G625/G612)*AI77</f>
        <v>0</v>
      </c>
      <c r="H700" s="180">
        <f>(H628/H612)*AI60</f>
        <v>1197893.6083325325</v>
      </c>
      <c r="I700" s="180">
        <f>(I629/I612)*AI78</f>
        <v>0</v>
      </c>
      <c r="J700" s="180">
        <f>(J630/J612)*AI79</f>
        <v>0</v>
      </c>
      <c r="K700" s="180">
        <f>(K644/K612)*AI75</f>
        <v>1218232.0023700299</v>
      </c>
      <c r="L700" s="180">
        <f>(L647/L612)*AI80</f>
        <v>861479.87091541395</v>
      </c>
      <c r="M700" s="180">
        <f t="shared" si="20"/>
        <v>6077228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7221632.0799999991</v>
      </c>
      <c r="D701" s="180">
        <f>(D615/D612)*AJ76</f>
        <v>1859890.163125508</v>
      </c>
      <c r="E701" s="180">
        <f>(E623/E612)*SUM(C701:D701)</f>
        <v>1716272.8182557435</v>
      </c>
      <c r="F701" s="180">
        <f>(F624/F612)*AJ64</f>
        <v>0</v>
      </c>
      <c r="G701" s="180">
        <f>(G625/G612)*AJ77</f>
        <v>0</v>
      </c>
      <c r="H701" s="180">
        <f>(H628/H612)*AJ60</f>
        <v>334426.75500387169</v>
      </c>
      <c r="I701" s="180">
        <f>(I629/I612)*AJ78</f>
        <v>0</v>
      </c>
      <c r="J701" s="180">
        <f>(J630/J612)*AJ79</f>
        <v>8956.4625079537327</v>
      </c>
      <c r="K701" s="180">
        <f>(K644/K612)*AJ75</f>
        <v>557801.4581708801</v>
      </c>
      <c r="L701" s="180">
        <f>(L647/L612)*AJ80</f>
        <v>176685.10999538904</v>
      </c>
      <c r="M701" s="180">
        <f t="shared" si="20"/>
        <v>4654033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2382546.7900000005</v>
      </c>
      <c r="D702" s="180">
        <f>(D615/D612)*AK76</f>
        <v>514546.90035562246</v>
      </c>
      <c r="E702" s="180">
        <f>(E623/E612)*SUM(C702:D702)</f>
        <v>547507.67763206374</v>
      </c>
      <c r="F702" s="180">
        <f>(F624/F612)*AK64</f>
        <v>0</v>
      </c>
      <c r="G702" s="180">
        <f>(G625/G612)*AK77</f>
        <v>0</v>
      </c>
      <c r="H702" s="180">
        <f>(H628/H612)*AK60</f>
        <v>167689.52224760535</v>
      </c>
      <c r="I702" s="180">
        <f>(I629/I612)*AK78</f>
        <v>112902.80730402567</v>
      </c>
      <c r="J702" s="180">
        <f>(J630/J612)*AK79</f>
        <v>9403.2316118733743</v>
      </c>
      <c r="K702" s="180">
        <f>(K644/K612)*AK75</f>
        <v>198694.54232165081</v>
      </c>
      <c r="L702" s="180">
        <f>(L647/L612)*AK80</f>
        <v>0</v>
      </c>
      <c r="M702" s="180">
        <f t="shared" si="20"/>
        <v>1550745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672614.29999999993</v>
      </c>
      <c r="D703" s="180">
        <f>(D615/D612)*AL76</f>
        <v>369075.68725422205</v>
      </c>
      <c r="E703" s="180">
        <f>(E623/E612)*SUM(C703:D703)</f>
        <v>196863.93561684358</v>
      </c>
      <c r="F703" s="180">
        <f>(F624/F612)*AL64</f>
        <v>0</v>
      </c>
      <c r="G703" s="180">
        <f>(G625/G612)*AL77</f>
        <v>0</v>
      </c>
      <c r="H703" s="180">
        <f>(H628/H612)*AL60</f>
        <v>49432.48177768851</v>
      </c>
      <c r="I703" s="180">
        <f>(I629/I612)*AL78</f>
        <v>80991.189989785285</v>
      </c>
      <c r="J703" s="180">
        <f>(J630/J612)*AL79</f>
        <v>0</v>
      </c>
      <c r="K703" s="180">
        <f>(K644/K612)*AL75</f>
        <v>50806.035140512176</v>
      </c>
      <c r="L703" s="180">
        <f>(L647/L612)*AL80</f>
        <v>0</v>
      </c>
      <c r="M703" s="180">
        <f t="shared" si="20"/>
        <v>747169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44612</v>
      </c>
      <c r="D705" s="180">
        <f>(D615/D612)*AN76</f>
        <v>292889.12126863463</v>
      </c>
      <c r="E705" s="180">
        <f>(E623/E612)*SUM(C705:D705)</f>
        <v>63782.699095701348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64268.513009609705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420940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182782.51999999979</v>
      </c>
      <c r="D707" s="180">
        <f>(D615/D612)*AP76</f>
        <v>151222.81215954581</v>
      </c>
      <c r="E707" s="180">
        <f>(E623/E612)*SUM(C707:D707)</f>
        <v>63122.046876209664</v>
      </c>
      <c r="F707" s="180">
        <f>(F624/F612)*AP64</f>
        <v>0</v>
      </c>
      <c r="G707" s="180">
        <f>(G625/G612)*AP77</f>
        <v>0</v>
      </c>
      <c r="H707" s="180">
        <f>(H628/H612)*AP60</f>
        <v>25278.957406453672</v>
      </c>
      <c r="I707" s="180">
        <f>(I629/I612)*AP78</f>
        <v>33197.977081946199</v>
      </c>
      <c r="J707" s="180">
        <f>(J630/J612)*AP79</f>
        <v>0</v>
      </c>
      <c r="K707" s="180">
        <f>(K644/K612)*AP75</f>
        <v>71070.48329116909</v>
      </c>
      <c r="L707" s="180">
        <f>(L647/L612)*AP80</f>
        <v>21049.937059019732</v>
      </c>
      <c r="M707" s="180">
        <f t="shared" si="20"/>
        <v>364942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47434101.059999995</v>
      </c>
      <c r="D709" s="180">
        <f>(D615/D612)*AR76</f>
        <v>0</v>
      </c>
      <c r="E709" s="180">
        <f>(E623/E612)*SUM(C709:D709)</f>
        <v>8964340.5728923064</v>
      </c>
      <c r="F709" s="180">
        <f>(F624/F612)*AR64</f>
        <v>0</v>
      </c>
      <c r="G709" s="180">
        <f>(G625/G612)*AR77</f>
        <v>0</v>
      </c>
      <c r="H709" s="180">
        <f>(H628/H612)*AR60</f>
        <v>2803453.6907301</v>
      </c>
      <c r="I709" s="180">
        <f>(I629/I612)*AR78</f>
        <v>0</v>
      </c>
      <c r="J709" s="180">
        <f>(J630/J612)*AR79</f>
        <v>0</v>
      </c>
      <c r="K709" s="180">
        <f>(K644/K612)*AR75</f>
        <v>1043926.3979727306</v>
      </c>
      <c r="L709" s="180">
        <f>(L647/L612)*AR80</f>
        <v>1196823.2831056486</v>
      </c>
      <c r="M709" s="180">
        <f t="shared" si="20"/>
        <v>14008544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15169183.031400003</v>
      </c>
      <c r="D713" s="180">
        <f>(D615/D612)*AV76</f>
        <v>123349.67826237966</v>
      </c>
      <c r="E713" s="180">
        <f>(E623/E612)*SUM(C713:D713)</f>
        <v>2890061.5457665264</v>
      </c>
      <c r="F713" s="180">
        <f>(F624/F612)*AV64</f>
        <v>0</v>
      </c>
      <c r="G713" s="180">
        <f>(G625/G612)*AV77</f>
        <v>0</v>
      </c>
      <c r="H713" s="180">
        <f>(H628/H612)*AV60</f>
        <v>280146.25399754819</v>
      </c>
      <c r="I713" s="180">
        <f>(I629/I612)*AV78</f>
        <v>27063.030497503089</v>
      </c>
      <c r="J713" s="180">
        <f>(J630/J612)*AV79</f>
        <v>5010.6821038537</v>
      </c>
      <c r="K713" s="180">
        <f>(K644/K612)*AV75</f>
        <v>58409.550850187021</v>
      </c>
      <c r="L713" s="180">
        <f>(L647/L612)*AV80</f>
        <v>37173.293104226337</v>
      </c>
      <c r="M713" s="180">
        <f t="shared" si="20"/>
        <v>3421214</v>
      </c>
      <c r="N713" s="199" t="s">
        <v>741</v>
      </c>
    </row>
    <row r="715" spans="1:83" ht="12.6" customHeight="1" x14ac:dyDescent="0.25">
      <c r="C715" s="180">
        <f>SUM(C614:C647)+SUM(C668:C713)</f>
        <v>615459478.60234916</v>
      </c>
      <c r="D715" s="180">
        <f>SUM(D616:D647)+SUM(D668:D713)</f>
        <v>63223523.542200014</v>
      </c>
      <c r="E715" s="180">
        <f>SUM(E624:E647)+SUM(E668:E713)</f>
        <v>97825191.889495179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20650917.050318029</v>
      </c>
      <c r="I715" s="180">
        <f>SUM(I630:I647)+SUM(I668:I713)</f>
        <v>8772775.7142509297</v>
      </c>
      <c r="J715" s="180">
        <f>SUM(J631:J647)+SUM(J668:J713)</f>
        <v>919196.83069110685</v>
      </c>
      <c r="K715" s="180">
        <f>SUM(K668:K713)</f>
        <v>41613994.386152282</v>
      </c>
      <c r="L715" s="180">
        <f>SUM(L668:L713)</f>
        <v>9763587.8273751102</v>
      </c>
      <c r="M715" s="180">
        <f>SUM(M668:M713)</f>
        <v>205728660</v>
      </c>
      <c r="N715" s="198" t="s">
        <v>742</v>
      </c>
    </row>
    <row r="716" spans="1:83" ht="12.6" customHeight="1" x14ac:dyDescent="0.25">
      <c r="C716" s="180">
        <f>CE71</f>
        <v>615459478.60234928</v>
      </c>
      <c r="D716" s="180">
        <f>D615</f>
        <v>63223523.542199999</v>
      </c>
      <c r="E716" s="180">
        <f>E623</f>
        <v>97825191.889495164</v>
      </c>
      <c r="F716" s="180">
        <f>F624</f>
        <v>0</v>
      </c>
      <c r="G716" s="180">
        <f>G625</f>
        <v>0</v>
      </c>
      <c r="H716" s="180">
        <f>H628</f>
        <v>20650917.050318029</v>
      </c>
      <c r="I716" s="180">
        <f>I629</f>
        <v>8772775.7142509278</v>
      </c>
      <c r="J716" s="180">
        <f>J630</f>
        <v>919196.83069110685</v>
      </c>
      <c r="K716" s="180">
        <f>K644</f>
        <v>41613994.386152267</v>
      </c>
      <c r="L716" s="180">
        <f>L647</f>
        <v>9763587.8273751102</v>
      </c>
      <c r="M716" s="180">
        <f>C648</f>
        <v>205728662.33457902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032*2018*A</v>
      </c>
      <c r="B722" s="276">
        <f>ROUND(C165,0)</f>
        <v>14498941</v>
      </c>
      <c r="C722" s="276">
        <f>ROUND(C166,0)</f>
        <v>655975</v>
      </c>
      <c r="D722" s="276">
        <f>ROUND(C167,0)</f>
        <v>2937393</v>
      </c>
      <c r="E722" s="276">
        <f>ROUND(C168,0)</f>
        <v>26481581</v>
      </c>
      <c r="F722" s="276">
        <f>ROUND(C169,0)</f>
        <v>107359</v>
      </c>
      <c r="G722" s="276">
        <f>ROUND(C170,0)</f>
        <v>9761814</v>
      </c>
      <c r="H722" s="276">
        <f>ROUND(C171+C172,0)</f>
        <v>703966</v>
      </c>
      <c r="I722" s="276">
        <f>ROUND(C175,0)</f>
        <v>5541374</v>
      </c>
      <c r="J722" s="276">
        <f>ROUND(C176,0)</f>
        <v>3227741</v>
      </c>
      <c r="K722" s="276">
        <f>ROUND(C179,0)</f>
        <v>4341636</v>
      </c>
      <c r="L722" s="276">
        <f>ROUND(C180,0)</f>
        <v>812254</v>
      </c>
      <c r="M722" s="276">
        <f>ROUND(C183,0)</f>
        <v>145587</v>
      </c>
      <c r="N722" s="276">
        <f>ROUND(C184,0)</f>
        <v>27477070</v>
      </c>
      <c r="O722" s="276">
        <f>ROUND(C185,0)</f>
        <v>0</v>
      </c>
      <c r="P722" s="276">
        <f>ROUND(C188,0)</f>
        <v>0</v>
      </c>
      <c r="Q722" s="276">
        <f>ROUND(C189,0)</f>
        <v>255133</v>
      </c>
      <c r="R722" s="276">
        <f>ROUND(B195,0)</f>
        <v>7877315</v>
      </c>
      <c r="S722" s="276">
        <f>ROUND(C195,0)</f>
        <v>0</v>
      </c>
      <c r="T722" s="276">
        <f>ROUND(D195,0)</f>
        <v>0</v>
      </c>
      <c r="U722" s="276">
        <f>ROUND(B196,0)</f>
        <v>4412190</v>
      </c>
      <c r="V722" s="276">
        <f>ROUND(C196,0)</f>
        <v>0</v>
      </c>
      <c r="W722" s="276">
        <f>ROUND(D196,0)</f>
        <v>0</v>
      </c>
      <c r="X722" s="276">
        <f>ROUND(B197,0)</f>
        <v>170461211</v>
      </c>
      <c r="Y722" s="276">
        <f>ROUND(C197,0)</f>
        <v>6130187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72677418</v>
      </c>
      <c r="AE722" s="276">
        <f>ROUND(C199,0)</f>
        <v>6086661</v>
      </c>
      <c r="AF722" s="276">
        <f>ROUND(D199,0)</f>
        <v>742975</v>
      </c>
      <c r="AG722" s="276">
        <f>ROUND(B200,0)</f>
        <v>230500672</v>
      </c>
      <c r="AH722" s="276">
        <f>ROUND(C200,0)</f>
        <v>22715012</v>
      </c>
      <c r="AI722" s="276">
        <f>ROUND(D200,0)</f>
        <v>58170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26048309</v>
      </c>
      <c r="AN722" s="276">
        <f>ROUND(C202,0)</f>
        <v>7696984</v>
      </c>
      <c r="AO722" s="276">
        <f>ROUND(D202,0)</f>
        <v>0</v>
      </c>
      <c r="AP722" s="276">
        <f>ROUND(B203,0)</f>
        <v>11342590</v>
      </c>
      <c r="AQ722" s="276">
        <f>ROUND(C203,0)</f>
        <v>48726747</v>
      </c>
      <c r="AR722" s="276">
        <f>ROUND(D203,0)</f>
        <v>42114458</v>
      </c>
      <c r="AS722" s="276"/>
      <c r="AT722" s="276"/>
      <c r="AU722" s="276"/>
      <c r="AV722" s="276">
        <f>ROUND(B209,0)</f>
        <v>3171544</v>
      </c>
      <c r="AW722" s="276">
        <f>ROUND(C209,0)</f>
        <v>169316</v>
      </c>
      <c r="AX722" s="276">
        <f>ROUND(D209,0)</f>
        <v>0</v>
      </c>
      <c r="AY722" s="276">
        <f>ROUND(B210,0)</f>
        <v>77975705</v>
      </c>
      <c r="AZ722" s="276">
        <f>ROUND(C210,0)</f>
        <v>5314819</v>
      </c>
      <c r="BA722" s="276">
        <f>ROUND(D210,0)</f>
        <v>-66736</v>
      </c>
      <c r="BB722" s="276">
        <f>ROUND(B211,0)</f>
        <v>3770133</v>
      </c>
      <c r="BC722" s="276">
        <f>ROUND(C211,0)</f>
        <v>0</v>
      </c>
      <c r="BD722" s="276">
        <f>ROUND(D211,0)</f>
        <v>0</v>
      </c>
      <c r="BE722" s="276">
        <f>ROUND(B212,0)</f>
        <v>61630978</v>
      </c>
      <c r="BF722" s="276">
        <f>ROUND(C212,0)</f>
        <v>1282774</v>
      </c>
      <c r="BG722" s="276">
        <f>ROUND(D212,0)</f>
        <v>11361</v>
      </c>
      <c r="BH722" s="276">
        <f>ROUND(B213,0)</f>
        <v>171580698</v>
      </c>
      <c r="BI722" s="276">
        <f>ROUND(C213,0)</f>
        <v>16905415</v>
      </c>
      <c r="BJ722" s="276">
        <f>ROUND(D213,0)</f>
        <v>-561571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9323054</v>
      </c>
      <c r="BO722" s="276">
        <f>ROUND(C215,0)</f>
        <v>2070378</v>
      </c>
      <c r="BP722" s="276">
        <f>ROUND(D215,0)</f>
        <v>1355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1042168363</v>
      </c>
      <c r="BU722" s="276">
        <f>ROUND(C224,0)</f>
        <v>533666319</v>
      </c>
      <c r="BV722" s="276">
        <f>ROUND(C225,0)</f>
        <v>0</v>
      </c>
      <c r="BW722" s="276">
        <f>ROUND(C226,0)</f>
        <v>92021522</v>
      </c>
      <c r="BX722" s="276">
        <f>ROUND(C227,0)</f>
        <v>383088073</v>
      </c>
      <c r="BY722" s="276">
        <f>ROUND(C228,0)</f>
        <v>35983847</v>
      </c>
      <c r="BZ722" s="276">
        <f>ROUND(C231,0)</f>
        <v>10134</v>
      </c>
      <c r="CA722" s="276">
        <f>ROUND(C233,0)</f>
        <v>17658279</v>
      </c>
      <c r="CB722" s="276">
        <f>ROUND(C234,0)</f>
        <v>14800397</v>
      </c>
      <c r="CC722" s="276">
        <f>ROUND(C238+C239,0)</f>
        <v>13706149</v>
      </c>
      <c r="CD722" s="276">
        <f>D221</f>
        <v>5300584.28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032*2018*A</v>
      </c>
      <c r="B726" s="276">
        <f>ROUND(C111,0)</f>
        <v>19956</v>
      </c>
      <c r="C726" s="276">
        <f>ROUND(C112,0)</f>
        <v>0</v>
      </c>
      <c r="D726" s="276">
        <f>ROUND(C113,0)</f>
        <v>0</v>
      </c>
      <c r="E726" s="276">
        <f>ROUND(C114,0)</f>
        <v>4415</v>
      </c>
      <c r="F726" s="276">
        <f>ROUND(D111,0)</f>
        <v>110758</v>
      </c>
      <c r="G726" s="276">
        <f>ROUND(D112,0)</f>
        <v>0</v>
      </c>
      <c r="H726" s="276">
        <f>ROUND(D113,0)</f>
        <v>0</v>
      </c>
      <c r="I726" s="276">
        <f>ROUND(D114,0)</f>
        <v>10888</v>
      </c>
      <c r="J726" s="276">
        <f>ROUND(C116,0)</f>
        <v>40</v>
      </c>
      <c r="K726" s="276">
        <f>ROUND(C117,0)</f>
        <v>35</v>
      </c>
      <c r="L726" s="276">
        <f>ROUND(C118,0)</f>
        <v>186</v>
      </c>
      <c r="M726" s="276">
        <f>ROUND(C119,0)</f>
        <v>0</v>
      </c>
      <c r="N726" s="276">
        <f>ROUND(C120,0)</f>
        <v>33</v>
      </c>
      <c r="O726" s="276">
        <f>ROUND(C121,0)</f>
        <v>26</v>
      </c>
      <c r="P726" s="276">
        <f>ROUND(C122,0)</f>
        <v>23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23</v>
      </c>
      <c r="V726" s="276">
        <f>ROUND(C128,0)</f>
        <v>366</v>
      </c>
      <c r="W726" s="276">
        <f>ROUND(C129,0)</f>
        <v>35</v>
      </c>
      <c r="X726" s="276">
        <f>ROUND(B138,0)</f>
        <v>8318</v>
      </c>
      <c r="Y726" s="276">
        <f>ROUND(B139,0)</f>
        <v>55821</v>
      </c>
      <c r="Z726" s="276">
        <f>ROUND(B140,0)</f>
        <v>0</v>
      </c>
      <c r="AA726" s="276">
        <f>ROUND(B141,0)</f>
        <v>839598453</v>
      </c>
      <c r="AB726" s="276">
        <f>ROUND(B142,0)</f>
        <v>462265557</v>
      </c>
      <c r="AC726" s="276">
        <f>ROUND(C138,0)</f>
        <v>4938</v>
      </c>
      <c r="AD726" s="276">
        <f>ROUND(C139,0)</f>
        <v>27760</v>
      </c>
      <c r="AE726" s="276">
        <f>ROUND(C140,0)</f>
        <v>0</v>
      </c>
      <c r="AF726" s="276">
        <f>ROUND(C141,0)</f>
        <v>391494020</v>
      </c>
      <c r="AG726" s="276">
        <f>ROUND(C142,0)</f>
        <v>229380065</v>
      </c>
      <c r="AH726" s="276">
        <f>ROUND(D138,0)</f>
        <v>6700</v>
      </c>
      <c r="AI726" s="276">
        <f>ROUND(D139,0)</f>
        <v>27177</v>
      </c>
      <c r="AJ726" s="276">
        <f>ROUND(D140,0)</f>
        <v>0</v>
      </c>
      <c r="AK726" s="276">
        <f>ROUND(D141,0)</f>
        <v>488994102</v>
      </c>
      <c r="AL726" s="276">
        <f>ROUND(D142,0)</f>
        <v>418446160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032*2018*A</v>
      </c>
      <c r="B730" s="276">
        <f>ROUND(C250,0)</f>
        <v>54008395</v>
      </c>
      <c r="C730" s="276">
        <f>ROUND(C251,0)</f>
        <v>0</v>
      </c>
      <c r="D730" s="276">
        <f>ROUND(C252,0)</f>
        <v>401428577</v>
      </c>
      <c r="E730" s="276">
        <f>ROUND(C253,0)</f>
        <v>306276904</v>
      </c>
      <c r="F730" s="276">
        <f>ROUND(C254,0)</f>
        <v>0</v>
      </c>
      <c r="G730" s="276">
        <f>ROUND(C255,0)</f>
        <v>21747915</v>
      </c>
      <c r="H730" s="276">
        <f>ROUND(C256,0)</f>
        <v>0</v>
      </c>
      <c r="I730" s="276">
        <f>ROUND(C257,0)</f>
        <v>15532004</v>
      </c>
      <c r="J730" s="276">
        <f>ROUND(C258,0)</f>
        <v>617650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7877315</v>
      </c>
      <c r="P730" s="276">
        <f>ROUND(C268,0)</f>
        <v>4412190</v>
      </c>
      <c r="Q730" s="276">
        <f>ROUND(C269,0)</f>
        <v>176591397</v>
      </c>
      <c r="R730" s="276">
        <f>ROUND(C270,0)</f>
        <v>0</v>
      </c>
      <c r="S730" s="276">
        <f>ROUND(C271,0)</f>
        <v>78021104</v>
      </c>
      <c r="T730" s="276">
        <f>ROUND(C272,0)</f>
        <v>253157515</v>
      </c>
      <c r="U730" s="276">
        <f>ROUND(C273,0)</f>
        <v>33745293</v>
      </c>
      <c r="V730" s="276">
        <f>ROUND(C274,0)</f>
        <v>17954880</v>
      </c>
      <c r="W730" s="276">
        <f>ROUND(C275,0)</f>
        <v>0</v>
      </c>
      <c r="X730" s="276">
        <f>ROUND(C276,0)</f>
        <v>353810405</v>
      </c>
      <c r="Y730" s="276">
        <f>ROUND(C279,0)</f>
        <v>0</v>
      </c>
      <c r="Z730" s="276">
        <f>ROUND(C280,0)</f>
        <v>0</v>
      </c>
      <c r="AA730" s="276">
        <f>ROUND(C281,0)</f>
        <v>84871914</v>
      </c>
      <c r="AB730" s="276">
        <f>ROUND(C282,0)</f>
        <v>1241565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10547057</v>
      </c>
      <c r="AI730" s="276">
        <f>ROUND(C306,0)</f>
        <v>23156489</v>
      </c>
      <c r="AJ730" s="276">
        <f>ROUND(C307,0)</f>
        <v>47163724</v>
      </c>
      <c r="AK730" s="276">
        <f>ROUND(C308,0)</f>
        <v>0</v>
      </c>
      <c r="AL730" s="276">
        <f>ROUND(C309,0)</f>
        <v>4617460</v>
      </c>
      <c r="AM730" s="276">
        <f>ROUND(C310,0)</f>
        <v>0</v>
      </c>
      <c r="AN730" s="276">
        <f>ROUND(C311,0)</f>
        <v>0</v>
      </c>
      <c r="AO730" s="276">
        <f>ROUND(C312,0)</f>
        <v>46026577</v>
      </c>
      <c r="AP730" s="276">
        <f>ROUND(C313,0)</f>
        <v>2025679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5832982</v>
      </c>
      <c r="AZ730" s="276">
        <f>ROUND(C327,0)</f>
        <v>4935093</v>
      </c>
      <c r="BA730" s="276">
        <f>ROUND(C328,0)</f>
        <v>0</v>
      </c>
      <c r="BB730" s="276">
        <f>ROUND(C332,0)</f>
        <v>348841024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2586.75</v>
      </c>
      <c r="BJ730" s="276">
        <f>ROUND(C359,0)</f>
        <v>1720086575</v>
      </c>
      <c r="BK730" s="276">
        <f>ROUND(C360,0)</f>
        <v>1110091781</v>
      </c>
      <c r="BL730" s="276">
        <f>ROUND(C364,0)</f>
        <v>2086928124</v>
      </c>
      <c r="BM730" s="276">
        <f>ROUND(C365,0)</f>
        <v>32458675</v>
      </c>
      <c r="BN730" s="276">
        <f>ROUND(C366,0)</f>
        <v>13706149</v>
      </c>
      <c r="BO730" s="276">
        <f>ROUND(C370,0)</f>
        <v>25035967</v>
      </c>
      <c r="BP730" s="276">
        <f>ROUND(C371,0)</f>
        <v>0</v>
      </c>
      <c r="BQ730" s="276">
        <f>ROUND(C378,0)</f>
        <v>202320422</v>
      </c>
      <c r="BR730" s="276">
        <f>ROUND(C379,0)</f>
        <v>55147028</v>
      </c>
      <c r="BS730" s="276">
        <f>ROUND(C380,0)</f>
        <v>25913593</v>
      </c>
      <c r="BT730" s="276">
        <f>ROUND(C381,0)</f>
        <v>105118212</v>
      </c>
      <c r="BU730" s="276">
        <f>ROUND(C382,0)</f>
        <v>4016112</v>
      </c>
      <c r="BV730" s="276">
        <f>ROUND(C383,0)</f>
        <v>170309157</v>
      </c>
      <c r="BW730" s="276">
        <f>ROUND(C384,0)</f>
        <v>25742702</v>
      </c>
      <c r="BX730" s="276">
        <f>ROUND(C385,0)</f>
        <v>8769115</v>
      </c>
      <c r="BY730" s="276">
        <f>ROUND(C386,0)</f>
        <v>5153890</v>
      </c>
      <c r="BZ730" s="276">
        <f>ROUND(C387,0)</f>
        <v>27622657</v>
      </c>
      <c r="CA730" s="276">
        <f>ROUND(C388,0)</f>
        <v>255133</v>
      </c>
      <c r="CB730" s="276">
        <f>C363</f>
        <v>5300584.28</v>
      </c>
      <c r="CC730" s="276">
        <f>ROUND(C389,0)</f>
        <v>10127425</v>
      </c>
      <c r="CD730" s="276">
        <f>ROUND(C392,0)</f>
        <v>7702444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032*2018*6010*A</v>
      </c>
      <c r="B734" s="276">
        <f>ROUND(C59,0)</f>
        <v>25433</v>
      </c>
      <c r="C734" s="276">
        <f>ROUND(C60,2)</f>
        <v>174.56</v>
      </c>
      <c r="D734" s="276">
        <f>ROUND(C61,0)</f>
        <v>15935945</v>
      </c>
      <c r="E734" s="276">
        <f>ROUND(C62,0)</f>
        <v>3928891</v>
      </c>
      <c r="F734" s="276">
        <f>ROUND(C63,0)</f>
        <v>3326965</v>
      </c>
      <c r="G734" s="276">
        <f>ROUND(C64,0)</f>
        <v>2416304</v>
      </c>
      <c r="H734" s="276">
        <f>ROUND(C65,0)</f>
        <v>3326</v>
      </c>
      <c r="I734" s="276">
        <f>ROUND(C66,0)</f>
        <v>191140</v>
      </c>
      <c r="J734" s="276">
        <f>ROUND(C67,0)</f>
        <v>697256</v>
      </c>
      <c r="K734" s="276">
        <f>ROUND(C68,0)</f>
        <v>3957</v>
      </c>
      <c r="L734" s="276">
        <f>ROUND(C69,0)</f>
        <v>66381</v>
      </c>
      <c r="M734" s="276">
        <f>ROUND(C70,0)</f>
        <v>19000</v>
      </c>
      <c r="N734" s="276">
        <f>ROUND(C75,0)</f>
        <v>94399282</v>
      </c>
      <c r="O734" s="276">
        <f>ROUND(C73,0)</f>
        <v>93678198</v>
      </c>
      <c r="P734" s="276">
        <f>IF(C76&gt;0,ROUND(C76,0),0)</f>
        <v>20827</v>
      </c>
      <c r="Q734" s="276">
        <f>IF(C77&gt;0,ROUND(C77,0),0)</f>
        <v>36473</v>
      </c>
      <c r="R734" s="276">
        <f>IF(C78&gt;0,ROUND(C78,0),0)</f>
        <v>8174</v>
      </c>
      <c r="S734" s="276">
        <f>IF(C79&gt;0,ROUND(C79,0),0)</f>
        <v>243480</v>
      </c>
      <c r="T734" s="276">
        <f>IF(C80&gt;0,ROUND(C80,2),0)</f>
        <v>119.07</v>
      </c>
      <c r="U734" s="276"/>
      <c r="V734" s="276"/>
      <c r="W734" s="276"/>
      <c r="X734" s="276"/>
      <c r="Y734" s="276">
        <f>IF(M668&lt;&gt;0,ROUND(M668,0),0)</f>
        <v>11928566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032*2018*6030*A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032*2018*6070*A</v>
      </c>
      <c r="B736" s="276">
        <f>ROUND(E59,0)</f>
        <v>72116</v>
      </c>
      <c r="C736" s="278">
        <f>ROUND(E60,2)</f>
        <v>400.98</v>
      </c>
      <c r="D736" s="276">
        <f>ROUND(E61,0)</f>
        <v>30475085</v>
      </c>
      <c r="E736" s="276">
        <f>ROUND(E62,0)</f>
        <v>8122528</v>
      </c>
      <c r="F736" s="276">
        <f>ROUND(E63,0)</f>
        <v>50655</v>
      </c>
      <c r="G736" s="276">
        <f>ROUND(E64,0)</f>
        <v>2683866</v>
      </c>
      <c r="H736" s="276">
        <f>ROUND(E65,0)</f>
        <v>5777</v>
      </c>
      <c r="I736" s="276">
        <f>ROUND(E66,0)</f>
        <v>1503569</v>
      </c>
      <c r="J736" s="276">
        <f>ROUND(E67,0)</f>
        <v>2425800</v>
      </c>
      <c r="K736" s="276">
        <f>ROUND(E68,0)</f>
        <v>52608</v>
      </c>
      <c r="L736" s="276">
        <f>ROUND(E69,0)</f>
        <v>73342</v>
      </c>
      <c r="M736" s="276">
        <f>ROUND(E70,0)</f>
        <v>68250</v>
      </c>
      <c r="N736" s="276">
        <f>ROUND(E75,0)</f>
        <v>204708229</v>
      </c>
      <c r="O736" s="276">
        <f>ROUND(E73,0)</f>
        <v>190219267</v>
      </c>
      <c r="P736" s="276">
        <f>IF(E76&gt;0,ROUND(E76,0),0)</f>
        <v>93975</v>
      </c>
      <c r="Q736" s="276">
        <f>IF(E77&gt;0,ROUND(E77,0),0)</f>
        <v>247757</v>
      </c>
      <c r="R736" s="276">
        <f>IF(E78&gt;0,ROUND(E78,0),0)</f>
        <v>36879</v>
      </c>
      <c r="S736" s="276">
        <f>IF(E79&gt;0,ROUND(E79,0),0)</f>
        <v>763999</v>
      </c>
      <c r="T736" s="278">
        <f>IF(E80&gt;0,ROUND(E80,2),0)</f>
        <v>225.33</v>
      </c>
      <c r="U736" s="276"/>
      <c r="V736" s="277"/>
      <c r="W736" s="276"/>
      <c r="X736" s="276"/>
      <c r="Y736" s="276">
        <f t="shared" si="21"/>
        <v>29541389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032*2018*6100*A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032*2018*6120*A</v>
      </c>
      <c r="B738" s="276">
        <f>ROUND(G59,0)</f>
        <v>5646</v>
      </c>
      <c r="C738" s="278">
        <f>ROUND(G60,2)</f>
        <v>37.57</v>
      </c>
      <c r="D738" s="276">
        <f>ROUND(G61,0)</f>
        <v>2995544</v>
      </c>
      <c r="E738" s="276">
        <f>ROUND(G62,0)</f>
        <v>841966</v>
      </c>
      <c r="F738" s="276">
        <f>ROUND(G63,0)</f>
        <v>389827</v>
      </c>
      <c r="G738" s="276">
        <f>ROUND(G64,0)</f>
        <v>147430</v>
      </c>
      <c r="H738" s="276">
        <f>ROUND(G65,0)</f>
        <v>724</v>
      </c>
      <c r="I738" s="276">
        <f>ROUND(G66,0)</f>
        <v>192464</v>
      </c>
      <c r="J738" s="276">
        <f>ROUND(G67,0)</f>
        <v>340115</v>
      </c>
      <c r="K738" s="276">
        <f>ROUND(G68,0)</f>
        <v>17256</v>
      </c>
      <c r="L738" s="276">
        <f>ROUND(G69,0)</f>
        <v>25250</v>
      </c>
      <c r="M738" s="276">
        <f>ROUND(G70,0)</f>
        <v>0</v>
      </c>
      <c r="N738" s="276">
        <f>ROUND(G75,0)</f>
        <v>17061523</v>
      </c>
      <c r="O738" s="276">
        <f>ROUND(G73,0)</f>
        <v>17054863</v>
      </c>
      <c r="P738" s="276">
        <f>IF(G76&gt;0,ROUND(G76,0),0)</f>
        <v>20301</v>
      </c>
      <c r="Q738" s="276">
        <f>IF(G77&gt;0,ROUND(G77,0),0)</f>
        <v>26244</v>
      </c>
      <c r="R738" s="276">
        <f>IF(G78&gt;0,ROUND(G78,0),0)</f>
        <v>7967</v>
      </c>
      <c r="S738" s="276">
        <f>IF(G79&gt;0,ROUND(G79,0),0)</f>
        <v>0</v>
      </c>
      <c r="T738" s="278">
        <f>IF(G80&gt;0,ROUND(G80,2),0)</f>
        <v>18.309999999999999</v>
      </c>
      <c r="U738" s="276"/>
      <c r="V738" s="277"/>
      <c r="W738" s="276"/>
      <c r="X738" s="276"/>
      <c r="Y738" s="276">
        <f t="shared" si="21"/>
        <v>4246727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032*2018*6140*A</v>
      </c>
      <c r="B739" s="276">
        <f>ROUND(H59,0)</f>
        <v>7563</v>
      </c>
      <c r="C739" s="278">
        <f>ROUND(H60,2)</f>
        <v>45.52</v>
      </c>
      <c r="D739" s="276">
        <f>ROUND(H61,0)</f>
        <v>3823634</v>
      </c>
      <c r="E739" s="276">
        <f>ROUND(H62,0)</f>
        <v>1011616</v>
      </c>
      <c r="F739" s="276">
        <f>ROUND(H63,0)</f>
        <v>365222</v>
      </c>
      <c r="G739" s="276">
        <f>ROUND(H64,0)</f>
        <v>60667</v>
      </c>
      <c r="H739" s="276">
        <f>ROUND(H65,0)</f>
        <v>1164</v>
      </c>
      <c r="I739" s="276">
        <f>ROUND(H66,0)</f>
        <v>144620</v>
      </c>
      <c r="J739" s="276">
        <f>ROUND(H67,0)</f>
        <v>155966</v>
      </c>
      <c r="K739" s="276">
        <f>ROUND(H68,0)</f>
        <v>1992</v>
      </c>
      <c r="L739" s="276">
        <f>ROUND(H69,0)</f>
        <v>22596</v>
      </c>
      <c r="M739" s="276">
        <f>ROUND(H70,0)</f>
        <v>12417</v>
      </c>
      <c r="N739" s="276">
        <f>ROUND(H75,0)</f>
        <v>23403951</v>
      </c>
      <c r="O739" s="276">
        <f>ROUND(H73,0)</f>
        <v>22293696</v>
      </c>
      <c r="P739" s="276">
        <f>IF(H76&gt;0,ROUND(H76,0),0)</f>
        <v>0</v>
      </c>
      <c r="Q739" s="276">
        <f>IF(H77&gt;0,ROUND(H77,0),0)</f>
        <v>30457</v>
      </c>
      <c r="R739" s="276">
        <f>IF(H78&gt;0,ROUND(H78,0),0)</f>
        <v>0</v>
      </c>
      <c r="S739" s="276">
        <f>IF(H79&gt;0,ROUND(H79,0),0)</f>
        <v>31331</v>
      </c>
      <c r="T739" s="278">
        <f>IF(H80&gt;0,ROUND(H80,2),0)</f>
        <v>20.149999999999999</v>
      </c>
      <c r="U739" s="276"/>
      <c r="V739" s="277"/>
      <c r="W739" s="276"/>
      <c r="X739" s="276"/>
      <c r="Y739" s="276">
        <f t="shared" si="21"/>
        <v>2028070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032*2018*6150*A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032*2018*6170*A</v>
      </c>
      <c r="B741" s="276">
        <f>ROUND(J59,0)</f>
        <v>10888</v>
      </c>
      <c r="C741" s="278">
        <f>ROUND(J60,2)</f>
        <v>51.03</v>
      </c>
      <c r="D741" s="276">
        <f>ROUND(J61,0)</f>
        <v>4578525</v>
      </c>
      <c r="E741" s="276">
        <f>ROUND(J62,0)</f>
        <v>1175047</v>
      </c>
      <c r="F741" s="276">
        <f>ROUND(J63,0)</f>
        <v>959015</v>
      </c>
      <c r="G741" s="276">
        <f>ROUND(J64,0)</f>
        <v>673962</v>
      </c>
      <c r="H741" s="276">
        <f>ROUND(J65,0)</f>
        <v>1615</v>
      </c>
      <c r="I741" s="276">
        <f>ROUND(J66,0)</f>
        <v>496705</v>
      </c>
      <c r="J741" s="276">
        <f>ROUND(J67,0)</f>
        <v>215698</v>
      </c>
      <c r="K741" s="276">
        <f>ROUND(J68,0)</f>
        <v>2259</v>
      </c>
      <c r="L741" s="276">
        <f>ROUND(J69,0)</f>
        <v>41512</v>
      </c>
      <c r="M741" s="276">
        <f>ROUND(J70,0)</f>
        <v>15795</v>
      </c>
      <c r="N741" s="276">
        <f>ROUND(J75,0)</f>
        <v>42448677</v>
      </c>
      <c r="O741" s="276">
        <f>ROUND(J73,0)</f>
        <v>42448311</v>
      </c>
      <c r="P741" s="276">
        <f>IF(J76&gt;0,ROUND(J76,0),0)</f>
        <v>2522</v>
      </c>
      <c r="Q741" s="276">
        <f>IF(J77&gt;0,ROUND(J77,0),0)</f>
        <v>0</v>
      </c>
      <c r="R741" s="276">
        <f>IF(J78&gt;0,ROUND(J78,0),0)</f>
        <v>990</v>
      </c>
      <c r="S741" s="276">
        <f>IF(J79&gt;0,ROUND(J79,0),0)</f>
        <v>0</v>
      </c>
      <c r="T741" s="278">
        <f>IF(J80&gt;0,ROUND(J80,2),0)</f>
        <v>30.65</v>
      </c>
      <c r="U741" s="276"/>
      <c r="V741" s="277"/>
      <c r="W741" s="276"/>
      <c r="X741" s="276"/>
      <c r="Y741" s="276">
        <f t="shared" si="21"/>
        <v>3259599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032*2018*6200*A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032*2018*6210*A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032*2018*6330*A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032*2018*6400*A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032*2018*7010*A</v>
      </c>
      <c r="B746" s="276">
        <f>ROUND(O59,0)</f>
        <v>19960</v>
      </c>
      <c r="C746" s="278">
        <f>ROUND(O60,2)</f>
        <v>135.47</v>
      </c>
      <c r="D746" s="276">
        <f>ROUND(O61,0)</f>
        <v>12002991</v>
      </c>
      <c r="E746" s="276">
        <f>ROUND(O62,0)</f>
        <v>3097922</v>
      </c>
      <c r="F746" s="276">
        <f>ROUND(O63,0)</f>
        <v>1425039</v>
      </c>
      <c r="G746" s="276">
        <f>ROUND(O64,0)</f>
        <v>1292791</v>
      </c>
      <c r="H746" s="276">
        <f>ROUND(O65,0)</f>
        <v>3504</v>
      </c>
      <c r="I746" s="276">
        <f>ROUND(O66,0)</f>
        <v>560874</v>
      </c>
      <c r="J746" s="276">
        <f>ROUND(O67,0)</f>
        <v>704430</v>
      </c>
      <c r="K746" s="276">
        <f>ROUND(O68,0)</f>
        <v>199921</v>
      </c>
      <c r="L746" s="276">
        <f>ROUND(O69,0)</f>
        <v>62819</v>
      </c>
      <c r="M746" s="276">
        <f>ROUND(O70,0)</f>
        <v>88532</v>
      </c>
      <c r="N746" s="276">
        <f>ROUND(O75,0)</f>
        <v>128690995</v>
      </c>
      <c r="O746" s="276">
        <f>ROUND(O73,0)</f>
        <v>118239541</v>
      </c>
      <c r="P746" s="276">
        <f>IF(O76&gt;0,ROUND(O76,0),0)</f>
        <v>17619</v>
      </c>
      <c r="Q746" s="276">
        <f>IF(O77&gt;0,ROUND(O77,0),0)</f>
        <v>53848</v>
      </c>
      <c r="R746" s="276">
        <f>IF(O78&gt;0,ROUND(O78,0),0)</f>
        <v>6915</v>
      </c>
      <c r="S746" s="276">
        <f>IF(O79&gt;0,ROUND(O79,0),0)</f>
        <v>305746</v>
      </c>
      <c r="T746" s="278">
        <f>IF(O80&gt;0,ROUND(O80,2),0)</f>
        <v>80.73</v>
      </c>
      <c r="U746" s="276"/>
      <c r="V746" s="277"/>
      <c r="W746" s="276"/>
      <c r="X746" s="276"/>
      <c r="Y746" s="276">
        <f t="shared" si="21"/>
        <v>9908869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032*2018*7020*A</v>
      </c>
      <c r="B747" s="276">
        <f>ROUND(P59,0)</f>
        <v>2611928</v>
      </c>
      <c r="C747" s="278">
        <f>ROUND(P60,2)</f>
        <v>193.61</v>
      </c>
      <c r="D747" s="276">
        <f>ROUND(P61,0)</f>
        <v>17407214</v>
      </c>
      <c r="E747" s="276">
        <f>ROUND(P62,0)</f>
        <v>4361568</v>
      </c>
      <c r="F747" s="276">
        <f>ROUND(P63,0)</f>
        <v>3702680</v>
      </c>
      <c r="G747" s="276">
        <f>ROUND(P64,0)</f>
        <v>52753132</v>
      </c>
      <c r="H747" s="276">
        <f>ROUND(P65,0)</f>
        <v>11951</v>
      </c>
      <c r="I747" s="276">
        <f>ROUND(P66,0)</f>
        <v>4144259</v>
      </c>
      <c r="J747" s="276">
        <f>ROUND(P67,0)</f>
        <v>8471715</v>
      </c>
      <c r="K747" s="276">
        <f>ROUND(P68,0)</f>
        <v>1165682</v>
      </c>
      <c r="L747" s="276">
        <f>ROUND(P69,0)</f>
        <v>154161</v>
      </c>
      <c r="M747" s="276">
        <f>ROUND(P70,0)</f>
        <v>12316</v>
      </c>
      <c r="N747" s="276">
        <f>ROUND(P75,0)</f>
        <v>912441318</v>
      </c>
      <c r="O747" s="276">
        <f>ROUND(P73,0)</f>
        <v>505651062</v>
      </c>
      <c r="P747" s="276">
        <f>IF(P76&gt;0,ROUND(P76,0),0)</f>
        <v>88022</v>
      </c>
      <c r="Q747" s="276">
        <f>IF(P77&gt;0,ROUND(P77,0),0)</f>
        <v>48714</v>
      </c>
      <c r="R747" s="276">
        <f>IF(P78&gt;0,ROUND(P78,0),0)</f>
        <v>30697</v>
      </c>
      <c r="S747" s="276">
        <f>IF(P79&gt;0,ROUND(P79,0),0)</f>
        <v>702939</v>
      </c>
      <c r="T747" s="278">
        <f>IF(P80&gt;0,ROUND(P80,2),0)</f>
        <v>79.84</v>
      </c>
      <c r="U747" s="276"/>
      <c r="V747" s="277"/>
      <c r="W747" s="276"/>
      <c r="X747" s="276"/>
      <c r="Y747" s="276">
        <f t="shared" si="21"/>
        <v>44421608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032*2018*7030*A</v>
      </c>
      <c r="B748" s="276">
        <f>ROUND(Q59,0)</f>
        <v>1201215</v>
      </c>
      <c r="C748" s="278">
        <f>ROUND(Q60,2)</f>
        <v>20.22</v>
      </c>
      <c r="D748" s="276">
        <f>ROUND(Q61,0)</f>
        <v>2011851</v>
      </c>
      <c r="E748" s="276">
        <f>ROUND(Q62,0)</f>
        <v>486073</v>
      </c>
      <c r="F748" s="276">
        <f>ROUND(Q63,0)</f>
        <v>0</v>
      </c>
      <c r="G748" s="276">
        <f>ROUND(Q64,0)</f>
        <v>122161</v>
      </c>
      <c r="H748" s="276">
        <f>ROUND(Q65,0)</f>
        <v>907</v>
      </c>
      <c r="I748" s="276">
        <f>ROUND(Q66,0)</f>
        <v>22126</v>
      </c>
      <c r="J748" s="276">
        <f>ROUND(Q67,0)</f>
        <v>63252</v>
      </c>
      <c r="K748" s="276">
        <f>ROUND(Q68,0)</f>
        <v>2439</v>
      </c>
      <c r="L748" s="276">
        <f>ROUND(Q69,0)</f>
        <v>12478</v>
      </c>
      <c r="M748" s="276">
        <f>ROUND(Q70,0)</f>
        <v>0</v>
      </c>
      <c r="N748" s="276">
        <f>ROUND(Q75,0)</f>
        <v>26702807</v>
      </c>
      <c r="O748" s="276">
        <f>ROUND(Q73,0)</f>
        <v>16733274</v>
      </c>
      <c r="P748" s="276">
        <f>IF(Q76&gt;0,ROUND(Q76,0),0)</f>
        <v>2369</v>
      </c>
      <c r="Q748" s="276">
        <f>IF(Q77&gt;0,ROUND(Q77,0),0)</f>
        <v>0</v>
      </c>
      <c r="R748" s="276">
        <f>IF(Q78&gt;0,ROUND(Q78,0),0)</f>
        <v>930</v>
      </c>
      <c r="S748" s="276">
        <f>IF(Q79&gt;0,ROUND(Q79,0),0)</f>
        <v>66228</v>
      </c>
      <c r="T748" s="278">
        <f>IF(Q80&gt;0,ROUND(Q80,2),0)</f>
        <v>14.89</v>
      </c>
      <c r="U748" s="276"/>
      <c r="V748" s="277"/>
      <c r="W748" s="276"/>
      <c r="X748" s="276"/>
      <c r="Y748" s="276">
        <f t="shared" si="21"/>
        <v>1566450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032*2018*7040*A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032*2018*7050*A</v>
      </c>
      <c r="B750" s="276"/>
      <c r="C750" s="278">
        <f>ROUND(S60,2)</f>
        <v>61.61</v>
      </c>
      <c r="D750" s="276">
        <f>ROUND(S61,0)</f>
        <v>2805770</v>
      </c>
      <c r="E750" s="276">
        <f>ROUND(S62,0)</f>
        <v>1072822</v>
      </c>
      <c r="F750" s="276">
        <f>ROUND(S63,0)</f>
        <v>0</v>
      </c>
      <c r="G750" s="276">
        <f>ROUND(S64,0)</f>
        <v>466248</v>
      </c>
      <c r="H750" s="276">
        <f>ROUND(S65,0)</f>
        <v>0</v>
      </c>
      <c r="I750" s="276">
        <f>ROUND(S66,0)</f>
        <v>249706</v>
      </c>
      <c r="J750" s="276">
        <f>ROUND(S67,0)</f>
        <v>327750</v>
      </c>
      <c r="K750" s="276">
        <f>ROUND(S68,0)</f>
        <v>32071</v>
      </c>
      <c r="L750" s="276">
        <f>ROUND(S69,0)</f>
        <v>60407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17441</v>
      </c>
      <c r="Q750" s="276">
        <f>IF(S77&gt;0,ROUND(S77,0),0)</f>
        <v>0</v>
      </c>
      <c r="R750" s="276">
        <f>IF(S78&gt;0,ROUND(S78,0),0)</f>
        <v>6845</v>
      </c>
      <c r="S750" s="276">
        <f>IF(S79&gt;0,ROUND(S79,0),0)</f>
        <v>15449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3659943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032*2018*7060*A</v>
      </c>
      <c r="B751" s="276"/>
      <c r="C751" s="278">
        <f>ROUND(T60,2)</f>
        <v>14.18</v>
      </c>
      <c r="D751" s="276">
        <f>ROUND(T61,0)</f>
        <v>1667485</v>
      </c>
      <c r="E751" s="276">
        <f>ROUND(T62,0)</f>
        <v>372733</v>
      </c>
      <c r="F751" s="276">
        <f>ROUND(T63,0)</f>
        <v>0</v>
      </c>
      <c r="G751" s="276">
        <f>ROUND(T64,0)</f>
        <v>1020942</v>
      </c>
      <c r="H751" s="276">
        <f>ROUND(T65,0)</f>
        <v>750</v>
      </c>
      <c r="I751" s="276">
        <f>ROUND(T66,0)</f>
        <v>10</v>
      </c>
      <c r="J751" s="276">
        <f>ROUND(T67,0)</f>
        <v>16084</v>
      </c>
      <c r="K751" s="276">
        <f>ROUND(T68,0)</f>
        <v>397</v>
      </c>
      <c r="L751" s="276">
        <f>ROUND(T69,0)</f>
        <v>955</v>
      </c>
      <c r="M751" s="276">
        <f>ROUND(T70,0)</f>
        <v>0</v>
      </c>
      <c r="N751" s="276">
        <f>ROUND(T75,0)</f>
        <v>12537751</v>
      </c>
      <c r="O751" s="276">
        <f>ROUND(T73,0)</f>
        <v>11869394</v>
      </c>
      <c r="P751" s="276">
        <f>IF(T76&gt;0,ROUND(T76,0),0)</f>
        <v>0</v>
      </c>
      <c r="Q751" s="276">
        <f>IF(T77&gt;0,ROUND(T77,0),0)</f>
        <v>82421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12.28</v>
      </c>
      <c r="U751" s="276"/>
      <c r="V751" s="277"/>
      <c r="W751" s="276"/>
      <c r="X751" s="276"/>
      <c r="Y751" s="276">
        <f t="shared" si="21"/>
        <v>1026559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032*2018*7070*A</v>
      </c>
      <c r="B752" s="276">
        <f>ROUND(U59,0)</f>
        <v>2875360</v>
      </c>
      <c r="C752" s="278">
        <f>ROUND(U60,2)</f>
        <v>185.44</v>
      </c>
      <c r="D752" s="276">
        <f>ROUND(U61,0)</f>
        <v>10693258</v>
      </c>
      <c r="E752" s="276">
        <f>ROUND(U62,0)</f>
        <v>3518885</v>
      </c>
      <c r="F752" s="276">
        <f>ROUND(U63,0)</f>
        <v>73456</v>
      </c>
      <c r="G752" s="276">
        <f>ROUND(U64,0)</f>
        <v>7877521</v>
      </c>
      <c r="H752" s="276">
        <f>ROUND(U65,0)</f>
        <v>215144</v>
      </c>
      <c r="I752" s="276">
        <f>ROUND(U66,0)</f>
        <v>7865082</v>
      </c>
      <c r="J752" s="276">
        <f>ROUND(U67,0)</f>
        <v>569152</v>
      </c>
      <c r="K752" s="276">
        <f>ROUND(U68,0)</f>
        <v>1212895</v>
      </c>
      <c r="L752" s="276">
        <f>ROUND(U69,0)</f>
        <v>190028</v>
      </c>
      <c r="M752" s="276">
        <f>ROUND(U70,0)</f>
        <v>12085205</v>
      </c>
      <c r="N752" s="276">
        <f>ROUND(U75,0)</f>
        <v>120466552</v>
      </c>
      <c r="O752" s="276">
        <f>ROUND(U73,0)</f>
        <v>87776052</v>
      </c>
      <c r="P752" s="276">
        <f>IF(U76&gt;0,ROUND(U76,0),0)</f>
        <v>18834</v>
      </c>
      <c r="Q752" s="276">
        <f>IF(U77&gt;0,ROUND(U77,0),0)</f>
        <v>0</v>
      </c>
      <c r="R752" s="276">
        <f>IF(U78&gt;0,ROUND(U78,0),0)</f>
        <v>6537</v>
      </c>
      <c r="S752" s="276">
        <f>IF(U79&gt;0,ROUND(U79,0),0)</f>
        <v>9380</v>
      </c>
      <c r="T752" s="278">
        <f>IF(U80&gt;0,ROUND(U80,2),0)</f>
        <v>3.26</v>
      </c>
      <c r="U752" s="276"/>
      <c r="V752" s="277"/>
      <c r="W752" s="276"/>
      <c r="X752" s="276"/>
      <c r="Y752" s="276">
        <f t="shared" si="21"/>
        <v>9525611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032*2018*7110*A</v>
      </c>
      <c r="B753" s="276">
        <f>ROUND(V59,0)</f>
        <v>0</v>
      </c>
      <c r="C753" s="278">
        <f>ROUND(V60,2)</f>
        <v>5.22</v>
      </c>
      <c r="D753" s="276">
        <f>ROUND(V61,0)</f>
        <v>598528</v>
      </c>
      <c r="E753" s="276">
        <f>ROUND(V62,0)</f>
        <v>137607</v>
      </c>
      <c r="F753" s="276">
        <f>ROUND(V63,0)</f>
        <v>0</v>
      </c>
      <c r="G753" s="276">
        <f>ROUND(V64,0)</f>
        <v>5213393</v>
      </c>
      <c r="H753" s="276">
        <f>ROUND(V65,0)</f>
        <v>0</v>
      </c>
      <c r="I753" s="276">
        <f>ROUND(V66,0)</f>
        <v>272355</v>
      </c>
      <c r="J753" s="276">
        <f>ROUND(V67,0)</f>
        <v>159592</v>
      </c>
      <c r="K753" s="276">
        <f>ROUND(V68,0)</f>
        <v>0</v>
      </c>
      <c r="L753" s="276">
        <f>ROUND(V69,0)</f>
        <v>0</v>
      </c>
      <c r="M753" s="276">
        <f>ROUND(V70,0)</f>
        <v>1248</v>
      </c>
      <c r="N753" s="276">
        <f>ROUND(V75,0)</f>
        <v>82214744</v>
      </c>
      <c r="O753" s="276">
        <f>ROUND(V73,0)</f>
        <v>19093650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2.96</v>
      </c>
      <c r="U753" s="276"/>
      <c r="V753" s="277"/>
      <c r="W753" s="276"/>
      <c r="X753" s="276"/>
      <c r="Y753" s="276">
        <f t="shared" si="21"/>
        <v>2492959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032*2018*7120*A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032*2018*7130*A</v>
      </c>
      <c r="B755" s="276">
        <f>ROUND(X59,0)</f>
        <v>25118</v>
      </c>
      <c r="C755" s="278">
        <f>ROUND(X60,2)</f>
        <v>9.01</v>
      </c>
      <c r="D755" s="276">
        <f>ROUND(X61,0)</f>
        <v>820985</v>
      </c>
      <c r="E755" s="276">
        <f>ROUND(X62,0)</f>
        <v>209508</v>
      </c>
      <c r="F755" s="276">
        <f>ROUND(X63,0)</f>
        <v>0</v>
      </c>
      <c r="G755" s="276">
        <f>ROUND(X64,0)</f>
        <v>274246</v>
      </c>
      <c r="H755" s="276">
        <f>ROUND(X65,0)</f>
        <v>415</v>
      </c>
      <c r="I755" s="276">
        <f>ROUND(X66,0)</f>
        <v>225157</v>
      </c>
      <c r="J755" s="276">
        <f>ROUND(X67,0)</f>
        <v>4649</v>
      </c>
      <c r="K755" s="276">
        <f>ROUND(X68,0)</f>
        <v>460</v>
      </c>
      <c r="L755" s="276">
        <f>ROUND(X69,0)</f>
        <v>0</v>
      </c>
      <c r="M755" s="276">
        <f>ROUND(X70,0)</f>
        <v>0</v>
      </c>
      <c r="N755" s="276">
        <f>ROUND(X75,0)</f>
        <v>113150667</v>
      </c>
      <c r="O755" s="276">
        <f>ROUND(X73,0)</f>
        <v>55539924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2031902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032*2018*7140*A</v>
      </c>
      <c r="B756" s="276">
        <f>ROUND(Y59,0)</f>
        <v>210018</v>
      </c>
      <c r="C756" s="278">
        <f>ROUND(Y60,2)</f>
        <v>65.73</v>
      </c>
      <c r="D756" s="276">
        <f>ROUND(Y61,0)</f>
        <v>5630525</v>
      </c>
      <c r="E756" s="276">
        <f>ROUND(Y62,0)</f>
        <v>1466558</v>
      </c>
      <c r="F756" s="276">
        <f>ROUND(Y63,0)</f>
        <v>60140</v>
      </c>
      <c r="G756" s="276">
        <f>ROUND(Y64,0)</f>
        <v>4185559</v>
      </c>
      <c r="H756" s="276">
        <f>ROUND(Y65,0)</f>
        <v>6141</v>
      </c>
      <c r="I756" s="276">
        <f>ROUND(Y66,0)</f>
        <v>2448757</v>
      </c>
      <c r="J756" s="276">
        <f>ROUND(Y67,0)</f>
        <v>973742</v>
      </c>
      <c r="K756" s="276">
        <f>ROUND(Y68,0)</f>
        <v>39121</v>
      </c>
      <c r="L756" s="276">
        <f>ROUND(Y69,0)</f>
        <v>7244</v>
      </c>
      <c r="M756" s="276">
        <f>ROUND(Y70,0)</f>
        <v>11743</v>
      </c>
      <c r="N756" s="276">
        <f>ROUND(Y75,0)</f>
        <v>147753316</v>
      </c>
      <c r="O756" s="276">
        <f>ROUND(Y73,0)</f>
        <v>66695035</v>
      </c>
      <c r="P756" s="276">
        <f>IF(Y76&gt;0,ROUND(Y76,0),0)</f>
        <v>46504</v>
      </c>
      <c r="Q756" s="276">
        <f>IF(Y77&gt;0,ROUND(Y77,0),0)</f>
        <v>0</v>
      </c>
      <c r="R756" s="276">
        <f>IF(Y78&gt;0,ROUND(Y78,0),0)</f>
        <v>18250</v>
      </c>
      <c r="S756" s="276">
        <f>IF(Y79&gt;0,ROUND(Y79,0),0)</f>
        <v>145076</v>
      </c>
      <c r="T756" s="278">
        <f>IF(Y80&gt;0,ROUND(Y80,2),0)</f>
        <v>5.78</v>
      </c>
      <c r="U756" s="276"/>
      <c r="V756" s="277"/>
      <c r="W756" s="276"/>
      <c r="X756" s="276"/>
      <c r="Y756" s="276">
        <f t="shared" si="21"/>
        <v>11449269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032*2018*7150*A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032*2018*7160*A</v>
      </c>
      <c r="B758" s="276">
        <f>ROUND(AA59,0)</f>
        <v>4861</v>
      </c>
      <c r="C758" s="278">
        <f>ROUND(AA60,2)</f>
        <v>5.45</v>
      </c>
      <c r="D758" s="276">
        <f>ROUND(AA61,0)</f>
        <v>556925</v>
      </c>
      <c r="E758" s="276">
        <f>ROUND(AA62,0)</f>
        <v>134127</v>
      </c>
      <c r="F758" s="276">
        <f>ROUND(AA63,0)</f>
        <v>0</v>
      </c>
      <c r="G758" s="276">
        <f>ROUND(AA64,0)</f>
        <v>707464</v>
      </c>
      <c r="H758" s="276">
        <f>ROUND(AA65,0)</f>
        <v>0</v>
      </c>
      <c r="I758" s="276">
        <f>ROUND(AA66,0)</f>
        <v>103612</v>
      </c>
      <c r="J758" s="276">
        <f>ROUND(AA67,0)</f>
        <v>3951</v>
      </c>
      <c r="K758" s="276">
        <f>ROUND(AA68,0)</f>
        <v>338</v>
      </c>
      <c r="L758" s="276">
        <f>ROUND(AA69,0)</f>
        <v>3</v>
      </c>
      <c r="M758" s="276">
        <f>ROUND(AA70,0)</f>
        <v>0</v>
      </c>
      <c r="N758" s="276">
        <f>ROUND(AA75,0)</f>
        <v>21672587</v>
      </c>
      <c r="O758" s="276">
        <f>ROUND(AA73,0)</f>
        <v>3722471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16235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656059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032*2018*7170*A</v>
      </c>
      <c r="B759" s="276"/>
      <c r="C759" s="278">
        <f>ROUND(AB60,2)</f>
        <v>93.75</v>
      </c>
      <c r="D759" s="276">
        <f>ROUND(AB61,0)</f>
        <v>8786567</v>
      </c>
      <c r="E759" s="276">
        <f>ROUND(AB62,0)</f>
        <v>2196461</v>
      </c>
      <c r="F759" s="276">
        <f>ROUND(AB63,0)</f>
        <v>12875</v>
      </c>
      <c r="G759" s="276">
        <f>ROUND(AB64,0)</f>
        <v>15674385</v>
      </c>
      <c r="H759" s="276">
        <f>ROUND(AB65,0)</f>
        <v>6652</v>
      </c>
      <c r="I759" s="276">
        <f>ROUND(AB66,0)</f>
        <v>1612794</v>
      </c>
      <c r="J759" s="276">
        <f>ROUND(AB67,0)</f>
        <v>809942</v>
      </c>
      <c r="K759" s="276">
        <f>ROUND(AB68,0)</f>
        <v>85852</v>
      </c>
      <c r="L759" s="276">
        <f>ROUND(AB69,0)</f>
        <v>2948200</v>
      </c>
      <c r="M759" s="276">
        <f>ROUND(AB70,0)</f>
        <v>4871604</v>
      </c>
      <c r="N759" s="276">
        <f>ROUND(AB75,0)</f>
        <v>372046565</v>
      </c>
      <c r="O759" s="276">
        <f>ROUND(AB73,0)</f>
        <v>264988198</v>
      </c>
      <c r="P759" s="276">
        <f>IF(AB76&gt;0,ROUND(AB76,0),0)</f>
        <v>19190</v>
      </c>
      <c r="Q759" s="276">
        <f>IF(AB77&gt;0,ROUND(AB77,0),0)</f>
        <v>0</v>
      </c>
      <c r="R759" s="276">
        <f>IF(AB78&gt;0,ROUND(AB78,0),0)</f>
        <v>6427</v>
      </c>
      <c r="S759" s="276">
        <f>IF(AB79&gt;0,ROUND(AB79,0),0)</f>
        <v>0</v>
      </c>
      <c r="T759" s="278">
        <f>IF(AB80&gt;0,ROUND(AB80,2),0)</f>
        <v>3.29</v>
      </c>
      <c r="U759" s="276"/>
      <c r="V759" s="277"/>
      <c r="W759" s="276"/>
      <c r="X759" s="276"/>
      <c r="Y759" s="276">
        <f t="shared" si="21"/>
        <v>13807965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032*2018*7180*A</v>
      </c>
      <c r="B760" s="276">
        <f>ROUND(AC59,0)</f>
        <v>65948</v>
      </c>
      <c r="C760" s="278">
        <f>ROUND(AC60,2)</f>
        <v>30.05</v>
      </c>
      <c r="D760" s="276">
        <f>ROUND(AC61,0)</f>
        <v>2496461</v>
      </c>
      <c r="E760" s="276">
        <f>ROUND(AC62,0)</f>
        <v>664070</v>
      </c>
      <c r="F760" s="276">
        <f>ROUND(AC63,0)</f>
        <v>26204</v>
      </c>
      <c r="G760" s="276">
        <f>ROUND(AC64,0)</f>
        <v>754621</v>
      </c>
      <c r="H760" s="276">
        <f>ROUND(AC65,0)</f>
        <v>817</v>
      </c>
      <c r="I760" s="276">
        <f>ROUND(AC66,0)</f>
        <v>76453</v>
      </c>
      <c r="J760" s="276">
        <f>ROUND(AC67,0)</f>
        <v>153283</v>
      </c>
      <c r="K760" s="276">
        <f>ROUND(AC68,0)</f>
        <v>122778</v>
      </c>
      <c r="L760" s="276">
        <f>ROUND(AC69,0)</f>
        <v>5058</v>
      </c>
      <c r="M760" s="276">
        <f>ROUND(AC70,0)</f>
        <v>0</v>
      </c>
      <c r="N760" s="276">
        <f>ROUND(AC75,0)</f>
        <v>62919254</v>
      </c>
      <c r="O760" s="276">
        <f>ROUND(AC73,0)</f>
        <v>54992916</v>
      </c>
      <c r="P760" s="276">
        <f>IF(AC76&gt;0,ROUND(AC76,0),0)</f>
        <v>981</v>
      </c>
      <c r="Q760" s="276">
        <f>IF(AC77&gt;0,ROUND(AC77,0),0)</f>
        <v>0</v>
      </c>
      <c r="R760" s="276">
        <f>IF(AC78&gt;0,ROUND(AC78,0),0)</f>
        <v>385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2120138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032*2018*7190*A</v>
      </c>
      <c r="B761" s="276">
        <f>ROUND(AD59,0)</f>
        <v>0</v>
      </c>
      <c r="C761" s="278">
        <f>ROUND(AD60,2)</f>
        <v>1</v>
      </c>
      <c r="D761" s="276">
        <f>ROUND(AD61,0)</f>
        <v>161860</v>
      </c>
      <c r="E761" s="276">
        <f>ROUND(AD62,0)</f>
        <v>30555</v>
      </c>
      <c r="F761" s="276">
        <f>ROUND(AD63,0)</f>
        <v>1240</v>
      </c>
      <c r="G761" s="276">
        <f>ROUND(AD64,0)</f>
        <v>336009</v>
      </c>
      <c r="H761" s="276">
        <f>ROUND(AD65,0)</f>
        <v>10583</v>
      </c>
      <c r="I761" s="276">
        <f>ROUND(AD66,0)</f>
        <v>6215600</v>
      </c>
      <c r="J761" s="276">
        <f>ROUND(AD67,0)</f>
        <v>542454</v>
      </c>
      <c r="K761" s="276">
        <f>ROUND(AD68,0)</f>
        <v>9059</v>
      </c>
      <c r="L761" s="276">
        <f>ROUND(AD69,0)</f>
        <v>66808</v>
      </c>
      <c r="M761" s="276">
        <f>ROUND(AD70,0)</f>
        <v>1222597</v>
      </c>
      <c r="N761" s="276">
        <f>ROUND(AD75,0)</f>
        <v>25744479</v>
      </c>
      <c r="O761" s="276">
        <f>ROUND(AD73,0)</f>
        <v>10183630</v>
      </c>
      <c r="P761" s="276">
        <f>IF(AD76&gt;0,ROUND(AD76,0),0)</f>
        <v>40223</v>
      </c>
      <c r="Q761" s="276">
        <f>IF(AD77&gt;0,ROUND(AD77,0),0)</f>
        <v>0</v>
      </c>
      <c r="R761" s="276">
        <f>IF(AD78&gt;0,ROUND(AD78,0),0)</f>
        <v>20624</v>
      </c>
      <c r="S761" s="276">
        <f>IF(AD79&gt;0,ROUND(AD79,0),0)</f>
        <v>53515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6820136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032*2018*7200*A</v>
      </c>
      <c r="B762" s="276">
        <f>ROUND(AE59,0)</f>
        <v>164091</v>
      </c>
      <c r="C762" s="278">
        <f>ROUND(AE60,2)</f>
        <v>39.950000000000003</v>
      </c>
      <c r="D762" s="276">
        <f>ROUND(AE61,0)</f>
        <v>3746898</v>
      </c>
      <c r="E762" s="276">
        <f>ROUND(AE62,0)</f>
        <v>949243</v>
      </c>
      <c r="F762" s="276">
        <f>ROUND(AE63,0)</f>
        <v>0</v>
      </c>
      <c r="G762" s="276">
        <f>ROUND(AE64,0)</f>
        <v>49262</v>
      </c>
      <c r="H762" s="276">
        <f>ROUND(AE65,0)</f>
        <v>1677</v>
      </c>
      <c r="I762" s="276">
        <f>ROUND(AE66,0)</f>
        <v>154091</v>
      </c>
      <c r="J762" s="276">
        <f>ROUND(AE67,0)</f>
        <v>192806</v>
      </c>
      <c r="K762" s="276">
        <f>ROUND(AE68,0)</f>
        <v>158242</v>
      </c>
      <c r="L762" s="276">
        <f>ROUND(AE69,0)</f>
        <v>20807</v>
      </c>
      <c r="M762" s="276">
        <f>ROUND(AE70,0)</f>
        <v>5682</v>
      </c>
      <c r="N762" s="276">
        <f>ROUND(AE75,0)</f>
        <v>26099058</v>
      </c>
      <c r="O762" s="276">
        <f>ROUND(AE73,0)</f>
        <v>11259706</v>
      </c>
      <c r="P762" s="276">
        <f>IF(AE76&gt;0,ROUND(AE76,0),0)</f>
        <v>12994</v>
      </c>
      <c r="Q762" s="276">
        <f>IF(AE77&gt;0,ROUND(AE77,0),0)</f>
        <v>0</v>
      </c>
      <c r="R762" s="276">
        <f>IF(AE78&gt;0,ROUND(AE78,0),0)</f>
        <v>5100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3344462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032*2018*7220*A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032*2018*7230*A</v>
      </c>
      <c r="B764" s="276">
        <f>ROUND(AG59,0)</f>
        <v>50081</v>
      </c>
      <c r="C764" s="278">
        <f>ROUND(AG60,2)</f>
        <v>86.47</v>
      </c>
      <c r="D764" s="276">
        <f>ROUND(AG61,0)</f>
        <v>8210275</v>
      </c>
      <c r="E764" s="276">
        <f>ROUND(AG62,0)</f>
        <v>2268823</v>
      </c>
      <c r="F764" s="276">
        <f>ROUND(AG63,0)</f>
        <v>6541248</v>
      </c>
      <c r="G764" s="276">
        <f>ROUND(AG64,0)</f>
        <v>1701627</v>
      </c>
      <c r="H764" s="276">
        <f>ROUND(AG65,0)</f>
        <v>2004</v>
      </c>
      <c r="I764" s="276">
        <f>ROUND(AG66,0)</f>
        <v>2212723</v>
      </c>
      <c r="J764" s="276">
        <f>ROUND(AG67,0)</f>
        <v>677618</v>
      </c>
      <c r="K764" s="276">
        <f>ROUND(AG68,0)</f>
        <v>33389</v>
      </c>
      <c r="L764" s="276">
        <f>ROUND(AG69,0)</f>
        <v>56998</v>
      </c>
      <c r="M764" s="276">
        <f>ROUND(AG70,0)</f>
        <v>2000</v>
      </c>
      <c r="N764" s="276">
        <f>ROUND(AG75,0)</f>
        <v>178155847</v>
      </c>
      <c r="O764" s="276">
        <f>ROUND(AG73,0)</f>
        <v>67358219</v>
      </c>
      <c r="P764" s="276">
        <f>IF(AG76&gt;0,ROUND(AG76,0),0)</f>
        <v>20182</v>
      </c>
      <c r="Q764" s="276">
        <f>IF(AG77&gt;0,ROUND(AG77,0),0)</f>
        <v>0</v>
      </c>
      <c r="R764" s="276">
        <f>IF(AG78&gt;0,ROUND(AG78,0),0)</f>
        <v>7920</v>
      </c>
      <c r="S764" s="276">
        <f>IF(AG79&gt;0,ROUND(AG79,0),0)</f>
        <v>281352</v>
      </c>
      <c r="T764" s="278">
        <f>IF(AG80&gt;0,ROUND(AG80,2),0)</f>
        <v>50.65</v>
      </c>
      <c r="U764" s="276"/>
      <c r="V764" s="277"/>
      <c r="W764" s="276"/>
      <c r="X764" s="276"/>
      <c r="Y764" s="276">
        <f t="shared" si="21"/>
        <v>10647564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032*2018*7240*A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032*2018*7250*A</v>
      </c>
      <c r="B766" s="276">
        <f>ROUND(AI59,0)</f>
        <v>14940</v>
      </c>
      <c r="C766" s="278">
        <f>ROUND(AI60,2)</f>
        <v>138.37</v>
      </c>
      <c r="D766" s="276">
        <f>ROUND(AI61,0)</f>
        <v>10795620</v>
      </c>
      <c r="E766" s="276">
        <f>ROUND(AI62,0)</f>
        <v>2974661</v>
      </c>
      <c r="F766" s="276">
        <f>ROUND(AI63,0)</f>
        <v>0</v>
      </c>
      <c r="G766" s="276">
        <f>ROUND(AI64,0)</f>
        <v>802285</v>
      </c>
      <c r="H766" s="276">
        <f>ROUND(AI65,0)</f>
        <v>2371</v>
      </c>
      <c r="I766" s="276">
        <f>ROUND(AI66,0)</f>
        <v>163318</v>
      </c>
      <c r="J766" s="276">
        <f>ROUND(AI67,0)</f>
        <v>25318</v>
      </c>
      <c r="K766" s="276">
        <f>ROUND(AI68,0)</f>
        <v>16752</v>
      </c>
      <c r="L766" s="276">
        <f>ROUND(AI69,0)</f>
        <v>37659</v>
      </c>
      <c r="M766" s="276">
        <f>ROUND(AI70,0)</f>
        <v>4000</v>
      </c>
      <c r="N766" s="276">
        <f>ROUND(AI75,0)</f>
        <v>82852269</v>
      </c>
      <c r="O766" s="276">
        <f>ROUND(AI73,0)</f>
        <v>46265631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76.94</v>
      </c>
      <c r="U766" s="276"/>
      <c r="V766" s="277"/>
      <c r="W766" s="276"/>
      <c r="X766" s="276"/>
      <c r="Y766" s="276">
        <f t="shared" si="21"/>
        <v>6077228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032*2018*7260*A</v>
      </c>
      <c r="B767" s="276">
        <f>ROUND(AJ59,0)</f>
        <v>25537</v>
      </c>
      <c r="C767" s="278">
        <f>ROUND(AJ60,2)</f>
        <v>38.630000000000003</v>
      </c>
      <c r="D767" s="276">
        <f>ROUND(AJ61,0)</f>
        <v>3407510</v>
      </c>
      <c r="E767" s="276">
        <f>ROUND(AJ62,0)</f>
        <v>884109</v>
      </c>
      <c r="F767" s="276">
        <f>ROUND(AJ63,0)</f>
        <v>-198389</v>
      </c>
      <c r="G767" s="276">
        <f>ROUND(AJ64,0)</f>
        <v>1198512</v>
      </c>
      <c r="H767" s="276">
        <f>ROUND(AJ65,0)</f>
        <v>1975</v>
      </c>
      <c r="I767" s="276">
        <f>ROUND(AJ66,0)</f>
        <v>1044667</v>
      </c>
      <c r="J767" s="276">
        <f>ROUND(AJ67,0)</f>
        <v>438021</v>
      </c>
      <c r="K767" s="276">
        <f>ROUND(AJ68,0)</f>
        <v>457581</v>
      </c>
      <c r="L767" s="276">
        <f>ROUND(AJ69,0)</f>
        <v>26305</v>
      </c>
      <c r="M767" s="276">
        <f>ROUND(AJ70,0)</f>
        <v>38660</v>
      </c>
      <c r="N767" s="276">
        <f>ROUND(AJ75,0)</f>
        <v>37936219</v>
      </c>
      <c r="O767" s="276">
        <f>ROUND(AJ73,0)</f>
        <v>80319</v>
      </c>
      <c r="P767" s="276">
        <f>IF(AJ76&gt;0,ROUND(AJ76,0),0)</f>
        <v>21019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26342</v>
      </c>
      <c r="T767" s="278">
        <f>IF(AJ80&gt;0,ROUND(AJ80,2),0)</f>
        <v>15.78</v>
      </c>
      <c r="U767" s="276"/>
      <c r="V767" s="277"/>
      <c r="W767" s="276"/>
      <c r="X767" s="276"/>
      <c r="Y767" s="276">
        <f t="shared" si="21"/>
        <v>4654033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032*2018*7310*A</v>
      </c>
      <c r="B768" s="276">
        <f>ROUND(AK59,0)</f>
        <v>74450</v>
      </c>
      <c r="C768" s="278">
        <f>ROUND(AK60,2)</f>
        <v>19.37</v>
      </c>
      <c r="D768" s="276">
        <f>ROUND(AK61,0)</f>
        <v>1812482</v>
      </c>
      <c r="E768" s="276">
        <f>ROUND(AK62,0)</f>
        <v>465667</v>
      </c>
      <c r="F768" s="276">
        <f>ROUND(AK63,0)</f>
        <v>0</v>
      </c>
      <c r="G768" s="276">
        <f>ROUND(AK64,0)</f>
        <v>5741</v>
      </c>
      <c r="H768" s="276">
        <f>ROUND(AK65,0)</f>
        <v>1373</v>
      </c>
      <c r="I768" s="276">
        <f>ROUND(AK66,0)</f>
        <v>7208</v>
      </c>
      <c r="J768" s="276">
        <f>ROUND(AK67,0)</f>
        <v>83320</v>
      </c>
      <c r="K768" s="276">
        <f>ROUND(AK68,0)</f>
        <v>0</v>
      </c>
      <c r="L768" s="276">
        <f>ROUND(AK69,0)</f>
        <v>6997</v>
      </c>
      <c r="M768" s="276">
        <f>ROUND(AK70,0)</f>
        <v>240</v>
      </c>
      <c r="N768" s="276">
        <f>ROUND(AK75,0)</f>
        <v>13513266</v>
      </c>
      <c r="O768" s="276">
        <f>ROUND(AK73,0)</f>
        <v>9621414</v>
      </c>
      <c r="P768" s="276">
        <f>IF(AK76&gt;0,ROUND(AK76,0),0)</f>
        <v>5815</v>
      </c>
      <c r="Q768" s="276">
        <f>IF(AK77&gt;0,ROUND(AK77,0),0)</f>
        <v>0</v>
      </c>
      <c r="R768" s="276">
        <f>IF(AK78&gt;0,ROUND(AK78,0),0)</f>
        <v>2282</v>
      </c>
      <c r="S768" s="276">
        <f>IF(AK79&gt;0,ROUND(AK79,0),0)</f>
        <v>27656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1550745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032*2018*7320*A</v>
      </c>
      <c r="B769" s="276">
        <f>ROUND(AL59,0)</f>
        <v>8770</v>
      </c>
      <c r="C769" s="278">
        <f>ROUND(AL60,2)</f>
        <v>5.71</v>
      </c>
      <c r="D769" s="276">
        <f>ROUND(AL61,0)</f>
        <v>480878</v>
      </c>
      <c r="E769" s="276">
        <f>ROUND(AL62,0)</f>
        <v>128711</v>
      </c>
      <c r="F769" s="276">
        <f>ROUND(AL63,0)</f>
        <v>0</v>
      </c>
      <c r="G769" s="276">
        <f>ROUND(AL64,0)</f>
        <v>140</v>
      </c>
      <c r="H769" s="276">
        <f>ROUND(AL65,0)</f>
        <v>725</v>
      </c>
      <c r="I769" s="276">
        <f>ROUND(AL66,0)</f>
        <v>1038</v>
      </c>
      <c r="J769" s="276">
        <f>ROUND(AL67,0)</f>
        <v>56217</v>
      </c>
      <c r="K769" s="276">
        <f>ROUND(AL68,0)</f>
        <v>0</v>
      </c>
      <c r="L769" s="276">
        <f>ROUND(AL69,0)</f>
        <v>4906</v>
      </c>
      <c r="M769" s="276">
        <f>ROUND(AL70,0)</f>
        <v>0</v>
      </c>
      <c r="N769" s="276">
        <f>ROUND(AL75,0)</f>
        <v>3455331</v>
      </c>
      <c r="O769" s="276">
        <f>ROUND(AL73,0)</f>
        <v>2705545</v>
      </c>
      <c r="P769" s="276">
        <f>IF(AL76&gt;0,ROUND(AL76,0),0)</f>
        <v>4171</v>
      </c>
      <c r="Q769" s="276">
        <f>IF(AL77&gt;0,ROUND(AL77,0),0)</f>
        <v>0</v>
      </c>
      <c r="R769" s="276">
        <f>IF(AL78&gt;0,ROUND(AL78,0),0)</f>
        <v>1637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747169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032*2018*7330*A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032*2018*7340*A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44612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3310</v>
      </c>
      <c r="Q771" s="276">
        <f>IF(AN77&gt;0,ROUND(AN77,0),0)</f>
        <v>0</v>
      </c>
      <c r="R771" s="276">
        <f>IF(AN78&gt;0,ROUND(AN78,0),0)</f>
        <v>1299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420940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032*2018*7350*A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032*2018*7380*A</v>
      </c>
      <c r="B773" s="276">
        <f>ROUND(AP59,0)</f>
        <v>888</v>
      </c>
      <c r="C773" s="278">
        <f>ROUND(AP60,2)</f>
        <v>2.92</v>
      </c>
      <c r="D773" s="276">
        <f>ROUND(AP61,0)</f>
        <v>289928</v>
      </c>
      <c r="E773" s="276">
        <f>ROUND(AP62,0)</f>
        <v>70823</v>
      </c>
      <c r="F773" s="276">
        <f>ROUND(AP63,0)</f>
        <v>0</v>
      </c>
      <c r="G773" s="276">
        <f>ROUND(AP64,0)</f>
        <v>65341</v>
      </c>
      <c r="H773" s="276">
        <f>ROUND(AP65,0)</f>
        <v>1352</v>
      </c>
      <c r="I773" s="276">
        <f>ROUND(AP66,0)</f>
        <v>93028</v>
      </c>
      <c r="J773" s="276">
        <f>ROUND(AP67,0)</f>
        <v>23230</v>
      </c>
      <c r="K773" s="276">
        <f>ROUND(AP68,0)</f>
        <v>171659</v>
      </c>
      <c r="L773" s="276">
        <f>ROUND(AP69,0)</f>
        <v>388</v>
      </c>
      <c r="M773" s="276">
        <f>ROUND(AP70,0)</f>
        <v>532967</v>
      </c>
      <c r="N773" s="276">
        <f>ROUND(AP75,0)</f>
        <v>4833522</v>
      </c>
      <c r="O773" s="276">
        <f>ROUND(AP73,0)</f>
        <v>-526304</v>
      </c>
      <c r="P773" s="276">
        <f>IF(AP76&gt;0,ROUND(AP76,0),0)</f>
        <v>1709</v>
      </c>
      <c r="Q773" s="276">
        <f>IF(AP77&gt;0,ROUND(AP77,0),0)</f>
        <v>0</v>
      </c>
      <c r="R773" s="276">
        <f>IF(AP78&gt;0,ROUND(AP78,0),0)</f>
        <v>671</v>
      </c>
      <c r="S773" s="276">
        <f>IF(AP79&gt;0,ROUND(AP79,0),0)</f>
        <v>0</v>
      </c>
      <c r="T773" s="278">
        <f>IF(AP80&gt;0,ROUND(AP80,2),0)</f>
        <v>1.88</v>
      </c>
      <c r="U773" s="276"/>
      <c r="V773" s="277"/>
      <c r="W773" s="276"/>
      <c r="X773" s="276"/>
      <c r="Y773" s="276">
        <f t="shared" si="21"/>
        <v>364942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032*2018*7390*A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032*2018*7400*A</v>
      </c>
      <c r="B775" s="276">
        <f>ROUND(AR59,0)</f>
        <v>385162</v>
      </c>
      <c r="C775" s="278">
        <f>ROUND(AR60,2)</f>
        <v>323.83</v>
      </c>
      <c r="D775" s="276">
        <f>ROUND(AR61,0)</f>
        <v>26680107</v>
      </c>
      <c r="E775" s="276">
        <f>ROUND(AR62,0)</f>
        <v>7068820</v>
      </c>
      <c r="F775" s="276">
        <f>ROUND(AR63,0)</f>
        <v>17584</v>
      </c>
      <c r="G775" s="276">
        <f>ROUND(AR64,0)</f>
        <v>1407727</v>
      </c>
      <c r="H775" s="276">
        <f>ROUND(AR65,0)</f>
        <v>337462</v>
      </c>
      <c r="I775" s="276">
        <f>ROUND(AR66,0)</f>
        <v>9440483</v>
      </c>
      <c r="J775" s="276">
        <f>ROUND(AR67,0)</f>
        <v>257012</v>
      </c>
      <c r="K775" s="276">
        <f>ROUND(AR68,0)</f>
        <v>1342851</v>
      </c>
      <c r="L775" s="276">
        <f>ROUND(AR69,0)</f>
        <v>1049184</v>
      </c>
      <c r="M775" s="276">
        <f>ROUND(AR70,0)</f>
        <v>167129</v>
      </c>
      <c r="N775" s="276">
        <f>ROUND(AR75,0)</f>
        <v>70997700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106.89</v>
      </c>
      <c r="U775" s="276"/>
      <c r="V775" s="277"/>
      <c r="W775" s="276"/>
      <c r="X775" s="276"/>
      <c r="Y775" s="276">
        <f t="shared" si="21"/>
        <v>14008544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032*2018*7410*A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032*2018*7420*A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032*2018*7430*A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032*2018*7490*A</v>
      </c>
      <c r="B779" s="276"/>
      <c r="C779" s="278">
        <f>ROUND(AV60,2)</f>
        <v>32.36</v>
      </c>
      <c r="D779" s="276">
        <f>ROUND(AV61,0)</f>
        <v>2665524</v>
      </c>
      <c r="E779" s="276">
        <f>ROUND(AV62,0)</f>
        <v>697992</v>
      </c>
      <c r="F779" s="276">
        <f>ROUND(AV63,0)</f>
        <v>8980232</v>
      </c>
      <c r="G779" s="276">
        <f>ROUND(AV64,0)</f>
        <v>-554341</v>
      </c>
      <c r="H779" s="276">
        <f>ROUND(AV65,0)</f>
        <v>9608</v>
      </c>
      <c r="I779" s="276">
        <f>ROUND(AV66,0)</f>
        <v>4098577</v>
      </c>
      <c r="J779" s="276">
        <f>ROUND(AV67,0)</f>
        <v>54973</v>
      </c>
      <c r="K779" s="276">
        <f>ROUND(AV68,0)</f>
        <v>991384</v>
      </c>
      <c r="L779" s="276">
        <f>ROUND(AV69,0)</f>
        <v>3147937</v>
      </c>
      <c r="M779" s="276">
        <f>ROUND(AV70,0)</f>
        <v>4922703</v>
      </c>
      <c r="N779" s="276">
        <f>ROUND(AV75,0)</f>
        <v>3972448</v>
      </c>
      <c r="O779" s="276">
        <f>ROUND(AV73,0)</f>
        <v>2142562</v>
      </c>
      <c r="P779" s="276">
        <f>IF(AV76&gt;0,ROUND(AV76,0),0)</f>
        <v>1394</v>
      </c>
      <c r="Q779" s="276">
        <f>IF(AV77&gt;0,ROUND(AV77,0),0)</f>
        <v>0</v>
      </c>
      <c r="R779" s="276">
        <f>IF(AV78&gt;0,ROUND(AV78,0),0)</f>
        <v>547</v>
      </c>
      <c r="S779" s="276">
        <f>IF(AV79&gt;0,ROUND(AV79,0),0)</f>
        <v>14737</v>
      </c>
      <c r="T779" s="278">
        <f>IF(AV80&gt;0,ROUND(AV80,2),0)</f>
        <v>3.32</v>
      </c>
      <c r="U779" s="276"/>
      <c r="V779" s="277"/>
      <c r="W779" s="276"/>
      <c r="X779" s="276"/>
      <c r="Y779" s="276">
        <f t="shared" si="21"/>
        <v>3421214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032*2018*8200*A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032*2018*8310*A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2286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032*2018*8320*A</v>
      </c>
      <c r="B782" s="276">
        <f>ROUND(AY59,0)</f>
        <v>577277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032*2018*8330*A</v>
      </c>
      <c r="B783" s="276">
        <f>ROUND(AZ59,0)</f>
        <v>1456766</v>
      </c>
      <c r="C783" s="278">
        <f>ROUND(AZ60,2)</f>
        <v>115.19</v>
      </c>
      <c r="D783" s="276">
        <f>ROUND(AZ61,0)</f>
        <v>4871533</v>
      </c>
      <c r="E783" s="276">
        <f>ROUND(AZ62,0)</f>
        <v>1973854</v>
      </c>
      <c r="F783" s="276">
        <f>ROUND(AZ63,0)</f>
        <v>0</v>
      </c>
      <c r="G783" s="276">
        <f>ROUND(AZ64,0)</f>
        <v>2866187</v>
      </c>
      <c r="H783" s="276">
        <f>ROUND(AZ65,0)</f>
        <v>2905</v>
      </c>
      <c r="I783" s="276">
        <f>ROUND(AZ66,0)</f>
        <v>1972007</v>
      </c>
      <c r="J783" s="276">
        <f>ROUND(AZ67,0)</f>
        <v>517697</v>
      </c>
      <c r="K783" s="276">
        <f>ROUND(AZ68,0)</f>
        <v>98712</v>
      </c>
      <c r="L783" s="276">
        <f>ROUND(AZ69,0)</f>
        <v>134326</v>
      </c>
      <c r="M783" s="276">
        <f>ROUND(AZ70,0)</f>
        <v>3722107</v>
      </c>
      <c r="N783" s="276"/>
      <c r="O783" s="276"/>
      <c r="P783" s="276">
        <f>IF(AZ76&gt;0,ROUND(AZ76,0),0)</f>
        <v>19038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032*2018*8350*A</v>
      </c>
      <c r="B784" s="276">
        <f>ROUND(BA59,0)</f>
        <v>0</v>
      </c>
      <c r="C784" s="278">
        <f>ROUND(BA60,2)</f>
        <v>4.09</v>
      </c>
      <c r="D784" s="276">
        <f>ROUND(BA61,0)</f>
        <v>156339</v>
      </c>
      <c r="E784" s="276">
        <f>ROUND(BA62,0)</f>
        <v>67916</v>
      </c>
      <c r="F784" s="276">
        <f>ROUND(BA63,0)</f>
        <v>0</v>
      </c>
      <c r="G784" s="276">
        <f>ROUND(BA64,0)</f>
        <v>10349</v>
      </c>
      <c r="H784" s="276">
        <f>ROUND(BA65,0)</f>
        <v>0</v>
      </c>
      <c r="I784" s="276">
        <f>ROUND(BA66,0)</f>
        <v>6619</v>
      </c>
      <c r="J784" s="276">
        <f>ROUND(BA67,0)</f>
        <v>57201</v>
      </c>
      <c r="K784" s="276">
        <f>ROUND(BA68,0)</f>
        <v>30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4244</v>
      </c>
      <c r="Q784" s="276">
        <f>IF(BA77&gt;0,ROUND(BA77,0),0)</f>
        <v>0</v>
      </c>
      <c r="R784" s="276">
        <f>IF(BA78&gt;0,ROUND(BA78,0),0)</f>
        <v>1666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032*2018*8360*A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032*2018*8370*A</v>
      </c>
      <c r="B786" s="276"/>
      <c r="C786" s="278">
        <f>ROUND(BC60,2)</f>
        <v>25.48</v>
      </c>
      <c r="D786" s="276">
        <f>ROUND(BC61,0)</f>
        <v>1025606</v>
      </c>
      <c r="E786" s="276">
        <f>ROUND(BC62,0)</f>
        <v>433488</v>
      </c>
      <c r="F786" s="276">
        <f>ROUND(BC63,0)</f>
        <v>0</v>
      </c>
      <c r="G786" s="276">
        <f>ROUND(BC64,0)</f>
        <v>16192</v>
      </c>
      <c r="H786" s="276">
        <f>ROUND(BC65,0)</f>
        <v>0</v>
      </c>
      <c r="I786" s="276">
        <f>ROUND(BC66,0)</f>
        <v>109</v>
      </c>
      <c r="J786" s="276">
        <f>ROUND(BC67,0)</f>
        <v>0</v>
      </c>
      <c r="K786" s="276">
        <f>ROUND(BC68,0)</f>
        <v>1851</v>
      </c>
      <c r="L786" s="276">
        <f>ROUND(BC69,0)</f>
        <v>1183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032*2018*8420*A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032*2018*8430*A</v>
      </c>
      <c r="B788" s="276">
        <f>ROUND(BE59,0)</f>
        <v>888995</v>
      </c>
      <c r="C788" s="278">
        <f>ROUND(BE60,2)</f>
        <v>19.829999999999998</v>
      </c>
      <c r="D788" s="276">
        <f>ROUND(BE61,0)</f>
        <v>1256549</v>
      </c>
      <c r="E788" s="276">
        <f>ROUND(BE62,0)</f>
        <v>391565</v>
      </c>
      <c r="F788" s="276">
        <f>ROUND(BE63,0)</f>
        <v>0</v>
      </c>
      <c r="G788" s="276">
        <f>ROUND(BE64,0)</f>
        <v>44088</v>
      </c>
      <c r="H788" s="276">
        <f>ROUND(BE65,0)</f>
        <v>3376072</v>
      </c>
      <c r="I788" s="276">
        <f>ROUND(BE66,0)</f>
        <v>18900967</v>
      </c>
      <c r="J788" s="276">
        <f>ROUND(BE67,0)</f>
        <v>3373487</v>
      </c>
      <c r="K788" s="276">
        <f>ROUND(BE68,0)</f>
        <v>2440647</v>
      </c>
      <c r="L788" s="276">
        <f>ROUND(BE69,0)</f>
        <v>412580</v>
      </c>
      <c r="M788" s="276">
        <f>ROUND(BE70,0)</f>
        <v>4112</v>
      </c>
      <c r="N788" s="276"/>
      <c r="O788" s="276"/>
      <c r="P788" s="276">
        <f>IF(BE76&gt;0,ROUND(BE76,0),0)</f>
        <v>174493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032*2018*8460*A</v>
      </c>
      <c r="B789" s="276"/>
      <c r="C789" s="278">
        <f>ROUND(BF60,2)</f>
        <v>85.25</v>
      </c>
      <c r="D789" s="276">
        <f>ROUND(BF61,0)</f>
        <v>3630361</v>
      </c>
      <c r="E789" s="276">
        <f>ROUND(BF62,0)</f>
        <v>1465668</v>
      </c>
      <c r="F789" s="276">
        <f>ROUND(BF63,0)</f>
        <v>0</v>
      </c>
      <c r="G789" s="276">
        <f>ROUND(BF64,0)</f>
        <v>547684</v>
      </c>
      <c r="H789" s="276">
        <f>ROUND(BF65,0)</f>
        <v>2297</v>
      </c>
      <c r="I789" s="276">
        <f>ROUND(BF66,0)</f>
        <v>856343</v>
      </c>
      <c r="J789" s="276">
        <f>ROUND(BF67,0)</f>
        <v>63752</v>
      </c>
      <c r="K789" s="276">
        <f>ROUND(BF68,0)</f>
        <v>3718</v>
      </c>
      <c r="L789" s="276">
        <f>ROUND(BF69,0)</f>
        <v>5020</v>
      </c>
      <c r="M789" s="276">
        <f>ROUND(BF70,0)</f>
        <v>0</v>
      </c>
      <c r="N789" s="276"/>
      <c r="O789" s="276"/>
      <c r="P789" s="276">
        <f>IF(BF76&gt;0,ROUND(BF76,0),0)</f>
        <v>2066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032*2018*8470*A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110464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032*2018*8480*A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-698447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032*2018*8490*A</v>
      </c>
      <c r="B792" s="276"/>
      <c r="C792" s="278">
        <f>ROUND(BI60,2)</f>
        <v>2.83</v>
      </c>
      <c r="D792" s="276">
        <f>ROUND(BI61,0)</f>
        <v>115886</v>
      </c>
      <c r="E792" s="276">
        <f>ROUND(BI62,0)</f>
        <v>48024</v>
      </c>
      <c r="F792" s="276">
        <f>ROUND(BI63,0)</f>
        <v>0</v>
      </c>
      <c r="G792" s="276">
        <f>ROUND(BI64,0)</f>
        <v>262532</v>
      </c>
      <c r="H792" s="276">
        <f>ROUND(BI65,0)</f>
        <v>0</v>
      </c>
      <c r="I792" s="276">
        <f>ROUND(BI66,0)</f>
        <v>803</v>
      </c>
      <c r="J792" s="276">
        <f>ROUND(BI67,0)</f>
        <v>18038</v>
      </c>
      <c r="K792" s="276">
        <f>ROUND(BI68,0)</f>
        <v>0</v>
      </c>
      <c r="L792" s="276">
        <f>ROUND(BI69,0)</f>
        <v>2639</v>
      </c>
      <c r="M792" s="276">
        <f>ROUND(BI70,0)</f>
        <v>518030</v>
      </c>
      <c r="N792" s="276"/>
      <c r="O792" s="276"/>
      <c r="P792" s="276">
        <f>IF(BI76&gt;0,ROUND(BI76,0),0)</f>
        <v>1333</v>
      </c>
      <c r="Q792" s="276">
        <f>IF(BI77&gt;0,ROUND(BI77,0),0)</f>
        <v>51363</v>
      </c>
      <c r="R792" s="276">
        <f>IF(BI78&gt;0,ROUND(BI78,0),0)</f>
        <v>523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032*2018*8510*A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1938001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032*2018*8530*A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7339247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032*2018*8560*A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25614</v>
      </c>
      <c r="H795" s="276">
        <f>ROUND(BL65,0)</f>
        <v>335</v>
      </c>
      <c r="I795" s="276">
        <f>ROUND(BL66,0)</f>
        <v>7725465</v>
      </c>
      <c r="J795" s="276">
        <f>ROUND(BL67,0)</f>
        <v>241</v>
      </c>
      <c r="K795" s="276">
        <f>ROUND(BL68,0)</f>
        <v>15809</v>
      </c>
      <c r="L795" s="276">
        <f>ROUND(BL69,0)</f>
        <v>7329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032*2018*8590*A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032*2018*8610*A</v>
      </c>
      <c r="B797" s="276"/>
      <c r="C797" s="278">
        <f>ROUND(BN60,2)</f>
        <v>65.08</v>
      </c>
      <c r="D797" s="276">
        <f>ROUND(BN61,0)</f>
        <v>5416726</v>
      </c>
      <c r="E797" s="276">
        <f>ROUND(BN62,0)</f>
        <v>1371020</v>
      </c>
      <c r="F797" s="276">
        <f>ROUND(BN63,0)</f>
        <v>179600</v>
      </c>
      <c r="G797" s="276">
        <f>ROUND(BN64,0)</f>
        <v>-5921</v>
      </c>
      <c r="H797" s="276">
        <f>ROUND(BN65,0)</f>
        <v>963</v>
      </c>
      <c r="I797" s="276">
        <f>ROUND(BN66,0)</f>
        <v>14590971</v>
      </c>
      <c r="J797" s="276">
        <f>ROUND(BN67,0)</f>
        <v>2735158</v>
      </c>
      <c r="K797" s="276">
        <f>ROUND(BN68,0)</f>
        <v>82285</v>
      </c>
      <c r="L797" s="276">
        <f>ROUND(BN69,0)</f>
        <v>429312</v>
      </c>
      <c r="M797" s="276">
        <f>ROUND(BN70,0)</f>
        <v>-3429193</v>
      </c>
      <c r="N797" s="276"/>
      <c r="O797" s="276"/>
      <c r="P797" s="276">
        <f>IF(BN76&gt;0,ROUND(BN76,0),0)</f>
        <v>201284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032*2018*8620*A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1067275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032*2018*8630*A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1399109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032*2018*8640*A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032*2018*8650*A</v>
      </c>
      <c r="B801" s="276"/>
      <c r="C801" s="278">
        <f>ROUND(BR60,2)</f>
        <v>0</v>
      </c>
      <c r="D801" s="276">
        <f>ROUND(BR61,0)</f>
        <v>-5657</v>
      </c>
      <c r="E801" s="276">
        <f>ROUND(BR62,0)</f>
        <v>13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4204371</v>
      </c>
      <c r="J801" s="276">
        <f>ROUND(BR67,0)</f>
        <v>225109</v>
      </c>
      <c r="K801" s="276">
        <f>ROUND(BR68,0)</f>
        <v>0</v>
      </c>
      <c r="L801" s="276">
        <f>ROUND(BR69,0)</f>
        <v>-196</v>
      </c>
      <c r="M801" s="276">
        <f>ROUND(BR70,0)</f>
        <v>0</v>
      </c>
      <c r="N801" s="276"/>
      <c r="O801" s="276"/>
      <c r="P801" s="276">
        <f>IF(BR76&gt;0,ROUND(BR76,0),0)</f>
        <v>16702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032*2018*8660*A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52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032*2018*8670*A</v>
      </c>
      <c r="B803" s="276"/>
      <c r="C803" s="278">
        <f>ROUND(BT60,2)</f>
        <v>3.53</v>
      </c>
      <c r="D803" s="276">
        <f>ROUND(BT61,0)</f>
        <v>230257</v>
      </c>
      <c r="E803" s="276">
        <f>ROUND(BT62,0)</f>
        <v>71137</v>
      </c>
      <c r="F803" s="276">
        <f>ROUND(BT63,0)</f>
        <v>0</v>
      </c>
      <c r="G803" s="276">
        <f>ROUND(BT64,0)</f>
        <v>321</v>
      </c>
      <c r="H803" s="276">
        <f>ROUND(BT65,0)</f>
        <v>0</v>
      </c>
      <c r="I803" s="276">
        <f>ROUND(BT66,0)</f>
        <v>77535</v>
      </c>
      <c r="J803" s="276">
        <f>ROUND(BT67,0)</f>
        <v>0</v>
      </c>
      <c r="K803" s="276">
        <f>ROUND(BT68,0)</f>
        <v>0</v>
      </c>
      <c r="L803" s="276">
        <f>ROUND(BT69,0)</f>
        <v>16833</v>
      </c>
      <c r="M803" s="276">
        <f>ROUND(BT70,0)</f>
        <v>13250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032*2018*8680*A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125376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032*2018*8690*A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10514210</v>
      </c>
      <c r="J805" s="276">
        <f>ROUND(BV67,0)</f>
        <v>127434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9455</v>
      </c>
      <c r="Q805" s="276">
        <f>IF(BV77&gt;0,ROUND(BV77,0),0)</f>
        <v>0</v>
      </c>
      <c r="R805" s="276">
        <f>IF(BV78&gt;0,ROUND(BV78,0),0)</f>
        <v>3711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032*2018*8700*A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1300872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032*2018*8710*A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5362295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032*2018*8720*A</v>
      </c>
      <c r="B808" s="276"/>
      <c r="C808" s="278">
        <f>ROUND(BY60,2)</f>
        <v>39.54</v>
      </c>
      <c r="D808" s="276">
        <f>ROUND(BY61,0)</f>
        <v>3719665</v>
      </c>
      <c r="E808" s="276">
        <f>ROUND(BY62,0)</f>
        <v>928071</v>
      </c>
      <c r="F808" s="276">
        <f>ROUND(BY63,0)</f>
        <v>0</v>
      </c>
      <c r="G808" s="276">
        <f>ROUND(BY64,0)</f>
        <v>3438</v>
      </c>
      <c r="H808" s="276">
        <f>ROUND(BY65,0)</f>
        <v>5526</v>
      </c>
      <c r="I808" s="276">
        <f>ROUND(BY66,0)</f>
        <v>621048</v>
      </c>
      <c r="J808" s="276">
        <f>ROUND(BY67,0)</f>
        <v>136627</v>
      </c>
      <c r="K808" s="276">
        <f>ROUND(BY68,0)</f>
        <v>5141</v>
      </c>
      <c r="L808" s="276">
        <f>ROUND(BY69,0)</f>
        <v>3432</v>
      </c>
      <c r="M808" s="276">
        <f>ROUND(BY70,0)</f>
        <v>0</v>
      </c>
      <c r="N808" s="276"/>
      <c r="O808" s="276"/>
      <c r="P808" s="276">
        <f>IF(BY76&gt;0,ROUND(BY76,0),0)</f>
        <v>978</v>
      </c>
      <c r="Q808" s="276">
        <f>IF(BY77&gt;0,ROUND(BY77,0),0)</f>
        <v>0</v>
      </c>
      <c r="R808" s="276">
        <f>IF(BY78&gt;0,ROUND(BY78,0),0)</f>
        <v>340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032*2018*8730*A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032*2018*8740*A</v>
      </c>
      <c r="B810" s="276"/>
      <c r="C810" s="278">
        <f>ROUND(CA60,2)</f>
        <v>6.68</v>
      </c>
      <c r="D810" s="276">
        <f>ROUND(CA61,0)</f>
        <v>670484</v>
      </c>
      <c r="E810" s="276">
        <f>ROUND(CA62,0)</f>
        <v>162870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1518040</v>
      </c>
      <c r="J810" s="276">
        <f>ROUND(CA67,0)</f>
        <v>0</v>
      </c>
      <c r="K810" s="276">
        <f>ROUND(CA68,0)</f>
        <v>0</v>
      </c>
      <c r="L810" s="276">
        <f>ROUND(CA69,0)</f>
        <v>135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032*2018*8770*A</v>
      </c>
      <c r="B811" s="276"/>
      <c r="C811" s="278">
        <f>ROUND(CB60,2)</f>
        <v>1.18</v>
      </c>
      <c r="D811" s="276">
        <f>ROUND(CB61,0)</f>
        <v>87161</v>
      </c>
      <c r="E811" s="276">
        <f>ROUND(CB62,0)</f>
        <v>24742</v>
      </c>
      <c r="F811" s="276">
        <f>ROUND(CB63,0)</f>
        <v>0</v>
      </c>
      <c r="G811" s="276">
        <f>ROUND(CB64,0)</f>
        <v>4364</v>
      </c>
      <c r="H811" s="276">
        <f>ROUND(CB65,0)</f>
        <v>0</v>
      </c>
      <c r="I811" s="276">
        <f>ROUND(CB66,0)</f>
        <v>155965</v>
      </c>
      <c r="J811" s="276">
        <f>ROUND(CB67,0)</f>
        <v>0</v>
      </c>
      <c r="K811" s="276">
        <f>ROUND(CB68,0)</f>
        <v>-21</v>
      </c>
      <c r="L811" s="276">
        <f>ROUND(CB69,0)</f>
        <v>5162</v>
      </c>
      <c r="M811" s="276">
        <f>ROUND(CB70,0)</f>
        <v>115574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032*2018*8790*A</v>
      </c>
      <c r="B812" s="276"/>
      <c r="C812" s="278">
        <f>ROUND(CC60,2)</f>
        <v>0.06</v>
      </c>
      <c r="D812" s="276">
        <f>ROUND(CC61,0)</f>
        <v>-392863</v>
      </c>
      <c r="E812" s="276">
        <f>ROUND(CC62,0)</f>
        <v>-129126</v>
      </c>
      <c r="F812" s="276">
        <f>ROUND(CC63,0)</f>
        <v>0</v>
      </c>
      <c r="G812" s="276">
        <f>ROUND(CC64,0)</f>
        <v>6368</v>
      </c>
      <c r="H812" s="276">
        <f>ROUND(CC65,0)</f>
        <v>0</v>
      </c>
      <c r="I812" s="276">
        <f>ROUND(CC66,0)</f>
        <v>47677760</v>
      </c>
      <c r="J812" s="276">
        <f>ROUND(CC67,0)</f>
        <v>0</v>
      </c>
      <c r="K812" s="276">
        <f>ROUND(CC68,0)</f>
        <v>0</v>
      </c>
      <c r="L812" s="276">
        <f>ROUND(CC69,0)</f>
        <v>1021244</v>
      </c>
      <c r="M812" s="276">
        <f>ROUND(CC70,0)</f>
        <v>10000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032*2018*9000*A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33031681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2586.75</v>
      </c>
      <c r="D815" s="277">
        <f t="shared" si="22"/>
        <v>202320422</v>
      </c>
      <c r="E815" s="277">
        <f t="shared" si="22"/>
        <v>55147028</v>
      </c>
      <c r="F815" s="277">
        <f t="shared" si="22"/>
        <v>25913593</v>
      </c>
      <c r="G815" s="277">
        <f t="shared" si="22"/>
        <v>105118211</v>
      </c>
      <c r="H815" s="277">
        <f t="shared" si="22"/>
        <v>4016115</v>
      </c>
      <c r="I815" s="277">
        <f t="shared" si="22"/>
        <v>170309159</v>
      </c>
      <c r="J815" s="277">
        <f t="shared" si="22"/>
        <v>25742702</v>
      </c>
      <c r="K815" s="277">
        <f t="shared" si="22"/>
        <v>8769115</v>
      </c>
      <c r="L815" s="277">
        <f>SUM(L734:L813)+SUM(U734:U813)</f>
        <v>43159103</v>
      </c>
      <c r="M815" s="277">
        <f>SUM(M734:M813)+SUM(V734:V813)</f>
        <v>25035968</v>
      </c>
      <c r="N815" s="277">
        <f t="shared" ref="N815:Y815" si="23">SUM(N734:N813)</f>
        <v>2830178357</v>
      </c>
      <c r="O815" s="277">
        <f t="shared" si="23"/>
        <v>1720086574</v>
      </c>
      <c r="P815" s="277">
        <f t="shared" si="23"/>
        <v>888995</v>
      </c>
      <c r="Q815" s="277">
        <f t="shared" si="23"/>
        <v>577277</v>
      </c>
      <c r="R815" s="277">
        <f t="shared" si="23"/>
        <v>177316</v>
      </c>
      <c r="S815" s="277">
        <f t="shared" si="23"/>
        <v>2703465</v>
      </c>
      <c r="T815" s="281">
        <f t="shared" si="23"/>
        <v>871.99999999999989</v>
      </c>
      <c r="U815" s="277">
        <f t="shared" si="23"/>
        <v>33031681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205728660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2586.75</v>
      </c>
      <c r="D816" s="277">
        <f>CE61</f>
        <v>202320421.93000001</v>
      </c>
      <c r="E816" s="277">
        <f>CE62</f>
        <v>55147028</v>
      </c>
      <c r="F816" s="277">
        <f>CE63</f>
        <v>25913592.530000001</v>
      </c>
      <c r="G816" s="277">
        <f>CE64</f>
        <v>105118212.06000003</v>
      </c>
      <c r="H816" s="280">
        <f>CE65</f>
        <v>4016111.89</v>
      </c>
      <c r="I816" s="280">
        <f>CE66</f>
        <v>170309156.61234921</v>
      </c>
      <c r="J816" s="280">
        <f>CE67</f>
        <v>25742702</v>
      </c>
      <c r="K816" s="280">
        <f>CE68</f>
        <v>8769115.290000001</v>
      </c>
      <c r="L816" s="280">
        <f>CE69</f>
        <v>43159105.600000001</v>
      </c>
      <c r="M816" s="280">
        <f>CE70</f>
        <v>25035967.310000006</v>
      </c>
      <c r="N816" s="277">
        <f>CE75</f>
        <v>2830178357.1199994</v>
      </c>
      <c r="O816" s="277">
        <f>CE73</f>
        <v>1720086575.4099996</v>
      </c>
      <c r="P816" s="277">
        <f>CE76</f>
        <v>888995</v>
      </c>
      <c r="Q816" s="277">
        <f>CE77</f>
        <v>577277</v>
      </c>
      <c r="R816" s="277">
        <f>CE78</f>
        <v>177316</v>
      </c>
      <c r="S816" s="277">
        <f>CE79</f>
        <v>2703465</v>
      </c>
      <c r="T816" s="281">
        <f>CE80</f>
        <v>871.99999999999989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205728662.33457902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202320421.92999998</v>
      </c>
      <c r="E817" s="180">
        <f>C379</f>
        <v>55147027.710000001</v>
      </c>
      <c r="F817" s="180">
        <f>C380</f>
        <v>25913592.530000001</v>
      </c>
      <c r="G817" s="240">
        <f>C381</f>
        <v>105118212.06</v>
      </c>
      <c r="H817" s="240">
        <f>C382</f>
        <v>4016111.89</v>
      </c>
      <c r="I817" s="240">
        <f>C383</f>
        <v>170309156.61000001</v>
      </c>
      <c r="J817" s="240">
        <f>C384</f>
        <v>25742702.100000001</v>
      </c>
      <c r="K817" s="240">
        <f>C385</f>
        <v>8769115.2899999991</v>
      </c>
      <c r="L817" s="240">
        <f>C386+C387+C388+C389</f>
        <v>43159105.220000029</v>
      </c>
      <c r="M817" s="240">
        <f>C370</f>
        <v>25035967.309999999</v>
      </c>
      <c r="N817" s="180">
        <f>D361</f>
        <v>2830178356.7799997</v>
      </c>
      <c r="O817" s="180">
        <f>C359</f>
        <v>1720086575.4100001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zoomScale="70" zoomScaleNormal="70" workbookViewId="0">
      <pane ySplit="3" topLeftCell="A14" activePane="bottomLeft" state="frozen"/>
      <selection pane="bottomLeft" activeCell="D72" sqref="D72:D73"/>
    </sheetView>
  </sheetViews>
  <sheetFormatPr defaultRowHeight="15" x14ac:dyDescent="0.25"/>
  <cols>
    <col min="2" max="2" width="27.58203125" bestFit="1" customWidth="1"/>
    <col min="3" max="5" width="22.75" customWidth="1"/>
    <col min="6" max="14" width="21" customWidth="1"/>
    <col min="15" max="15" width="24.25" style="307" customWidth="1"/>
    <col min="16" max="19" width="21" customWidth="1"/>
    <col min="20" max="20" width="14.58203125" customWidth="1"/>
    <col min="21" max="21" width="16.4140625" hidden="1" customWidth="1"/>
    <col min="22" max="22" width="14.58203125" customWidth="1"/>
  </cols>
  <sheetData>
    <row r="1" spans="1:22" x14ac:dyDescent="0.25">
      <c r="A1" s="290">
        <v>1</v>
      </c>
      <c r="B1" s="290">
        <v>2</v>
      </c>
      <c r="C1" s="290">
        <v>3</v>
      </c>
      <c r="D1" s="290">
        <v>4</v>
      </c>
      <c r="E1" s="290">
        <v>5</v>
      </c>
      <c r="F1" s="290">
        <v>6</v>
      </c>
      <c r="G1" s="290">
        <v>7</v>
      </c>
      <c r="H1" s="290">
        <v>8</v>
      </c>
      <c r="I1" s="290">
        <v>9</v>
      </c>
      <c r="J1" s="290">
        <v>10</v>
      </c>
      <c r="K1" s="290">
        <v>11</v>
      </c>
      <c r="L1" s="290">
        <v>12</v>
      </c>
      <c r="M1" s="290">
        <v>13</v>
      </c>
      <c r="N1" s="290">
        <v>14</v>
      </c>
      <c r="O1" s="305">
        <v>15</v>
      </c>
      <c r="P1" s="290">
        <v>16</v>
      </c>
      <c r="Q1" s="290">
        <v>17</v>
      </c>
      <c r="R1" s="290">
        <v>18</v>
      </c>
      <c r="S1" s="290"/>
    </row>
    <row r="2" spans="1:22" x14ac:dyDescent="0.25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305"/>
      <c r="P2" s="290"/>
      <c r="Q2" s="290"/>
      <c r="R2" s="290"/>
      <c r="S2" s="290"/>
    </row>
    <row r="3" spans="1:22" ht="47.25" customHeight="1" x14ac:dyDescent="0.25">
      <c r="A3" s="288" t="s">
        <v>1330</v>
      </c>
      <c r="B3" s="288" t="s">
        <v>1279</v>
      </c>
      <c r="C3" s="289" t="s">
        <v>1280</v>
      </c>
      <c r="D3" s="289" t="s">
        <v>1331</v>
      </c>
      <c r="E3" s="289" t="s">
        <v>1281</v>
      </c>
      <c r="F3" s="289" t="s">
        <v>1282</v>
      </c>
      <c r="G3" s="289" t="s">
        <v>1332</v>
      </c>
      <c r="H3" s="289" t="s">
        <v>1283</v>
      </c>
      <c r="I3" s="289" t="s">
        <v>1284</v>
      </c>
      <c r="J3" s="289" t="s">
        <v>1333</v>
      </c>
      <c r="K3" s="289" t="s">
        <v>1285</v>
      </c>
      <c r="L3" s="289" t="s">
        <v>1286</v>
      </c>
      <c r="M3" s="289" t="s">
        <v>1287</v>
      </c>
      <c r="N3" s="289" t="s">
        <v>1288</v>
      </c>
      <c r="O3" s="306" t="s">
        <v>1289</v>
      </c>
      <c r="P3" s="289"/>
      <c r="Q3" s="289" t="s">
        <v>1334</v>
      </c>
      <c r="R3" s="289" t="s">
        <v>1290</v>
      </c>
      <c r="S3" s="289" t="s">
        <v>1335</v>
      </c>
      <c r="T3" s="289"/>
      <c r="U3" s="289"/>
      <c r="V3" s="289"/>
    </row>
    <row r="4" spans="1:22" x14ac:dyDescent="0.25">
      <c r="A4" s="287" t="str">
        <f t="shared" ref="A4:A64" si="0">LEFT(B4,4)</f>
        <v>6010</v>
      </c>
      <c r="B4" t="s">
        <v>1291</v>
      </c>
      <c r="C4">
        <v>103108242.73000002</v>
      </c>
      <c r="D4">
        <v>426847.15</v>
      </c>
      <c r="E4">
        <v>103535089.88</v>
      </c>
      <c r="F4">
        <v>15000</v>
      </c>
      <c r="G4">
        <v>103550089.88</v>
      </c>
      <c r="H4">
        <v>15474955.470000001</v>
      </c>
      <c r="I4">
        <v>4184646.1199999996</v>
      </c>
      <c r="J4">
        <v>205444.63</v>
      </c>
      <c r="K4">
        <v>3640872.44</v>
      </c>
      <c r="L4">
        <v>3036.16</v>
      </c>
      <c r="M4">
        <v>14390.639999999998</v>
      </c>
      <c r="N4">
        <v>2673376.6900000004</v>
      </c>
      <c r="O4" s="307">
        <v>999665.71999999986</v>
      </c>
      <c r="Q4">
        <v>77043.040000000008</v>
      </c>
      <c r="R4">
        <v>27273430.910000004</v>
      </c>
      <c r="S4">
        <v>76276658.969999999</v>
      </c>
      <c r="U4">
        <f>SUM(H4:Q4)-R4</f>
        <v>0</v>
      </c>
    </row>
    <row r="5" spans="1:22" x14ac:dyDescent="0.25">
      <c r="A5" s="287" t="str">
        <f t="shared" si="0"/>
        <v>6070</v>
      </c>
      <c r="B5" t="s">
        <v>514</v>
      </c>
      <c r="C5">
        <v>223391974.67999995</v>
      </c>
      <c r="D5">
        <v>19206823.530000001</v>
      </c>
      <c r="E5">
        <v>242598798.21000001</v>
      </c>
      <c r="F5">
        <v>13133.33</v>
      </c>
      <c r="G5">
        <v>242611931.54000002</v>
      </c>
      <c r="H5">
        <v>33021779.859999999</v>
      </c>
      <c r="I5">
        <v>9340558.8800000027</v>
      </c>
      <c r="J5">
        <v>3072497.2115499997</v>
      </c>
      <c r="K5">
        <v>46500</v>
      </c>
      <c r="L5">
        <v>5532.6799999999994</v>
      </c>
      <c r="M5">
        <v>9569.8800000000047</v>
      </c>
      <c r="N5">
        <v>3614829.4299999997</v>
      </c>
      <c r="O5" s="307">
        <v>1359911.7000000002</v>
      </c>
      <c r="Q5">
        <v>162026.25000000003</v>
      </c>
      <c r="R5">
        <v>49273099.528400004</v>
      </c>
      <c r="S5">
        <v>193338832.01160002</v>
      </c>
      <c r="U5">
        <f t="shared" ref="U5:U57" si="1">SUM(H5:Q5)-R5</f>
        <v>1360106.3631500006</v>
      </c>
    </row>
    <row r="6" spans="1:22" x14ac:dyDescent="0.25">
      <c r="A6" s="287" t="str">
        <f t="shared" si="0"/>
        <v>6120</v>
      </c>
      <c r="B6" t="s">
        <v>1292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170094.19945000001</v>
      </c>
      <c r="K6">
        <v>0</v>
      </c>
      <c r="L6">
        <v>0</v>
      </c>
      <c r="M6">
        <v>0</v>
      </c>
      <c r="N6">
        <v>0</v>
      </c>
      <c r="O6" s="307">
        <v>0</v>
      </c>
      <c r="Q6">
        <v>0</v>
      </c>
      <c r="R6">
        <v>170094.19945000001</v>
      </c>
      <c r="S6">
        <v>-170094.19945000001</v>
      </c>
      <c r="U6">
        <f t="shared" si="1"/>
        <v>0</v>
      </c>
    </row>
    <row r="7" spans="1:22" x14ac:dyDescent="0.25">
      <c r="A7" s="287" t="str">
        <f t="shared" si="0"/>
        <v>6140</v>
      </c>
      <c r="B7" t="s">
        <v>1293</v>
      </c>
      <c r="C7">
        <v>19919171.980000004</v>
      </c>
      <c r="D7">
        <v>1062923.55</v>
      </c>
      <c r="E7">
        <v>20982095.530000005</v>
      </c>
      <c r="F7">
        <v>8456.98</v>
      </c>
      <c r="G7">
        <v>20244185.130000003</v>
      </c>
      <c r="H7">
        <v>3544422.6700000004</v>
      </c>
      <c r="I7">
        <v>1046706.2100000002</v>
      </c>
      <c r="J7">
        <v>99220.95</v>
      </c>
      <c r="K7">
        <v>347585.45</v>
      </c>
      <c r="L7">
        <v>1228.7199999999998</v>
      </c>
      <c r="M7">
        <v>1353.56</v>
      </c>
      <c r="N7">
        <v>35209.789999999994</v>
      </c>
      <c r="O7" s="307">
        <v>155966.25</v>
      </c>
      <c r="Q7">
        <v>14058.47</v>
      </c>
      <c r="R7">
        <v>5245752.0699999994</v>
      </c>
      <c r="S7">
        <v>14998433.060000001</v>
      </c>
      <c r="U7">
        <f t="shared" si="1"/>
        <v>0</v>
      </c>
    </row>
    <row r="8" spans="1:22" x14ac:dyDescent="0.25">
      <c r="A8" s="287" t="str">
        <f t="shared" si="0"/>
        <v>6170</v>
      </c>
      <c r="B8" t="s">
        <v>519</v>
      </c>
      <c r="C8">
        <v>48143161.229999989</v>
      </c>
      <c r="D8">
        <v>628.8599999999999</v>
      </c>
      <c r="E8">
        <v>48143790.089999989</v>
      </c>
      <c r="F8">
        <v>43220.77</v>
      </c>
      <c r="G8">
        <v>48187010.859999985</v>
      </c>
      <c r="H8">
        <v>4880841.3599999994</v>
      </c>
      <c r="I8">
        <v>1299250.28</v>
      </c>
      <c r="J8">
        <v>422576.01000000007</v>
      </c>
      <c r="K8">
        <v>918288.31</v>
      </c>
      <c r="L8">
        <v>1593.06</v>
      </c>
      <c r="M8">
        <v>1042.57</v>
      </c>
      <c r="N8">
        <v>786296.46</v>
      </c>
      <c r="O8" s="307">
        <v>172689.15999999997</v>
      </c>
      <c r="Q8">
        <v>62039.4</v>
      </c>
      <c r="R8">
        <v>8544616.6099999994</v>
      </c>
      <c r="S8">
        <v>39642394.25</v>
      </c>
      <c r="U8">
        <f t="shared" si="1"/>
        <v>0</v>
      </c>
    </row>
    <row r="9" spans="1:22" x14ac:dyDescent="0.25">
      <c r="A9" s="287" t="str">
        <f t="shared" si="0"/>
        <v>7010</v>
      </c>
      <c r="B9" t="s">
        <v>1294</v>
      </c>
      <c r="C9">
        <v>132666706.41</v>
      </c>
      <c r="D9">
        <v>10888246.739999998</v>
      </c>
      <c r="E9">
        <v>143554953.15000001</v>
      </c>
      <c r="F9">
        <v>51324.39</v>
      </c>
      <c r="G9">
        <v>143606337.54000002</v>
      </c>
      <c r="H9">
        <v>12678471.380000001</v>
      </c>
      <c r="I9">
        <v>3409815.2700000005</v>
      </c>
      <c r="J9">
        <v>556763.72</v>
      </c>
      <c r="K9">
        <v>1613325.77</v>
      </c>
      <c r="L9">
        <v>4141.2499999999991</v>
      </c>
      <c r="M9">
        <v>187621.35</v>
      </c>
      <c r="N9">
        <v>1498880.67</v>
      </c>
      <c r="O9" s="307">
        <v>489897.88000000006</v>
      </c>
      <c r="Q9">
        <v>95001.94</v>
      </c>
      <c r="R9">
        <v>20533919.23</v>
      </c>
      <c r="S9">
        <v>123072418.31000002</v>
      </c>
      <c r="U9">
        <f t="shared" si="1"/>
        <v>0</v>
      </c>
    </row>
    <row r="10" spans="1:22" x14ac:dyDescent="0.25">
      <c r="A10" s="287" t="str">
        <f t="shared" si="0"/>
        <v>7020</v>
      </c>
      <c r="B10" t="s">
        <v>1295</v>
      </c>
      <c r="C10">
        <v>532433330.89999998</v>
      </c>
      <c r="D10">
        <v>436226191.91000003</v>
      </c>
      <c r="E10">
        <v>968659522.80999994</v>
      </c>
      <c r="F10">
        <v>2000</v>
      </c>
      <c r="G10">
        <v>968661522.80999994</v>
      </c>
      <c r="H10">
        <v>17801520.699999999</v>
      </c>
      <c r="I10">
        <v>4612561.21</v>
      </c>
      <c r="J10">
        <v>4718069.5893000001</v>
      </c>
      <c r="K10">
        <v>4918424.7000000011</v>
      </c>
      <c r="L10">
        <v>11122.660000000002</v>
      </c>
      <c r="M10">
        <v>901750.14</v>
      </c>
      <c r="N10">
        <v>48621250.450000197</v>
      </c>
      <c r="O10" s="307">
        <v>8662401.3500000015</v>
      </c>
      <c r="Q10">
        <v>214548.12</v>
      </c>
      <c r="R10">
        <v>90551389.042699993</v>
      </c>
      <c r="S10">
        <v>878110133.76730001</v>
      </c>
      <c r="U10">
        <f t="shared" si="1"/>
        <v>-89740.123399794102</v>
      </c>
    </row>
    <row r="11" spans="1:22" x14ac:dyDescent="0.25">
      <c r="A11" s="287" t="str">
        <f t="shared" si="0"/>
        <v>7030</v>
      </c>
      <c r="B11" t="s">
        <v>1296</v>
      </c>
      <c r="C11">
        <v>15198269.490000002</v>
      </c>
      <c r="D11">
        <v>11040690.049999999</v>
      </c>
      <c r="E11">
        <v>26238959.539999999</v>
      </c>
      <c r="F11">
        <v>0</v>
      </c>
      <c r="G11">
        <v>26238959.539999999</v>
      </c>
      <c r="H11">
        <v>1872427.8099999998</v>
      </c>
      <c r="I11">
        <v>485552.95000000007</v>
      </c>
      <c r="J11">
        <v>19207.579999999998</v>
      </c>
      <c r="K11">
        <v>0</v>
      </c>
      <c r="L11">
        <v>809.21999999999991</v>
      </c>
      <c r="M11">
        <v>3100.59</v>
      </c>
      <c r="N11">
        <v>138414.9</v>
      </c>
      <c r="O11" s="307">
        <v>17866.759999999998</v>
      </c>
      <c r="Q11">
        <v>13810.659999999998</v>
      </c>
      <c r="R11">
        <v>2551190.4700000002</v>
      </c>
      <c r="S11">
        <v>23687769.07</v>
      </c>
      <c r="U11">
        <f t="shared" si="1"/>
        <v>0</v>
      </c>
    </row>
    <row r="12" spans="1:22" x14ac:dyDescent="0.25">
      <c r="A12" s="287" t="str">
        <f t="shared" si="0"/>
        <v>7050</v>
      </c>
      <c r="B12" t="s">
        <v>1297</v>
      </c>
      <c r="C12">
        <v>0</v>
      </c>
      <c r="D12">
        <v>0</v>
      </c>
      <c r="E12">
        <v>0</v>
      </c>
      <c r="F12">
        <v>0</v>
      </c>
      <c r="G12">
        <v>0</v>
      </c>
      <c r="H12">
        <v>3074684.5699999994</v>
      </c>
      <c r="I12">
        <v>1148598.0500000003</v>
      </c>
      <c r="J12">
        <v>843496.45262254984</v>
      </c>
      <c r="K12">
        <v>0</v>
      </c>
      <c r="L12">
        <v>0</v>
      </c>
      <c r="M12">
        <v>11863.83</v>
      </c>
      <c r="N12">
        <v>-473928.58999999985</v>
      </c>
      <c r="O12" s="307">
        <v>76650.45</v>
      </c>
      <c r="Q12">
        <v>167077.1</v>
      </c>
      <c r="R12">
        <v>4172838.9273225502</v>
      </c>
      <c r="S12">
        <v>-4172838.9273225502</v>
      </c>
      <c r="U12">
        <f t="shared" si="1"/>
        <v>675602.93529999861</v>
      </c>
    </row>
    <row r="13" spans="1:22" x14ac:dyDescent="0.25">
      <c r="A13" s="287" t="str">
        <f t="shared" si="0"/>
        <v>7060</v>
      </c>
      <c r="B13" t="s">
        <v>1298</v>
      </c>
      <c r="C13">
        <v>12318367.75</v>
      </c>
      <c r="D13">
        <v>483811.59</v>
      </c>
      <c r="E13">
        <v>12802179.34</v>
      </c>
      <c r="F13">
        <v>3133.34</v>
      </c>
      <c r="G13">
        <v>12805312.68</v>
      </c>
      <c r="H13">
        <v>1558230.45</v>
      </c>
      <c r="I13">
        <v>372786.55</v>
      </c>
      <c r="J13">
        <v>-556289.41129999992</v>
      </c>
      <c r="K13">
        <v>0</v>
      </c>
      <c r="L13">
        <v>666.87</v>
      </c>
      <c r="M13">
        <v>468.12</v>
      </c>
      <c r="N13">
        <v>995925.56</v>
      </c>
      <c r="O13" s="307">
        <v>28955.43</v>
      </c>
      <c r="Q13">
        <v>3367.4</v>
      </c>
      <c r="R13">
        <v>2960410.53</v>
      </c>
      <c r="S13">
        <v>9844902.1500000004</v>
      </c>
      <c r="U13">
        <f t="shared" si="1"/>
        <v>-556299.56129999924</v>
      </c>
    </row>
    <row r="14" spans="1:22" x14ac:dyDescent="0.25">
      <c r="A14" s="287" t="str">
        <f t="shared" si="0"/>
        <v>7070</v>
      </c>
      <c r="B14" t="s">
        <v>1299</v>
      </c>
      <c r="C14">
        <v>102211637.50999999</v>
      </c>
      <c r="D14">
        <v>36947234.760000005</v>
      </c>
      <c r="E14">
        <v>139158872.27000001</v>
      </c>
      <c r="F14">
        <v>1696360.6800000002</v>
      </c>
      <c r="G14">
        <v>140855232.94999999</v>
      </c>
      <c r="H14">
        <v>7735600.3699999982</v>
      </c>
      <c r="I14">
        <v>2283358.16</v>
      </c>
      <c r="J14">
        <v>4049407.5500000007</v>
      </c>
      <c r="K14">
        <v>95688.42</v>
      </c>
      <c r="L14">
        <v>239097.44999999998</v>
      </c>
      <c r="M14">
        <v>696025.39999999991</v>
      </c>
      <c r="N14">
        <v>6843402.6200000001</v>
      </c>
      <c r="O14" s="307">
        <v>506103.95000000013</v>
      </c>
      <c r="Q14">
        <v>243759.93</v>
      </c>
      <c r="R14">
        <v>21818571.061050002</v>
      </c>
      <c r="S14">
        <v>119036661.88894996</v>
      </c>
      <c r="U14">
        <f t="shared" si="1"/>
        <v>873872.78894999623</v>
      </c>
    </row>
    <row r="15" spans="1:22" x14ac:dyDescent="0.25">
      <c r="A15" s="287" t="str">
        <f t="shared" si="0"/>
        <v>7110</v>
      </c>
      <c r="B15" t="s">
        <v>1328</v>
      </c>
      <c r="C15">
        <v>34323895.439999998</v>
      </c>
      <c r="D15">
        <v>68190952.560000002</v>
      </c>
      <c r="E15">
        <v>102514848.00000001</v>
      </c>
      <c r="F15">
        <v>2901.18</v>
      </c>
      <c r="G15">
        <v>102517749.17999999</v>
      </c>
      <c r="H15">
        <v>1078529.9899999998</v>
      </c>
      <c r="I15">
        <v>225848.06</v>
      </c>
      <c r="J15">
        <v>407200.12</v>
      </c>
      <c r="K15">
        <v>0</v>
      </c>
      <c r="L15">
        <v>0</v>
      </c>
      <c r="M15">
        <v>667.02</v>
      </c>
      <c r="N15">
        <v>11893814.050000003</v>
      </c>
      <c r="O15" s="307">
        <v>350623.56000000006</v>
      </c>
      <c r="Q15">
        <v>3572.5099999999998</v>
      </c>
      <c r="R15">
        <v>13960255.310000002</v>
      </c>
      <c r="S15">
        <v>88557493.870000005</v>
      </c>
      <c r="U15">
        <f t="shared" si="1"/>
        <v>0</v>
      </c>
    </row>
    <row r="16" spans="1:22" x14ac:dyDescent="0.25">
      <c r="A16" s="287" t="str">
        <f t="shared" si="0"/>
        <v>7130</v>
      </c>
      <c r="B16" t="s">
        <v>1300</v>
      </c>
      <c r="C16">
        <v>66736788.920000009</v>
      </c>
      <c r="D16">
        <v>77865351.310000002</v>
      </c>
      <c r="E16">
        <v>144602140.22999999</v>
      </c>
      <c r="F16">
        <v>0</v>
      </c>
      <c r="G16">
        <v>144594914.94</v>
      </c>
      <c r="H16">
        <v>992689.6</v>
      </c>
      <c r="I16">
        <v>257826.36</v>
      </c>
      <c r="J16">
        <v>261404.14</v>
      </c>
      <c r="K16">
        <v>0</v>
      </c>
      <c r="L16">
        <v>325.64999999999998</v>
      </c>
      <c r="M16">
        <v>1272.5</v>
      </c>
      <c r="N16">
        <v>320998.67</v>
      </c>
      <c r="O16" s="307">
        <v>14032.36</v>
      </c>
      <c r="Q16">
        <v>66.06</v>
      </c>
      <c r="R16">
        <v>1848615.34</v>
      </c>
      <c r="S16">
        <v>142746299.59999996</v>
      </c>
      <c r="U16">
        <f t="shared" si="1"/>
        <v>0</v>
      </c>
    </row>
    <row r="17" spans="1:21" x14ac:dyDescent="0.25">
      <c r="A17" s="287" t="str">
        <f t="shared" si="0"/>
        <v>7140</v>
      </c>
      <c r="B17" t="s">
        <v>1301</v>
      </c>
      <c r="C17">
        <v>66943845.68999999</v>
      </c>
      <c r="D17">
        <v>67580171.530000001</v>
      </c>
      <c r="E17">
        <v>134524017.22</v>
      </c>
      <c r="F17">
        <v>42684.79</v>
      </c>
      <c r="G17">
        <v>134566702.01000002</v>
      </c>
      <c r="H17">
        <v>5762355.2599999998</v>
      </c>
      <c r="I17">
        <v>1561992.5199999998</v>
      </c>
      <c r="J17">
        <v>2238682.38</v>
      </c>
      <c r="K17">
        <v>65835</v>
      </c>
      <c r="L17">
        <v>6047.76</v>
      </c>
      <c r="M17">
        <v>32388.59</v>
      </c>
      <c r="N17">
        <v>3902490.3899999992</v>
      </c>
      <c r="O17" s="307">
        <v>471193.47</v>
      </c>
      <c r="Q17">
        <v>14294.859999999999</v>
      </c>
      <c r="R17">
        <v>14055280.230000002</v>
      </c>
      <c r="S17">
        <v>120511421.77999999</v>
      </c>
      <c r="U17">
        <f t="shared" si="1"/>
        <v>0</v>
      </c>
    </row>
    <row r="18" spans="1:21" x14ac:dyDescent="0.25">
      <c r="A18" s="287" t="str">
        <f t="shared" si="0"/>
        <v>7160</v>
      </c>
      <c r="B18" t="s">
        <v>1302</v>
      </c>
      <c r="C18">
        <v>4121080.9699999993</v>
      </c>
      <c r="D18">
        <v>20505251.740000002</v>
      </c>
      <c r="E18">
        <v>24626332.710000001</v>
      </c>
      <c r="F18">
        <v>0</v>
      </c>
      <c r="G18">
        <v>24626332.710000001</v>
      </c>
      <c r="H18">
        <v>625535.66999999993</v>
      </c>
      <c r="I18">
        <v>166095.84999999998</v>
      </c>
      <c r="J18">
        <v>121850.64999999998</v>
      </c>
      <c r="K18">
        <v>0</v>
      </c>
      <c r="L18">
        <v>0</v>
      </c>
      <c r="M18">
        <v>284.82</v>
      </c>
      <c r="N18">
        <v>775914.56</v>
      </c>
      <c r="O18" s="307">
        <v>5425.81</v>
      </c>
      <c r="Q18">
        <v>2518.6100000000006</v>
      </c>
      <c r="R18">
        <v>1697625.9700000002</v>
      </c>
      <c r="S18">
        <v>22928706.739999998</v>
      </c>
      <c r="U18">
        <f t="shared" si="1"/>
        <v>0</v>
      </c>
    </row>
    <row r="19" spans="1:21" x14ac:dyDescent="0.25">
      <c r="A19" s="287" t="str">
        <f t="shared" si="0"/>
        <v>7170</v>
      </c>
      <c r="B19" t="s">
        <v>537</v>
      </c>
      <c r="C19">
        <v>290419303.39999998</v>
      </c>
      <c r="D19">
        <v>115104425.08</v>
      </c>
      <c r="E19">
        <v>405523728.48000002</v>
      </c>
      <c r="F19">
        <v>4805212.92</v>
      </c>
      <c r="G19">
        <v>410156302.33999997</v>
      </c>
      <c r="H19">
        <v>9343537.5200000014</v>
      </c>
      <c r="I19">
        <v>2364282.8899999997</v>
      </c>
      <c r="J19">
        <v>1635495.8600000003</v>
      </c>
      <c r="K19">
        <v>11932.5</v>
      </c>
      <c r="L19">
        <v>5431.35</v>
      </c>
      <c r="M19">
        <v>97780.739999999991</v>
      </c>
      <c r="N19">
        <v>16832556.860000003</v>
      </c>
      <c r="O19" s="307">
        <v>536995.03</v>
      </c>
      <c r="Q19">
        <v>2897830.06</v>
      </c>
      <c r="R19">
        <v>33725842.809999995</v>
      </c>
      <c r="S19">
        <v>376430459.52999991</v>
      </c>
      <c r="U19">
        <f t="shared" si="1"/>
        <v>0</v>
      </c>
    </row>
    <row r="20" spans="1:21" x14ac:dyDescent="0.25">
      <c r="A20" s="287" t="str">
        <f t="shared" si="0"/>
        <v>7180</v>
      </c>
      <c r="B20" t="s">
        <v>1303</v>
      </c>
      <c r="C20">
        <v>58993710.18</v>
      </c>
      <c r="D20">
        <v>7560155.5800000001</v>
      </c>
      <c r="E20">
        <v>66553865.75999999</v>
      </c>
      <c r="F20">
        <v>0</v>
      </c>
      <c r="G20">
        <v>66553865.75999999</v>
      </c>
      <c r="H20">
        <v>2481453.7800000003</v>
      </c>
      <c r="I20">
        <v>663572.39999999991</v>
      </c>
      <c r="J20">
        <v>185572.84999999998</v>
      </c>
      <c r="K20">
        <v>58313.8</v>
      </c>
      <c r="L20">
        <v>806.59</v>
      </c>
      <c r="M20">
        <v>102933.1</v>
      </c>
      <c r="N20">
        <v>741924.97000000009</v>
      </c>
      <c r="O20" s="307">
        <v>199070.89</v>
      </c>
      <c r="Q20">
        <v>25350.429999999997</v>
      </c>
      <c r="R20">
        <v>4458998.8099999996</v>
      </c>
      <c r="S20">
        <v>62094866.949999996</v>
      </c>
      <c r="U20">
        <f t="shared" si="1"/>
        <v>0</v>
      </c>
    </row>
    <row r="21" spans="1:21" x14ac:dyDescent="0.25">
      <c r="A21" s="287" t="str">
        <f t="shared" si="0"/>
        <v>7190</v>
      </c>
      <c r="B21" t="s">
        <v>1304</v>
      </c>
      <c r="C21">
        <v>9194436.0200000014</v>
      </c>
      <c r="D21">
        <v>528707.83000000007</v>
      </c>
      <c r="E21">
        <v>9723143.8499999996</v>
      </c>
      <c r="F21">
        <v>572604.43999999994</v>
      </c>
      <c r="G21">
        <v>10295748.290000003</v>
      </c>
      <c r="H21">
        <v>137735.64999999997</v>
      </c>
      <c r="I21">
        <v>35956.869999999995</v>
      </c>
      <c r="J21">
        <v>2352568.5499999993</v>
      </c>
      <c r="K21">
        <v>0</v>
      </c>
      <c r="L21">
        <v>3645.2</v>
      </c>
      <c r="M21">
        <v>3108.94</v>
      </c>
      <c r="N21">
        <v>58907.3</v>
      </c>
      <c r="O21" s="307">
        <v>19986.709999999901</v>
      </c>
      <c r="Q21">
        <v>39957.18</v>
      </c>
      <c r="R21">
        <v>2651866.4</v>
      </c>
      <c r="S21">
        <v>7643881.8899999997</v>
      </c>
      <c r="U21">
        <f t="shared" si="1"/>
        <v>0</v>
      </c>
    </row>
    <row r="22" spans="1:21" x14ac:dyDescent="0.25">
      <c r="A22" s="287" t="str">
        <f t="shared" si="0"/>
        <v>7200</v>
      </c>
      <c r="B22" t="s">
        <v>540</v>
      </c>
      <c r="C22">
        <v>8187153.1600000001</v>
      </c>
      <c r="D22">
        <v>16138578.91</v>
      </c>
      <c r="E22">
        <v>24325732.07</v>
      </c>
      <c r="F22">
        <v>320</v>
      </c>
      <c r="G22">
        <v>24326052.07</v>
      </c>
      <c r="H22">
        <v>3356016.35</v>
      </c>
      <c r="I22">
        <v>873207.86</v>
      </c>
      <c r="J22">
        <v>55982.900000000016</v>
      </c>
      <c r="K22">
        <v>0</v>
      </c>
      <c r="L22">
        <v>1396.48</v>
      </c>
      <c r="M22">
        <v>158579.55999999997</v>
      </c>
      <c r="N22">
        <v>45942.380000000005</v>
      </c>
      <c r="O22" s="307">
        <v>18349.810000000005</v>
      </c>
      <c r="Q22">
        <v>14847.36</v>
      </c>
      <c r="R22">
        <v>4524322.7</v>
      </c>
      <c r="S22">
        <v>19801729.369999997</v>
      </c>
      <c r="U22">
        <f t="shared" si="1"/>
        <v>0</v>
      </c>
    </row>
    <row r="23" spans="1:21" x14ac:dyDescent="0.25">
      <c r="A23" s="287" t="str">
        <f t="shared" si="0"/>
        <v>7230</v>
      </c>
      <c r="B23" t="s">
        <v>1305</v>
      </c>
      <c r="C23">
        <v>63076688.789999999</v>
      </c>
      <c r="D23">
        <v>115548181.39</v>
      </c>
      <c r="E23">
        <v>178624870.18000001</v>
      </c>
      <c r="F23">
        <v>3133.33</v>
      </c>
      <c r="G23">
        <v>178628003.51000002</v>
      </c>
      <c r="H23">
        <v>7022829.4900000002</v>
      </c>
      <c r="I23">
        <v>2010299.3899999997</v>
      </c>
      <c r="J23">
        <v>2346826.1134000001</v>
      </c>
      <c r="K23">
        <v>7086819.5700000003</v>
      </c>
      <c r="L23">
        <v>989.45</v>
      </c>
      <c r="M23">
        <v>34590.449999999997</v>
      </c>
      <c r="N23">
        <v>1608205.62</v>
      </c>
      <c r="O23" s="307">
        <v>750172.42</v>
      </c>
      <c r="Q23">
        <v>76167.970000000016</v>
      </c>
      <c r="R23">
        <v>20865541.689999998</v>
      </c>
      <c r="S23">
        <v>157762461.81999999</v>
      </c>
      <c r="U23">
        <f t="shared" si="1"/>
        <v>71358.783400002867</v>
      </c>
    </row>
    <row r="24" spans="1:21" x14ac:dyDescent="0.25">
      <c r="A24" s="287" t="str">
        <f t="shared" si="0"/>
        <v>7250</v>
      </c>
      <c r="B24" t="s">
        <v>544</v>
      </c>
      <c r="C24">
        <v>49686320.769999996</v>
      </c>
      <c r="D24">
        <v>40292809.469999999</v>
      </c>
      <c r="E24">
        <v>89979130.239999995</v>
      </c>
      <c r="F24">
        <v>9750</v>
      </c>
      <c r="G24">
        <v>89988880.239999995</v>
      </c>
      <c r="H24">
        <v>10578525.52</v>
      </c>
      <c r="I24">
        <v>3109381.26</v>
      </c>
      <c r="J24">
        <v>168892.33</v>
      </c>
      <c r="K24">
        <v>0</v>
      </c>
      <c r="L24">
        <v>1738.85</v>
      </c>
      <c r="M24">
        <v>-4468.9000000000024</v>
      </c>
      <c r="N24">
        <v>859121.20000000007</v>
      </c>
      <c r="O24" s="307">
        <v>31703.77</v>
      </c>
      <c r="Q24">
        <v>68953.679999999993</v>
      </c>
      <c r="R24">
        <v>14813847.709999997</v>
      </c>
      <c r="S24">
        <v>75175032.530000001</v>
      </c>
      <c r="U24">
        <f t="shared" si="1"/>
        <v>0</v>
      </c>
    </row>
    <row r="25" spans="1:21" x14ac:dyDescent="0.25">
      <c r="A25" s="287" t="str">
        <f t="shared" si="0"/>
        <v>7260</v>
      </c>
      <c r="B25" t="s">
        <v>545</v>
      </c>
      <c r="C25">
        <v>59077.849999999991</v>
      </c>
      <c r="D25">
        <v>244195161.88999999</v>
      </c>
      <c r="E25">
        <v>244254239.74000001</v>
      </c>
      <c r="F25">
        <v>5287438.4800000004</v>
      </c>
      <c r="G25">
        <v>124672780.78</v>
      </c>
      <c r="H25">
        <v>93652697.530000016</v>
      </c>
      <c r="I25">
        <v>16896915.050000001</v>
      </c>
      <c r="J25">
        <v>12015378.529999999</v>
      </c>
      <c r="K25">
        <v>1959857.37</v>
      </c>
      <c r="L25">
        <v>431194.55999999994</v>
      </c>
      <c r="M25">
        <v>8725551.6199999992</v>
      </c>
      <c r="N25">
        <v>6166694.6399999997</v>
      </c>
      <c r="O25" s="307">
        <v>4207014.330000001</v>
      </c>
      <c r="Q25">
        <v>5295665.4000000004</v>
      </c>
      <c r="R25">
        <v>149350969.03000003</v>
      </c>
      <c r="S25">
        <v>-25626731.880000014</v>
      </c>
      <c r="U25">
        <f t="shared" si="1"/>
        <v>0</v>
      </c>
    </row>
    <row r="26" spans="1:21" x14ac:dyDescent="0.25">
      <c r="A26" s="287" t="str">
        <f t="shared" si="0"/>
        <v>7310</v>
      </c>
      <c r="B26" t="s">
        <v>1306</v>
      </c>
      <c r="C26">
        <v>6001370.1500000004</v>
      </c>
      <c r="D26">
        <v>4215701.87</v>
      </c>
      <c r="E26">
        <v>10217072.02</v>
      </c>
      <c r="F26">
        <v>160</v>
      </c>
      <c r="G26">
        <v>10217232.02</v>
      </c>
      <c r="H26">
        <v>1365509.5800000003</v>
      </c>
      <c r="I26">
        <v>350358.42999999993</v>
      </c>
      <c r="J26">
        <v>5676.34</v>
      </c>
      <c r="K26">
        <v>0</v>
      </c>
      <c r="L26">
        <v>995.44</v>
      </c>
      <c r="M26">
        <v>0</v>
      </c>
      <c r="N26">
        <v>4387.9300000000012</v>
      </c>
      <c r="O26" s="307">
        <v>4633.55</v>
      </c>
      <c r="Q26">
        <v>6913.7499999999991</v>
      </c>
      <c r="R26">
        <v>1738475.02</v>
      </c>
      <c r="S26">
        <v>8478757</v>
      </c>
      <c r="U26">
        <f t="shared" si="1"/>
        <v>0</v>
      </c>
    </row>
    <row r="27" spans="1:21" x14ac:dyDescent="0.25">
      <c r="A27" s="287" t="str">
        <f t="shared" si="0"/>
        <v>7320</v>
      </c>
      <c r="B27" t="s">
        <v>1307</v>
      </c>
      <c r="C27">
        <v>2343972.2800000003</v>
      </c>
      <c r="D27">
        <v>783901.7</v>
      </c>
      <c r="E27">
        <v>3127873.98</v>
      </c>
      <c r="F27">
        <v>250</v>
      </c>
      <c r="G27">
        <v>3128123.98</v>
      </c>
      <c r="H27">
        <v>413283.99999999994</v>
      </c>
      <c r="I27">
        <v>110781.09999999998</v>
      </c>
      <c r="J27">
        <v>635</v>
      </c>
      <c r="K27">
        <v>0</v>
      </c>
      <c r="L27">
        <v>634.53</v>
      </c>
      <c r="M27">
        <v>0</v>
      </c>
      <c r="N27">
        <v>1048.01</v>
      </c>
      <c r="O27" s="307">
        <v>0</v>
      </c>
      <c r="Q27">
        <v>4374.21</v>
      </c>
      <c r="R27">
        <v>530756.85</v>
      </c>
      <c r="S27">
        <v>2597367.1300000004</v>
      </c>
      <c r="U27">
        <f t="shared" si="1"/>
        <v>0</v>
      </c>
    </row>
    <row r="28" spans="1:21" x14ac:dyDescent="0.25">
      <c r="A28" s="287" t="str">
        <f t="shared" si="0"/>
        <v>7380</v>
      </c>
      <c r="B28" t="s">
        <v>1308</v>
      </c>
      <c r="C28">
        <v>23382.18</v>
      </c>
      <c r="D28">
        <v>3812062.7</v>
      </c>
      <c r="E28">
        <v>3835444.8800000004</v>
      </c>
      <c r="F28">
        <v>456078.43000000005</v>
      </c>
      <c r="G28">
        <v>4104159.540000001</v>
      </c>
      <c r="H28">
        <v>460747.88</v>
      </c>
      <c r="I28">
        <v>52768.27</v>
      </c>
      <c r="J28">
        <v>187531.88999999998</v>
      </c>
      <c r="K28">
        <v>0</v>
      </c>
      <c r="L28">
        <v>31998.120000000003</v>
      </c>
      <c r="M28">
        <v>161655.25</v>
      </c>
      <c r="N28">
        <v>42245.260000000009</v>
      </c>
      <c r="O28" s="307">
        <v>195.72</v>
      </c>
      <c r="Q28">
        <v>7024.7300000000005</v>
      </c>
      <c r="R28">
        <v>944167.12</v>
      </c>
      <c r="S28">
        <v>3159992.42</v>
      </c>
      <c r="U28">
        <f t="shared" si="1"/>
        <v>0</v>
      </c>
    </row>
    <row r="29" spans="1:21" x14ac:dyDescent="0.25">
      <c r="A29" s="287" t="str">
        <f t="shared" si="0"/>
        <v>7400</v>
      </c>
      <c r="B29" t="s">
        <v>1309</v>
      </c>
      <c r="C29">
        <v>0</v>
      </c>
      <c r="D29">
        <v>72461817.030000001</v>
      </c>
      <c r="E29">
        <v>72461817.030000001</v>
      </c>
      <c r="F29">
        <v>338304.88999999996</v>
      </c>
      <c r="G29">
        <v>70614471.25</v>
      </c>
      <c r="H29">
        <v>29404282.200000003</v>
      </c>
      <c r="I29">
        <v>8137459.4400000013</v>
      </c>
      <c r="J29">
        <v>12977747.67</v>
      </c>
      <c r="K29">
        <v>0</v>
      </c>
      <c r="L29">
        <v>349320.73000000004</v>
      </c>
      <c r="M29">
        <v>1323106.3900000001</v>
      </c>
      <c r="N29">
        <v>1383453.9000000001</v>
      </c>
      <c r="O29" s="307">
        <v>244907.91000000003</v>
      </c>
      <c r="Q29">
        <v>1292691.8</v>
      </c>
      <c r="R29">
        <v>55112970.040000007</v>
      </c>
      <c r="S29">
        <v>15504861.759999998</v>
      </c>
      <c r="U29">
        <f t="shared" si="1"/>
        <v>0</v>
      </c>
    </row>
    <row r="30" spans="1:21" x14ac:dyDescent="0.25">
      <c r="A30" s="287" t="str">
        <f t="shared" si="0"/>
        <v>7490</v>
      </c>
      <c r="B30" t="s">
        <v>1310</v>
      </c>
      <c r="C30">
        <v>1020796.7700000001</v>
      </c>
      <c r="D30">
        <v>1437745.9700000002</v>
      </c>
      <c r="E30">
        <v>2458542.7400000002</v>
      </c>
      <c r="F30">
        <v>2292693.0799999996</v>
      </c>
      <c r="G30">
        <v>4566911.18</v>
      </c>
      <c r="H30">
        <v>1823994.17</v>
      </c>
      <c r="I30">
        <v>471128.52</v>
      </c>
      <c r="J30">
        <v>3346249.3534599999</v>
      </c>
      <c r="K30">
        <v>0</v>
      </c>
      <c r="L30">
        <v>9558.4599999999991</v>
      </c>
      <c r="M30">
        <v>321961.49</v>
      </c>
      <c r="N30">
        <v>20638.510000000002</v>
      </c>
      <c r="O30" s="307">
        <v>32484.900000000005</v>
      </c>
      <c r="Q30">
        <v>950379.50999999989</v>
      </c>
      <c r="R30">
        <v>8150913.3719599992</v>
      </c>
      <c r="S30">
        <v>-3584002.1919600004</v>
      </c>
      <c r="U30">
        <f t="shared" si="1"/>
        <v>-1174518.4584999988</v>
      </c>
    </row>
    <row r="31" spans="1:21" x14ac:dyDescent="0.25">
      <c r="A31" s="287" t="str">
        <f t="shared" si="0"/>
        <v>8310</v>
      </c>
      <c r="B31" t="s">
        <v>1311</v>
      </c>
      <c r="J31">
        <v>276736.07519999996</v>
      </c>
      <c r="R31">
        <v>276736.07519999996</v>
      </c>
      <c r="S31">
        <v>-276736.07519999996</v>
      </c>
      <c r="U31">
        <f t="shared" si="1"/>
        <v>0</v>
      </c>
    </row>
    <row r="32" spans="1:21" x14ac:dyDescent="0.25">
      <c r="A32" s="287" t="str">
        <f t="shared" si="0"/>
        <v>8330</v>
      </c>
      <c r="B32" t="s">
        <v>559</v>
      </c>
      <c r="C32">
        <v>0</v>
      </c>
      <c r="D32">
        <v>1243.52</v>
      </c>
      <c r="E32">
        <v>1243.52</v>
      </c>
      <c r="F32">
        <v>3648038.2899999996</v>
      </c>
      <c r="G32">
        <v>3649281.8099999996</v>
      </c>
      <c r="H32">
        <v>4839545.24</v>
      </c>
      <c r="I32">
        <v>2083014.04</v>
      </c>
      <c r="J32">
        <v>2122057.3099999996</v>
      </c>
      <c r="K32">
        <v>0</v>
      </c>
      <c r="L32">
        <v>2035.88</v>
      </c>
      <c r="M32">
        <v>100514.26</v>
      </c>
      <c r="N32">
        <v>3139678.91</v>
      </c>
      <c r="O32" s="307">
        <v>295289.90000000002</v>
      </c>
      <c r="Q32">
        <v>119258.48999999999</v>
      </c>
      <c r="R32">
        <v>12701394.029999999</v>
      </c>
      <c r="S32">
        <v>-9052112.2199999988</v>
      </c>
      <c r="U32">
        <f t="shared" si="1"/>
        <v>0</v>
      </c>
    </row>
    <row r="33" spans="1:21" x14ac:dyDescent="0.25">
      <c r="A33" s="287" t="str">
        <f t="shared" si="0"/>
        <v>8350</v>
      </c>
      <c r="B33" t="s">
        <v>1312</v>
      </c>
      <c r="C33">
        <v>0</v>
      </c>
      <c r="D33">
        <v>0</v>
      </c>
      <c r="E33">
        <v>0</v>
      </c>
      <c r="F33">
        <v>0</v>
      </c>
      <c r="G33">
        <v>0</v>
      </c>
      <c r="H33">
        <v>225088.59</v>
      </c>
      <c r="I33">
        <v>103901.68000000001</v>
      </c>
      <c r="J33">
        <v>3119.02</v>
      </c>
      <c r="K33">
        <v>0</v>
      </c>
      <c r="L33">
        <v>0</v>
      </c>
      <c r="M33">
        <v>-15.47</v>
      </c>
      <c r="N33">
        <v>14107.19</v>
      </c>
      <c r="O33" s="307">
        <v>0</v>
      </c>
      <c r="Q33">
        <v>0</v>
      </c>
      <c r="R33">
        <v>346201.00999999995</v>
      </c>
      <c r="S33">
        <v>-346201.00999999995</v>
      </c>
      <c r="U33">
        <f t="shared" si="1"/>
        <v>0</v>
      </c>
    </row>
    <row r="34" spans="1:21" x14ac:dyDescent="0.25">
      <c r="A34" s="287" t="str">
        <f t="shared" si="0"/>
        <v>8370</v>
      </c>
      <c r="B34" t="s">
        <v>1313</v>
      </c>
      <c r="C34">
        <v>0</v>
      </c>
      <c r="D34">
        <v>0</v>
      </c>
      <c r="E34">
        <v>0</v>
      </c>
      <c r="F34">
        <v>500</v>
      </c>
      <c r="G34">
        <v>500</v>
      </c>
      <c r="H34">
        <v>456900.00999999995</v>
      </c>
      <c r="I34">
        <v>204360.47999999998</v>
      </c>
      <c r="J34">
        <v>0</v>
      </c>
      <c r="K34">
        <v>0</v>
      </c>
      <c r="L34">
        <v>102.51</v>
      </c>
      <c r="M34">
        <v>1683.63</v>
      </c>
      <c r="N34">
        <v>2054.06</v>
      </c>
      <c r="O34" s="307">
        <v>0</v>
      </c>
      <c r="Q34">
        <v>0</v>
      </c>
      <c r="R34">
        <v>665100.69000000006</v>
      </c>
      <c r="S34">
        <v>-664600.69000000006</v>
      </c>
      <c r="U34">
        <f t="shared" si="1"/>
        <v>0</v>
      </c>
    </row>
    <row r="35" spans="1:21" x14ac:dyDescent="0.25">
      <c r="A35" s="287" t="str">
        <f t="shared" si="0"/>
        <v>8430</v>
      </c>
      <c r="B35" t="s">
        <v>564</v>
      </c>
      <c r="C35">
        <v>0</v>
      </c>
      <c r="D35">
        <v>0</v>
      </c>
      <c r="E35">
        <v>0</v>
      </c>
      <c r="F35">
        <v>649.94000000000005</v>
      </c>
      <c r="G35">
        <v>649.94000000000005</v>
      </c>
      <c r="H35">
        <v>1291032.9099999999</v>
      </c>
      <c r="I35">
        <v>411137.51</v>
      </c>
      <c r="J35">
        <v>16682406.0824</v>
      </c>
      <c r="K35">
        <v>0</v>
      </c>
      <c r="L35">
        <v>3263454.49</v>
      </c>
      <c r="M35">
        <v>2489420.2799999993</v>
      </c>
      <c r="N35">
        <v>8370.4000000000033</v>
      </c>
      <c r="O35" s="307">
        <v>1559932.8099999998</v>
      </c>
      <c r="Q35">
        <v>439162.42</v>
      </c>
      <c r="R35">
        <v>26128620.432150003</v>
      </c>
      <c r="S35">
        <v>-26127970.492150001</v>
      </c>
      <c r="U35">
        <f t="shared" si="1"/>
        <v>16296.470249995589</v>
      </c>
    </row>
    <row r="36" spans="1:21" x14ac:dyDescent="0.25">
      <c r="A36" s="287" t="str">
        <f t="shared" si="0"/>
        <v>8460</v>
      </c>
      <c r="B36" t="s">
        <v>565</v>
      </c>
      <c r="C36">
        <v>0</v>
      </c>
      <c r="D36">
        <v>0</v>
      </c>
      <c r="E36">
        <v>0</v>
      </c>
      <c r="F36">
        <v>0</v>
      </c>
      <c r="G36">
        <v>0</v>
      </c>
      <c r="H36">
        <v>3866548.8600000003</v>
      </c>
      <c r="I36">
        <v>1498020.54</v>
      </c>
      <c r="J36">
        <v>832307.57000000007</v>
      </c>
      <c r="K36">
        <v>0</v>
      </c>
      <c r="L36">
        <v>955.02</v>
      </c>
      <c r="M36">
        <v>9873.9</v>
      </c>
      <c r="N36">
        <v>547232.71000000008</v>
      </c>
      <c r="O36" s="307">
        <v>35011.160000000003</v>
      </c>
      <c r="Q36">
        <v>4820.26</v>
      </c>
      <c r="R36">
        <v>6794770.0200000005</v>
      </c>
      <c r="S36">
        <v>-6794770.0200000005</v>
      </c>
      <c r="U36">
        <f t="shared" si="1"/>
        <v>0</v>
      </c>
    </row>
    <row r="37" spans="1:21" x14ac:dyDescent="0.25">
      <c r="A37" s="287" t="str">
        <f t="shared" si="0"/>
        <v>8470</v>
      </c>
      <c r="B37" t="s">
        <v>1314</v>
      </c>
      <c r="J37">
        <v>1191320.3351499999</v>
      </c>
      <c r="R37">
        <v>1191320.3351499999</v>
      </c>
      <c r="S37">
        <v>-1191320.3351499999</v>
      </c>
      <c r="U37">
        <f t="shared" si="1"/>
        <v>0</v>
      </c>
    </row>
    <row r="38" spans="1:21" x14ac:dyDescent="0.25">
      <c r="A38" s="287" t="str">
        <f t="shared" si="0"/>
        <v>8480</v>
      </c>
      <c r="B38" t="s">
        <v>567</v>
      </c>
      <c r="J38">
        <v>5189987.8909999998</v>
      </c>
      <c r="R38">
        <v>3292812.1488999999</v>
      </c>
      <c r="S38">
        <v>-3292812.1488999999</v>
      </c>
      <c r="U38">
        <f t="shared" si="1"/>
        <v>1897175.7420999999</v>
      </c>
    </row>
    <row r="39" spans="1:21" x14ac:dyDescent="0.25">
      <c r="A39" s="287" t="str">
        <f t="shared" si="0"/>
        <v>8490</v>
      </c>
      <c r="B39" t="s">
        <v>1315</v>
      </c>
      <c r="C39">
        <v>0</v>
      </c>
      <c r="D39">
        <v>0</v>
      </c>
      <c r="E39">
        <v>0</v>
      </c>
      <c r="F39">
        <v>509705.63</v>
      </c>
      <c r="G39">
        <v>509705.63</v>
      </c>
      <c r="H39">
        <v>32292.29</v>
      </c>
      <c r="I39">
        <v>17547.150000000001</v>
      </c>
      <c r="J39">
        <v>2122.39</v>
      </c>
      <c r="K39">
        <v>0</v>
      </c>
      <c r="L39">
        <v>0</v>
      </c>
      <c r="M39">
        <v>0</v>
      </c>
      <c r="N39">
        <v>243178.85999999996</v>
      </c>
      <c r="O39" s="307">
        <v>71.64</v>
      </c>
      <c r="Q39">
        <v>1254.1899999999996</v>
      </c>
      <c r="R39">
        <v>296466.52</v>
      </c>
      <c r="S39">
        <v>213239.11</v>
      </c>
      <c r="U39">
        <f t="shared" si="1"/>
        <v>0</v>
      </c>
    </row>
    <row r="40" spans="1:21" x14ac:dyDescent="0.25">
      <c r="A40" s="287" t="str">
        <f t="shared" si="0"/>
        <v>8510</v>
      </c>
      <c r="B40" t="s">
        <v>569</v>
      </c>
      <c r="J40">
        <v>1239152.4813499996</v>
      </c>
      <c r="R40">
        <v>1528454.2039999994</v>
      </c>
      <c r="S40">
        <v>-1528454.2039999994</v>
      </c>
      <c r="U40">
        <f t="shared" si="1"/>
        <v>-289301.72264999989</v>
      </c>
    </row>
    <row r="41" spans="1:21" x14ac:dyDescent="0.25">
      <c r="A41" s="287" t="str">
        <f t="shared" si="0"/>
        <v>8530</v>
      </c>
      <c r="B41" t="s">
        <v>1316</v>
      </c>
      <c r="J41">
        <v>8085774.038851345</v>
      </c>
      <c r="R41">
        <v>7798707.2790513448</v>
      </c>
      <c r="S41">
        <v>-7798707.2790513448</v>
      </c>
      <c r="U41">
        <f t="shared" si="1"/>
        <v>287066.75980000012</v>
      </c>
    </row>
    <row r="42" spans="1:21" x14ac:dyDescent="0.25">
      <c r="A42" s="287" t="str">
        <f t="shared" si="0"/>
        <v>8560</v>
      </c>
      <c r="B42" t="s">
        <v>571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7747443.6987800002</v>
      </c>
      <c r="K42">
        <v>0</v>
      </c>
      <c r="L42">
        <v>335.7</v>
      </c>
      <c r="M42">
        <v>15804.48</v>
      </c>
      <c r="N42">
        <v>33372.85</v>
      </c>
      <c r="O42" s="307">
        <v>241.48</v>
      </c>
      <c r="Q42">
        <v>5422.3099999999995</v>
      </c>
      <c r="R42">
        <v>7802620.5187799986</v>
      </c>
      <c r="S42">
        <v>-7802620.5187799986</v>
      </c>
      <c r="U42">
        <f>SUM(H42:Q42)-R42</f>
        <v>0</v>
      </c>
    </row>
    <row r="43" spans="1:21" x14ac:dyDescent="0.25">
      <c r="A43" s="287" t="str">
        <f t="shared" si="0"/>
        <v>8610</v>
      </c>
      <c r="B43" t="s">
        <v>1317</v>
      </c>
      <c r="C43">
        <v>0</v>
      </c>
      <c r="D43">
        <v>0</v>
      </c>
      <c r="E43">
        <v>0</v>
      </c>
      <c r="F43">
        <v>-3645522.48</v>
      </c>
      <c r="G43">
        <v>-3645522.48</v>
      </c>
      <c r="H43">
        <v>6168848.7300000004</v>
      </c>
      <c r="I43">
        <v>1640668.02</v>
      </c>
      <c r="J43">
        <v>8680917.6969334725</v>
      </c>
      <c r="K43">
        <v>220800</v>
      </c>
      <c r="L43">
        <v>2592.25</v>
      </c>
      <c r="M43">
        <v>78729.649999999994</v>
      </c>
      <c r="N43">
        <v>5513.4</v>
      </c>
      <c r="O43" s="307">
        <v>117466.43</v>
      </c>
      <c r="Q43">
        <v>462847.32</v>
      </c>
      <c r="R43">
        <v>19407058.104733475</v>
      </c>
      <c r="S43">
        <v>-23052580.584733479</v>
      </c>
      <c r="U43">
        <f t="shared" si="1"/>
        <v>-2028674.6078000031</v>
      </c>
    </row>
    <row r="44" spans="1:21" x14ac:dyDescent="0.25">
      <c r="A44" s="287" t="str">
        <f t="shared" si="0"/>
        <v>8620</v>
      </c>
      <c r="B44" t="s">
        <v>574</v>
      </c>
      <c r="J44">
        <v>903228.29629999993</v>
      </c>
      <c r="R44">
        <v>903228.29629999993</v>
      </c>
      <c r="S44">
        <v>-903228.29629999993</v>
      </c>
      <c r="U44">
        <f t="shared" si="1"/>
        <v>0</v>
      </c>
    </row>
    <row r="45" spans="1:21" x14ac:dyDescent="0.25">
      <c r="A45" s="287" t="str">
        <f t="shared" si="0"/>
        <v>8630</v>
      </c>
      <c r="B45" t="s">
        <v>1318</v>
      </c>
      <c r="J45">
        <v>4759957.9238999989</v>
      </c>
      <c r="R45">
        <v>4760053.0141999992</v>
      </c>
      <c r="S45">
        <v>-4760053.0141999992</v>
      </c>
      <c r="U45">
        <f t="shared" si="1"/>
        <v>-95.090300000272691</v>
      </c>
    </row>
    <row r="46" spans="1:21" x14ac:dyDescent="0.25">
      <c r="A46" s="287" t="str">
        <f t="shared" si="0"/>
        <v>8650</v>
      </c>
      <c r="B46" t="s">
        <v>577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2458.3700000059684</v>
      </c>
      <c r="J46">
        <v>3039001.8210499999</v>
      </c>
      <c r="K46">
        <v>0</v>
      </c>
      <c r="L46">
        <v>0</v>
      </c>
      <c r="M46">
        <v>0</v>
      </c>
      <c r="N46">
        <v>0</v>
      </c>
      <c r="O46" s="307">
        <v>0</v>
      </c>
      <c r="Q46">
        <v>475.99</v>
      </c>
      <c r="R46">
        <v>1890762.8775500057</v>
      </c>
      <c r="S46">
        <v>-1890762.8775500057</v>
      </c>
      <c r="U46">
        <f t="shared" si="1"/>
        <v>1151173.3035000006</v>
      </c>
    </row>
    <row r="47" spans="1:21" x14ac:dyDescent="0.25">
      <c r="A47" s="287" t="str">
        <f t="shared" si="0"/>
        <v>8660</v>
      </c>
      <c r="B47" t="s">
        <v>1319</v>
      </c>
      <c r="J47">
        <v>249573.94244999991</v>
      </c>
      <c r="R47">
        <v>249573.94244999991</v>
      </c>
      <c r="S47">
        <v>-249573.94244999991</v>
      </c>
      <c r="U47">
        <f t="shared" si="1"/>
        <v>0</v>
      </c>
    </row>
    <row r="48" spans="1:21" x14ac:dyDescent="0.25">
      <c r="A48" s="287" t="str">
        <f t="shared" si="0"/>
        <v>8670</v>
      </c>
      <c r="B48" t="s">
        <v>1320</v>
      </c>
      <c r="C48">
        <v>0</v>
      </c>
      <c r="D48">
        <v>0</v>
      </c>
      <c r="E48">
        <v>0</v>
      </c>
      <c r="F48">
        <v>20375</v>
      </c>
      <c r="G48">
        <v>20375</v>
      </c>
      <c r="H48">
        <v>220952.77999999997</v>
      </c>
      <c r="I48">
        <v>75612.740000000005</v>
      </c>
      <c r="J48">
        <v>427796.48594999994</v>
      </c>
      <c r="K48">
        <v>0</v>
      </c>
      <c r="L48">
        <v>0</v>
      </c>
      <c r="M48">
        <v>0</v>
      </c>
      <c r="N48">
        <v>302.35000000000002</v>
      </c>
      <c r="O48" s="307">
        <v>0</v>
      </c>
      <c r="Q48">
        <v>21148.78</v>
      </c>
      <c r="R48">
        <v>745813.13594999979</v>
      </c>
      <c r="S48">
        <v>-725438.13594999979</v>
      </c>
      <c r="U48">
        <f t="shared" si="1"/>
        <v>0</v>
      </c>
    </row>
    <row r="49" spans="1:21" x14ac:dyDescent="0.25">
      <c r="A49" s="287" t="str">
        <f t="shared" si="0"/>
        <v>8680</v>
      </c>
      <c r="B49" t="s">
        <v>579</v>
      </c>
      <c r="J49">
        <v>148855.08905000004</v>
      </c>
      <c r="R49">
        <v>148855.08905000004</v>
      </c>
      <c r="S49">
        <v>-148855.08905000004</v>
      </c>
      <c r="U49">
        <f t="shared" si="1"/>
        <v>0</v>
      </c>
    </row>
    <row r="50" spans="1:21" x14ac:dyDescent="0.25">
      <c r="A50" s="287" t="str">
        <f t="shared" si="0"/>
        <v>8690</v>
      </c>
      <c r="B50" t="s">
        <v>580</v>
      </c>
      <c r="J50">
        <v>11140089.736275665</v>
      </c>
      <c r="R50">
        <v>11140089.736275665</v>
      </c>
      <c r="S50">
        <v>-11140089.736275665</v>
      </c>
      <c r="U50">
        <f t="shared" si="1"/>
        <v>0</v>
      </c>
    </row>
    <row r="51" spans="1:21" x14ac:dyDescent="0.25">
      <c r="A51" s="287" t="str">
        <f t="shared" si="0"/>
        <v>8700</v>
      </c>
      <c r="B51" t="s">
        <v>581</v>
      </c>
      <c r="J51">
        <v>2193227.9204805247</v>
      </c>
      <c r="R51">
        <v>2182197.0232305247</v>
      </c>
      <c r="S51">
        <v>-2182197.0232305247</v>
      </c>
      <c r="U51">
        <f t="shared" si="1"/>
        <v>11030.897249999922</v>
      </c>
    </row>
    <row r="52" spans="1:21" x14ac:dyDescent="0.25">
      <c r="A52" s="287" t="str">
        <f t="shared" si="0"/>
        <v>8710</v>
      </c>
      <c r="B52" t="s">
        <v>1321</v>
      </c>
      <c r="J52">
        <v>11463193.24275312</v>
      </c>
      <c r="R52">
        <v>3712385.0665031201</v>
      </c>
      <c r="S52">
        <v>-3712385.0665031201</v>
      </c>
      <c r="U52">
        <f t="shared" si="1"/>
        <v>7750808.1762499996</v>
      </c>
    </row>
    <row r="53" spans="1:21" x14ac:dyDescent="0.25">
      <c r="A53" s="287" t="str">
        <f t="shared" si="0"/>
        <v>8720</v>
      </c>
      <c r="B53" t="s">
        <v>1322</v>
      </c>
      <c r="C53">
        <v>0</v>
      </c>
      <c r="D53">
        <v>0</v>
      </c>
      <c r="E53">
        <v>0</v>
      </c>
      <c r="F53">
        <v>0</v>
      </c>
      <c r="G53">
        <v>0</v>
      </c>
      <c r="H53">
        <v>4228048.5999999996</v>
      </c>
      <c r="I53">
        <v>1114728.1000000001</v>
      </c>
      <c r="J53">
        <v>415807.94144999998</v>
      </c>
      <c r="K53">
        <v>0</v>
      </c>
      <c r="L53">
        <v>1926.17</v>
      </c>
      <c r="M53">
        <v>13094.04</v>
      </c>
      <c r="N53">
        <v>1822.54</v>
      </c>
      <c r="O53" s="307">
        <v>3523.09</v>
      </c>
      <c r="Q53">
        <v>4525.71</v>
      </c>
      <c r="R53">
        <v>5775866.5711999992</v>
      </c>
      <c r="S53">
        <v>-5775866.5711999992</v>
      </c>
      <c r="U53">
        <f t="shared" si="1"/>
        <v>7609.6202499996871</v>
      </c>
    </row>
    <row r="54" spans="1:21" x14ac:dyDescent="0.25">
      <c r="A54" s="287" t="str">
        <f t="shared" si="0"/>
        <v>8740</v>
      </c>
      <c r="B54" t="s">
        <v>1323</v>
      </c>
      <c r="C54">
        <v>0</v>
      </c>
      <c r="D54">
        <v>0</v>
      </c>
      <c r="E54">
        <v>0</v>
      </c>
      <c r="F54">
        <v>0</v>
      </c>
      <c r="G54">
        <v>0</v>
      </c>
      <c r="H54">
        <v>629821.42000000016</v>
      </c>
      <c r="I54">
        <v>160198.82</v>
      </c>
      <c r="J54">
        <v>1321076.8644000001</v>
      </c>
      <c r="K54">
        <v>0</v>
      </c>
      <c r="L54">
        <v>0</v>
      </c>
      <c r="M54">
        <v>0</v>
      </c>
      <c r="N54">
        <v>0</v>
      </c>
      <c r="O54" s="307">
        <v>0</v>
      </c>
      <c r="Q54">
        <v>424</v>
      </c>
      <c r="R54">
        <v>2111521.1044000001</v>
      </c>
      <c r="S54">
        <v>-2111521.1044000001</v>
      </c>
      <c r="U54">
        <f t="shared" si="1"/>
        <v>0</v>
      </c>
    </row>
    <row r="55" spans="1:21" x14ac:dyDescent="0.25">
      <c r="A55" s="287" t="str">
        <f t="shared" si="0"/>
        <v>8770</v>
      </c>
      <c r="B55" t="s">
        <v>1324</v>
      </c>
      <c r="C55">
        <v>0</v>
      </c>
      <c r="D55">
        <v>0</v>
      </c>
      <c r="E55">
        <v>0</v>
      </c>
      <c r="F55">
        <v>125022.39</v>
      </c>
      <c r="G55">
        <v>125022.39</v>
      </c>
      <c r="H55">
        <v>75731.930000000008</v>
      </c>
      <c r="I55">
        <v>22849.369999999995</v>
      </c>
      <c r="J55">
        <v>159829.70585</v>
      </c>
      <c r="K55">
        <v>0</v>
      </c>
      <c r="L55">
        <v>0</v>
      </c>
      <c r="M55">
        <v>21.46</v>
      </c>
      <c r="N55">
        <v>1668.7200000000003</v>
      </c>
      <c r="O55" s="307">
        <v>0</v>
      </c>
      <c r="Q55">
        <v>14530.68</v>
      </c>
      <c r="R55">
        <v>274631.86585</v>
      </c>
      <c r="S55">
        <v>-149609.47584999999</v>
      </c>
      <c r="U55">
        <f t="shared" si="1"/>
        <v>0</v>
      </c>
    </row>
    <row r="56" spans="1:21" x14ac:dyDescent="0.25">
      <c r="A56" s="287" t="str">
        <f t="shared" si="0"/>
        <v>8790</v>
      </c>
      <c r="B56" t="s">
        <v>1325</v>
      </c>
      <c r="C56">
        <v>0</v>
      </c>
      <c r="D56">
        <v>0</v>
      </c>
      <c r="E56">
        <v>0</v>
      </c>
      <c r="F56">
        <v>0</v>
      </c>
      <c r="G56">
        <v>33890.199999999997</v>
      </c>
      <c r="H56">
        <v>171255.95</v>
      </c>
      <c r="I56">
        <v>56742.96</v>
      </c>
      <c r="J56">
        <v>225481.19750958</v>
      </c>
      <c r="K56">
        <v>27461.57</v>
      </c>
      <c r="L56">
        <v>0</v>
      </c>
      <c r="M56">
        <v>8175.0300000000007</v>
      </c>
      <c r="N56">
        <v>11537.1</v>
      </c>
      <c r="O56" s="307">
        <v>0</v>
      </c>
      <c r="Q56">
        <v>1821622.65</v>
      </c>
      <c r="R56">
        <v>2481540.3596095797</v>
      </c>
      <c r="S56">
        <v>-4185561.9996095798</v>
      </c>
      <c r="U56">
        <f t="shared" si="1"/>
        <v>-159263.9020999996</v>
      </c>
    </row>
    <row r="57" spans="1:21" x14ac:dyDescent="0.25">
      <c r="A57" s="287" t="str">
        <f t="shared" si="0"/>
        <v>8900</v>
      </c>
      <c r="B57" t="s">
        <v>1326</v>
      </c>
      <c r="C57">
        <v>-923781.9</v>
      </c>
      <c r="D57">
        <v>-1194681.3500000001</v>
      </c>
      <c r="E57">
        <v>-2118463.25</v>
      </c>
      <c r="F57">
        <v>1830706.48</v>
      </c>
      <c r="G57">
        <v>-2303676120.4800005</v>
      </c>
      <c r="H57">
        <v>1874683.12</v>
      </c>
      <c r="I57">
        <v>94188.49</v>
      </c>
      <c r="J57">
        <v>41395274.934949994</v>
      </c>
      <c r="K57">
        <v>8024627.4500000002</v>
      </c>
      <c r="L57">
        <v>24.299999999999997</v>
      </c>
      <c r="M57">
        <v>494883.93</v>
      </c>
      <c r="N57">
        <v>499102.1</v>
      </c>
      <c r="O57" s="307">
        <f>12359731.93+134662.95</f>
        <v>12494394.879999999</v>
      </c>
      <c r="Q57">
        <f>29520455.12-134662.95</f>
        <v>29385792.170000002</v>
      </c>
      <c r="R57">
        <f>102430956.8212+134662.95</f>
        <v>102565619.7712</v>
      </c>
      <c r="S57">
        <v>-2405531831.0612006</v>
      </c>
      <c r="U57">
        <f t="shared" si="1"/>
        <v>-8302648.3962500095</v>
      </c>
    </row>
    <row r="58" spans="1:21" x14ac:dyDescent="0.25">
      <c r="A58" s="287" t="str">
        <f t="shared" si="0"/>
        <v>9999</v>
      </c>
      <c r="B58" t="s">
        <v>1327</v>
      </c>
      <c r="C58">
        <v>0</v>
      </c>
      <c r="D58">
        <v>0</v>
      </c>
      <c r="E58">
        <v>0</v>
      </c>
      <c r="F58">
        <v>0</v>
      </c>
      <c r="G58">
        <v>-10989597.119999999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 s="307">
        <v>0</v>
      </c>
      <c r="Q58">
        <v>0</v>
      </c>
      <c r="R58">
        <v>0</v>
      </c>
      <c r="S58">
        <v>-10989597.119999999</v>
      </c>
      <c r="U58">
        <f t="shared" ref="U58:U64" si="2">SUM(H58:Q58)</f>
        <v>0</v>
      </c>
    </row>
    <row r="59" spans="1:21" x14ac:dyDescent="0.25">
      <c r="A59" s="287"/>
      <c r="U59">
        <f t="shared" si="2"/>
        <v>0</v>
      </c>
    </row>
    <row r="60" spans="1:21" x14ac:dyDescent="0.25">
      <c r="A60" s="287"/>
      <c r="U60">
        <f t="shared" si="2"/>
        <v>0</v>
      </c>
    </row>
    <row r="61" spans="1:21" x14ac:dyDescent="0.25">
      <c r="A61" s="287"/>
      <c r="U61">
        <f t="shared" si="2"/>
        <v>0</v>
      </c>
    </row>
    <row r="62" spans="1:21" x14ac:dyDescent="0.25">
      <c r="A62" s="287"/>
      <c r="U62">
        <f t="shared" si="2"/>
        <v>0</v>
      </c>
    </row>
    <row r="63" spans="1:21" x14ac:dyDescent="0.25">
      <c r="A63" s="287"/>
      <c r="U63">
        <f t="shared" si="2"/>
        <v>0</v>
      </c>
    </row>
    <row r="64" spans="1:21" s="292" customFormat="1" x14ac:dyDescent="0.25">
      <c r="A64" s="291" t="str">
        <f t="shared" si="0"/>
        <v>Gran</v>
      </c>
      <c r="B64" s="292" t="s">
        <v>1329</v>
      </c>
      <c r="C64" s="292">
        <v>1849598903.3500004</v>
      </c>
      <c r="D64" s="292">
        <v>1371310936.8699999</v>
      </c>
      <c r="E64" s="292">
        <v>3220909840.2200003</v>
      </c>
      <c r="F64" s="292">
        <v>18133636.280000001</v>
      </c>
      <c r="G64" s="292">
        <v>796346997.61999977</v>
      </c>
      <c r="H64" s="300">
        <v>294223409.26000011</v>
      </c>
      <c r="I64" s="300">
        <v>72957136.220000014</v>
      </c>
      <c r="J64" s="300">
        <f>SUM(J4:J58)</f>
        <v>181803922.85051626</v>
      </c>
      <c r="K64" s="300">
        <v>29036332.350000001</v>
      </c>
      <c r="L64" s="300">
        <v>4382737.5599999996</v>
      </c>
      <c r="M64" s="300">
        <v>15998782.84</v>
      </c>
      <c r="N64" s="300">
        <v>113899943.42000023</v>
      </c>
      <c r="O64" s="316">
        <f>33728167.33+134662.95</f>
        <v>33862830.280000001</v>
      </c>
      <c r="P64" s="300"/>
      <c r="Q64" s="300">
        <f>44169288.35-134662.95</f>
        <v>44034625.399999999</v>
      </c>
      <c r="R64" s="300">
        <f>788563497.252616+134662.95</f>
        <v>788698160.2026161</v>
      </c>
      <c r="S64" s="300">
        <v>5675651.6873830613</v>
      </c>
      <c r="U64">
        <f t="shared" si="2"/>
        <v>790199720.18051648</v>
      </c>
    </row>
    <row r="65" spans="8:18" x14ac:dyDescent="0.25">
      <c r="O65" s="312"/>
    </row>
    <row r="66" spans="8:18" x14ac:dyDescent="0.25">
      <c r="H66">
        <f>data!C378</f>
        <v>294223409.25999999</v>
      </c>
      <c r="I66">
        <f>data!C379</f>
        <v>72957136.219999999</v>
      </c>
      <c r="J66" s="299">
        <f>data!C383</f>
        <v>181803922.60000002</v>
      </c>
      <c r="K66">
        <f>data!C380</f>
        <v>29036332.350000001</v>
      </c>
      <c r="L66">
        <f>data!C382</f>
        <v>4382737.5600000005</v>
      </c>
      <c r="M66">
        <f>data!C385</f>
        <v>15998782.84</v>
      </c>
      <c r="N66">
        <f>data!C381</f>
        <v>113899943.14999999</v>
      </c>
      <c r="O66" s="312">
        <f>data!C384</f>
        <v>33862830.280000001</v>
      </c>
      <c r="Q66">
        <f>7025576.56+28661315.98+164600.79+8183132.22</f>
        <v>44034625.549999997</v>
      </c>
      <c r="R66">
        <f>790199719.72-1997795.89</f>
        <v>788201923.83000004</v>
      </c>
    </row>
    <row r="68" spans="8:18" x14ac:dyDescent="0.25">
      <c r="J68">
        <f>J64-J66</f>
        <v>0.25051623582839966</v>
      </c>
      <c r="Q68">
        <f>Q64-Q66</f>
        <v>-0.14999999850988388</v>
      </c>
      <c r="R68">
        <f>R64-R66</f>
        <v>496236.37261605263</v>
      </c>
    </row>
    <row r="70" spans="8:18" x14ac:dyDescent="0.25">
      <c r="R70">
        <f>R64+1997795.89</f>
        <v>790695956.09261608</v>
      </c>
    </row>
    <row r="71" spans="8:18" x14ac:dyDescent="0.25">
      <c r="R71">
        <f>R70-790199719.81</f>
        <v>496236.28261613846</v>
      </c>
    </row>
    <row r="73" spans="8:18" x14ac:dyDescent="0.25">
      <c r="Q73">
        <v>790199719.80999994</v>
      </c>
    </row>
    <row r="74" spans="8:18" x14ac:dyDescent="0.25">
      <c r="Q74">
        <f>SUM(H64:O64)+Q64</f>
        <v>790199720.18051648</v>
      </c>
    </row>
    <row r="75" spans="8:18" x14ac:dyDescent="0.25">
      <c r="Q75">
        <f>Q73-Q74</f>
        <v>-0.37051653861999512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R35" sqref="R3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St.Joseph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1717 South J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1717 South J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Tacoma, WA 98401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H-32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St.Joseph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253-426-4101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253-426-4101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20309</v>
      </c>
      <c r="G23" s="21">
        <f>data!D111</f>
        <v>106940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4361</v>
      </c>
      <c r="G26" s="13">
        <f>data!D114</f>
        <v>10866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214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23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351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351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St.Joseph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8608</v>
      </c>
      <c r="C7" s="48">
        <f>data!B139</f>
        <v>53912</v>
      </c>
      <c r="D7" s="48">
        <f>data!B140</f>
        <v>0</v>
      </c>
      <c r="E7" s="48">
        <f>data!B141</f>
        <v>919775877.69000006</v>
      </c>
      <c r="F7" s="48">
        <f>data!B142</f>
        <v>563759081.28999996</v>
      </c>
      <c r="G7" s="48">
        <f>data!B141+data!B142</f>
        <v>1483534958.98</v>
      </c>
    </row>
    <row r="8" spans="1:13" ht="20.100000000000001" customHeight="1" x14ac:dyDescent="0.25">
      <c r="A8" s="23" t="s">
        <v>297</v>
      </c>
      <c r="B8" s="48">
        <f>data!C138</f>
        <v>4769</v>
      </c>
      <c r="C8" s="48">
        <f>data!C139</f>
        <v>24347</v>
      </c>
      <c r="D8" s="48">
        <f>data!C140</f>
        <v>0</v>
      </c>
      <c r="E8" s="48">
        <f>data!C141</f>
        <v>388238722.38</v>
      </c>
      <c r="F8" s="48">
        <f>data!C142</f>
        <v>270552582.53000003</v>
      </c>
      <c r="G8" s="48">
        <f>data!C141+data!C142</f>
        <v>658791304.91000009</v>
      </c>
    </row>
    <row r="9" spans="1:13" ht="20.100000000000001" customHeight="1" x14ac:dyDescent="0.25">
      <c r="A9" s="23" t="s">
        <v>1058</v>
      </c>
      <c r="B9" s="48">
        <f>data!D138</f>
        <v>6932</v>
      </c>
      <c r="C9" s="48">
        <f>data!D139</f>
        <v>28681</v>
      </c>
      <c r="D9" s="48">
        <f>data!D140</f>
        <v>0</v>
      </c>
      <c r="E9" s="48">
        <f>data!D141</f>
        <v>541584303.27999985</v>
      </c>
      <c r="F9" s="48">
        <f>data!D142</f>
        <v>536999273.05000007</v>
      </c>
      <c r="G9" s="48">
        <f>data!D141+data!D142</f>
        <v>1078583576.3299999</v>
      </c>
    </row>
    <row r="10" spans="1:13" ht="20.100000000000001" customHeight="1" x14ac:dyDescent="0.25">
      <c r="A10" s="111" t="s">
        <v>203</v>
      </c>
      <c r="B10" s="48">
        <f>data!E138</f>
        <v>20309</v>
      </c>
      <c r="C10" s="48">
        <f>data!E139</f>
        <v>106940</v>
      </c>
      <c r="D10" s="48">
        <f>data!E140</f>
        <v>0</v>
      </c>
      <c r="E10" s="48">
        <f>data!E141</f>
        <v>1849598903.3499999</v>
      </c>
      <c r="F10" s="48">
        <f>data!E142</f>
        <v>1371310936.8699999</v>
      </c>
      <c r="G10" s="48">
        <f>data!E141+data!E142</f>
        <v>3220909840.2199998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St.Joseph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19354209.059999999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534547.67999999993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3122298.24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33415920.09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231007.35999999996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13471157.42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1594112.6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1233883.77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72957136.219999984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12970473.459999999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3028309.38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15998782.84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6459278.1800000006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566298.38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7025576.5600000005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290521.45999999996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28454826.129999999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28745347.59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164600.79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164600.79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St.Joseph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7877314.96</v>
      </c>
      <c r="D7" s="21">
        <f>data!C195</f>
        <v>0</v>
      </c>
      <c r="E7" s="21">
        <f>data!D195</f>
        <v>0</v>
      </c>
      <c r="F7" s="21">
        <f>data!E195</f>
        <v>7877314.96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4412190.25</v>
      </c>
      <c r="D8" s="21">
        <f>data!C196</f>
        <v>0</v>
      </c>
      <c r="E8" s="21">
        <f>data!D196</f>
        <v>0</v>
      </c>
      <c r="F8" s="21">
        <f>data!E196</f>
        <v>4412190.25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176695280.46999997</v>
      </c>
      <c r="D9" s="21">
        <f>data!C197</f>
        <v>6210367.6200000001</v>
      </c>
      <c r="E9" s="21">
        <f>data!D197</f>
        <v>0</v>
      </c>
      <c r="F9" s="21">
        <f>data!E197</f>
        <v>182905648.08999997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78530770.129999995</v>
      </c>
      <c r="D11" s="21">
        <f>data!C199</f>
        <v>3989780.31</v>
      </c>
      <c r="E11" s="21">
        <f>data!D199</f>
        <v>35846.86</v>
      </c>
      <c r="F11" s="21">
        <f>data!E199</f>
        <v>82484703.579999998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278740678.83000004</v>
      </c>
      <c r="D12" s="21">
        <f>data!C200</f>
        <v>11483705.859999999</v>
      </c>
      <c r="E12" s="21">
        <f>data!D200</f>
        <v>1162627.0855</v>
      </c>
      <c r="F12" s="21">
        <f>data!E200</f>
        <v>289061757.60450006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46520570.550000004</v>
      </c>
      <c r="D14" s="21">
        <f>data!C202</f>
        <v>3985289.61</v>
      </c>
      <c r="E14" s="21">
        <f>data!D202</f>
        <v>20439.61</v>
      </c>
      <c r="F14" s="21">
        <f>data!E202</f>
        <v>50485420.550000004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20374290.259999998</v>
      </c>
      <c r="D15" s="21">
        <f>data!C203</f>
        <v>-13494501.270000005</v>
      </c>
      <c r="E15" s="21">
        <f>data!D203</f>
        <v>0</v>
      </c>
      <c r="F15" s="21">
        <f>data!E203</f>
        <v>6879788.9899999928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613151095.44999993</v>
      </c>
      <c r="D16" s="21">
        <f>data!C204</f>
        <v>12174642.129999993</v>
      </c>
      <c r="E16" s="21">
        <f>data!D204</f>
        <v>1218913.5555000002</v>
      </c>
      <c r="F16" s="21">
        <f>data!E204</f>
        <v>624106824.02450001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3340859.78</v>
      </c>
      <c r="D24" s="21">
        <f>data!C209</f>
        <v>165528.48000000001</v>
      </c>
      <c r="E24" s="21">
        <f>data!D209</f>
        <v>0</v>
      </c>
      <c r="F24" s="21">
        <f>data!E209</f>
        <v>3506388.26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87144270.399999991</v>
      </c>
      <c r="D25" s="21">
        <f>data!C210</f>
        <v>6119118.4399999995</v>
      </c>
      <c r="E25" s="21">
        <f>data!D210</f>
        <v>0</v>
      </c>
      <c r="F25" s="21">
        <f>data!E210</f>
        <v>93263388.839999989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63192621.75</v>
      </c>
      <c r="D27" s="21">
        <f>data!C212</f>
        <v>1920621.41</v>
      </c>
      <c r="E27" s="21">
        <f>data!D212</f>
        <v>35846.86</v>
      </c>
      <c r="F27" s="21">
        <f>data!E212</f>
        <v>65077396.299999997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203601951.88999999</v>
      </c>
      <c r="D28" s="21">
        <f>data!C213</f>
        <v>21718613.349999998</v>
      </c>
      <c r="E28" s="21">
        <f>data!D213</f>
        <v>1240908.8700000001</v>
      </c>
      <c r="F28" s="21">
        <f>data!E213</f>
        <v>224079656.36999997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17776792.27</v>
      </c>
      <c r="D30" s="21">
        <f>data!C215</f>
        <v>3938948.6</v>
      </c>
      <c r="E30" s="21">
        <f>data!D215</f>
        <v>0</v>
      </c>
      <c r="F30" s="21">
        <f>data!E215</f>
        <v>21715740.870000001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375056496.08999997</v>
      </c>
      <c r="D32" s="21">
        <f>data!C217</f>
        <v>33862830.280000001</v>
      </c>
      <c r="E32" s="21">
        <f>data!D217</f>
        <v>1276755.7300000002</v>
      </c>
      <c r="F32" s="21">
        <f>data!E217</f>
        <v>407642570.63999999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St.Joseph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12550417.58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1197247117.0799999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560038598.81000006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111593303.69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467374345.16000003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46526744.119999997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2382780108.8599997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11923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7624468.9299999997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17651886.16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25276355.09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22089597.349999998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2442696478.8799996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St.Joseph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38984591.839999996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456526419.33999997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342870424.38000005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35469865.18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16390590.949999999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1538355.15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206039398.07999989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7877314.96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4412190.25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182905648.08999997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82484703.579999998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289061757.60450006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50485420.550000004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6879788.9899999984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624106824.02450001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407642570.63999999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216464253.38450003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32487150.200000003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1280637.92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33767788.120000005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4497898.8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411987.6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4909886.3999999994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461181325.98449993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St.Joseph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7122351.6200000001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31332946.949999999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47369379.299999997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6526583.9800000004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34754685.979999997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1461360.53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128567308.36000001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9711838.6500000004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9711838.6500000004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1525306.32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2333074.79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1256300.03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5114681.1400000006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1461360.53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3653320.6100000003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319248858.29000002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319248858.29000002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461181325.91000009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St.Joseph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1849598903.3499999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1371310936.8700001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3220909840.2200003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12550417.58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2382780108.8600011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25276355.09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22089597.349999998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2442696478.8800011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778213361.3399992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18133636.68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18133636.68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796346998.01999915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294223409.25999999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72957136.219999999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29036332.350000001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113899943.14999999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4382737.5600000005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181803922.60000002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33862830.280000001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15998782.84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7025576.5600000005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28745347.59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164600.78999999998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8099100.6099998951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790199719.80999994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6147278.2099992037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-471625.75000000012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5675652.4599992037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5675652.4599992037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SJ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St. Joseph Medical Center Year End Report</dc:title>
  <dc:subject>2019 St. Joseph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2019-10-30T21:31:53Z</cp:lastPrinted>
  <dcterms:created xsi:type="dcterms:W3CDTF">1999-06-02T22:01:56Z</dcterms:created>
  <dcterms:modified xsi:type="dcterms:W3CDTF">2019-10-31T17:01:00Z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