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 firstSheet="1" activeTab="1"/>
  </bookViews>
  <sheets>
    <sheet name="Sheet3" sheetId="2" state="hidden" r:id="rId1"/>
    <sheet name="data" sheetId="3" r:id="rId2"/>
    <sheet name="Sheet4" sheetId="4" state="hidden" r:id="rId3"/>
    <sheet name="Sheet2" sheetId="8" state="hidden" r:id="rId4"/>
    <sheet name="Sheet1" sheetId="11" state="hidden" r:id="rId5"/>
    <sheet name="Changes" sheetId="1" r:id="rId6"/>
    <sheet name="Prior Year" sheetId="14" r:id="rId7"/>
    <sheet name="Transmittal" sheetId="15" r:id="rId8"/>
    <sheet name="INFO_PG1" sheetId="16" r:id="rId9"/>
    <sheet name="INFO_PG2" sheetId="17" r:id="rId10"/>
    <sheet name="SS2_3_5_6" sheetId="18" r:id="rId11"/>
    <sheet name="SS4" sheetId="19" r:id="rId12"/>
    <sheet name="SS8" sheetId="20" r:id="rId13"/>
    <sheet name="FS" sheetId="21" r:id="rId14"/>
    <sheet name="CC's" sheetId="22" r:id="rId15"/>
  </sheets>
  <externalReferences>
    <externalReference r:id="rId16"/>
    <externalReference r:id="rId17"/>
    <externalReference r:id="rId18"/>
  </externalReferences>
  <definedNames>
    <definedName name="_Fill" localSheetId="6" hidden="1">'Prior Year'!$DR$819:$DR$864</definedName>
    <definedName name="_Fill" hidden="1">data!$DR$823:$DR$868</definedName>
    <definedName name="Costcenter" localSheetId="6">'Prior Year'!#REF!</definedName>
    <definedName name="Costcenter">data!#REF!</definedName>
    <definedName name="DataRange" localSheetId="0">Journal [1]Header!$A$1:$J$11</definedName>
    <definedName name="DataRange">Journal [1]Header!$A$1:$J$11</definedName>
    <definedName name="Edit" localSheetId="6">'Prior Year'!$A$410:$E$477</definedName>
    <definedName name="Edit">data!$A$411:$E$478</definedName>
    <definedName name="End">#REF!</definedName>
    <definedName name="fd">#REF!</definedName>
    <definedName name="Funds" localSheetId="6">'Prior Year'!#REF!</definedName>
    <definedName name="Funds">data!#REF!</definedName>
    <definedName name="HeaderRange">#REF!</definedName>
    <definedName name="Hospital" localSheetId="6">'Prior Year'!#REF!</definedName>
    <definedName name="Hospital">data!#REF!</definedName>
    <definedName name="JE">#REF!</definedName>
    <definedName name="master_def">#REF!</definedName>
    <definedName name="mb">#REF!</definedName>
    <definedName name="MBF">#REF!</definedName>
    <definedName name="_xlnm.Print_Area" localSheetId="14">'CC''s'!$A$1:$I$384</definedName>
    <definedName name="_xlnm.Print_Area" localSheetId="5">Changes!$A$2:$D$19</definedName>
    <definedName name="_xlnm.Print_Area" localSheetId="1">data!$A$411:$E$478</definedName>
    <definedName name="_xlnm.Print_Area" localSheetId="13">FS!$A$1:$D$153</definedName>
    <definedName name="_xlnm.Print_Area" localSheetId="8">INFO_PG1!$A$1:$G$40</definedName>
    <definedName name="_xlnm.Print_Area" localSheetId="9">INFO_PG2!$A$1:$G$33</definedName>
    <definedName name="_xlnm.Print_Area" localSheetId="6">'Prior Year'!$A$410:$E$477</definedName>
    <definedName name="_xlnm.Print_Area" localSheetId="10">SS2_3_5_6!$A$1:$C$40</definedName>
    <definedName name="_xlnm.Print_Area" localSheetId="11">'SS4'!$A$1:$F$32</definedName>
    <definedName name="_xlnm.Print_Area" localSheetId="12">'SS8'!$A$1:$D$34</definedName>
    <definedName name="_xlnm.Print_Titles" localSheetId="5">Changes!$1:$1</definedName>
    <definedName name="sortcol">#REF!</definedName>
    <definedName name="SortRange" localSheetId="0">Journal [1]Header!$A$2:$J$11</definedName>
    <definedName name="SortRange">Journal [1]Header!$A$2:$J$11</definedName>
    <definedName name="SS" localSheetId="0">#REF!</definedName>
    <definedName name="SS">#REF!</definedName>
    <definedName name="Support" localSheetId="6">'Prior Year'!#REF!</definedName>
    <definedName name="Support">data!#REF!</definedName>
    <definedName name="temp">#REF!</definedName>
    <definedName name="Titles" localSheetId="0">Journal [1]Header!$A$1:$A$1</definedName>
    <definedName name="Titles">Journal [1]Header!$A$1:$A$1</definedName>
    <definedName name="TopSection" localSheetId="0">Journal [1]Header!$A$1:$J$1</definedName>
    <definedName name="TopSection">Journal [1]Header!$A$1:$J$1</definedName>
    <definedName name="Z_37DA5E57_E52E_47A3_B98A_9CAA60A4BD45_.wvu.PrintArea" localSheetId="14" hidden="1">'CC''s'!$A$1:$I$384</definedName>
    <definedName name="Z_37DA5E57_E52E_47A3_B98A_9CAA60A4BD45_.wvu.PrintArea" localSheetId="1" hidden="1">data!$A$411:$E$478</definedName>
    <definedName name="Z_37DA5E57_E52E_47A3_B98A_9CAA60A4BD45_.wvu.PrintArea" localSheetId="13" hidden="1">FS!$A$1:$D$153</definedName>
    <definedName name="Z_37DA5E57_E52E_47A3_B98A_9CAA60A4BD45_.wvu.PrintArea" localSheetId="8" hidden="1">INFO_PG1!$A$1:$G$40</definedName>
    <definedName name="Z_37DA5E57_E52E_47A3_B98A_9CAA60A4BD45_.wvu.PrintArea" localSheetId="9" hidden="1">INFO_PG2!$A$1:$G$33</definedName>
    <definedName name="Z_37DA5E57_E52E_47A3_B98A_9CAA60A4BD45_.wvu.PrintArea" localSheetId="6" hidden="1">'Prior Year'!$A$410:$E$477</definedName>
    <definedName name="Z_37DA5E57_E52E_47A3_B98A_9CAA60A4BD45_.wvu.PrintArea" localSheetId="10" hidden="1">SS2_3_5_6!$A$1:$C$40</definedName>
    <definedName name="Z_37DA5E57_E52E_47A3_B98A_9CAA60A4BD45_.wvu.PrintArea" localSheetId="11" hidden="1">'SS4'!$A$1:$F$32</definedName>
    <definedName name="Z_37DA5E57_E52E_47A3_B98A_9CAA60A4BD45_.wvu.PrintArea" localSheetId="12" hidden="1">'SS8'!$A$1:$D$34</definedName>
    <definedName name="Z_783D34AB_F88A_4C40_8B8F_D04647EC64BD_.wvu.PrintArea" localSheetId="14" hidden="1">'CC''s'!$A$1:$I$384</definedName>
    <definedName name="Z_783D34AB_F88A_4C40_8B8F_D04647EC64BD_.wvu.PrintArea" localSheetId="1" hidden="1">data!$A$411:$E$478</definedName>
    <definedName name="Z_783D34AB_F88A_4C40_8B8F_D04647EC64BD_.wvu.PrintArea" localSheetId="13" hidden="1">FS!$A$1:$D$153</definedName>
    <definedName name="Z_783D34AB_F88A_4C40_8B8F_D04647EC64BD_.wvu.PrintArea" localSheetId="8" hidden="1">INFO_PG1!$A$1:$G$40</definedName>
    <definedName name="Z_783D34AB_F88A_4C40_8B8F_D04647EC64BD_.wvu.PrintArea" localSheetId="9" hidden="1">INFO_PG2!$A$1:$G$33</definedName>
    <definedName name="Z_783D34AB_F88A_4C40_8B8F_D04647EC64BD_.wvu.PrintArea" localSheetId="6" hidden="1">'Prior Year'!$A$410:$E$477</definedName>
    <definedName name="Z_783D34AB_F88A_4C40_8B8F_D04647EC64BD_.wvu.PrintArea" localSheetId="10" hidden="1">SS2_3_5_6!$A$1:$C$40</definedName>
    <definedName name="Z_783D34AB_F88A_4C40_8B8F_D04647EC64BD_.wvu.PrintArea" localSheetId="11" hidden="1">'SS4'!$A$1:$F$32</definedName>
    <definedName name="Z_783D34AB_F88A_4C40_8B8F_D04647EC64BD_.wvu.PrintArea" localSheetId="12" hidden="1">'SS8'!$A$1:$D$34</definedName>
    <definedName name="Z_78E778D5_69A8_4E35_B0F3_6D26A1845557_.wvu.PrintArea" localSheetId="14" hidden="1">'CC''s'!$A$1:$I$384</definedName>
    <definedName name="Z_78E778D5_69A8_4E35_B0F3_6D26A1845557_.wvu.PrintArea" localSheetId="1" hidden="1">data!$A$411:$E$478</definedName>
    <definedName name="Z_78E778D5_69A8_4E35_B0F3_6D26A1845557_.wvu.PrintArea" localSheetId="13" hidden="1">FS!$A$1:$D$153</definedName>
    <definedName name="Z_78E778D5_69A8_4E35_B0F3_6D26A1845557_.wvu.PrintArea" localSheetId="8" hidden="1">INFO_PG1!$A$1:$G$40</definedName>
    <definedName name="Z_78E778D5_69A8_4E35_B0F3_6D26A1845557_.wvu.PrintArea" localSheetId="9" hidden="1">INFO_PG2!$A$1:$G$33</definedName>
    <definedName name="Z_78E778D5_69A8_4E35_B0F3_6D26A1845557_.wvu.PrintArea" localSheetId="6" hidden="1">'Prior Year'!$A$410:$E$477</definedName>
    <definedName name="Z_78E778D5_69A8_4E35_B0F3_6D26A1845557_.wvu.PrintArea" localSheetId="10" hidden="1">SS2_3_5_6!$A$1:$C$40</definedName>
    <definedName name="Z_78E778D5_69A8_4E35_B0F3_6D26A1845557_.wvu.PrintArea" localSheetId="11" hidden="1">'SS4'!$A$1:$F$32</definedName>
    <definedName name="Z_78E778D5_69A8_4E35_B0F3_6D26A1845557_.wvu.PrintArea" localSheetId="12" hidden="1">'SS8'!$A$1:$D$34</definedName>
    <definedName name="Z_D74738EB_3446_4A41_91B2_3626AA7FCC94_.wvu.PrintArea" localSheetId="14" hidden="1">'CC''s'!$A$1:$I$384</definedName>
    <definedName name="Z_D74738EB_3446_4A41_91B2_3626AA7FCC94_.wvu.PrintArea" localSheetId="1" hidden="1">data!$A$411:$E$478</definedName>
    <definedName name="Z_D74738EB_3446_4A41_91B2_3626AA7FCC94_.wvu.PrintArea" localSheetId="13" hidden="1">FS!$A$1:$D$153</definedName>
    <definedName name="Z_D74738EB_3446_4A41_91B2_3626AA7FCC94_.wvu.PrintArea" localSheetId="8" hidden="1">INFO_PG1!$A$1:$G$40</definedName>
    <definedName name="Z_D74738EB_3446_4A41_91B2_3626AA7FCC94_.wvu.PrintArea" localSheetId="9" hidden="1">INFO_PG2!$A$1:$G$33</definedName>
    <definedName name="Z_D74738EB_3446_4A41_91B2_3626AA7FCC94_.wvu.PrintArea" localSheetId="6" hidden="1">'Prior Year'!$A$410:$E$477</definedName>
    <definedName name="Z_D74738EB_3446_4A41_91B2_3626AA7FCC94_.wvu.PrintArea" localSheetId="10" hidden="1">SS2_3_5_6!$A$1:$C$40</definedName>
    <definedName name="Z_D74738EB_3446_4A41_91B2_3626AA7FCC94_.wvu.PrintArea" localSheetId="11" hidden="1">'SS4'!$A$1:$F$32</definedName>
    <definedName name="Z_D74738EB_3446_4A41_91B2_3626AA7FCC94_.wvu.PrintArea" localSheetId="12" hidden="1">'SS8'!$A$1:$D$34</definedName>
    <definedName name="Z_D74B16BB_9BDF_4AEC_AA99_B864B9498389_.wvu.PrintArea" localSheetId="14" hidden="1">'CC''s'!$A$1:$I$384</definedName>
    <definedName name="Z_D74B16BB_9BDF_4AEC_AA99_B864B9498389_.wvu.PrintArea" localSheetId="5" hidden="1">Changes!$A$2:$D$19</definedName>
    <definedName name="Z_D74B16BB_9BDF_4AEC_AA99_B864B9498389_.wvu.PrintArea" localSheetId="1" hidden="1">data!$A$411:$E$478</definedName>
    <definedName name="Z_D74B16BB_9BDF_4AEC_AA99_B864B9498389_.wvu.PrintArea" localSheetId="13" hidden="1">FS!$A$1:$D$153</definedName>
    <definedName name="Z_D74B16BB_9BDF_4AEC_AA99_B864B9498389_.wvu.PrintArea" localSheetId="8" hidden="1">INFO_PG1!$A$1:$G$40</definedName>
    <definedName name="Z_D74B16BB_9BDF_4AEC_AA99_B864B9498389_.wvu.PrintArea" localSheetId="9" hidden="1">INFO_PG2!$A$1:$G$33</definedName>
    <definedName name="Z_D74B16BB_9BDF_4AEC_AA99_B864B9498389_.wvu.PrintArea" localSheetId="6" hidden="1">'Prior Year'!$A$410:$E$477</definedName>
    <definedName name="Z_D74B16BB_9BDF_4AEC_AA99_B864B9498389_.wvu.PrintArea" localSheetId="10" hidden="1">SS2_3_5_6!$A$1:$C$40</definedName>
    <definedName name="Z_D74B16BB_9BDF_4AEC_AA99_B864B9498389_.wvu.PrintArea" localSheetId="11" hidden="1">'SS4'!$A$1:$F$32</definedName>
    <definedName name="Z_D74B16BB_9BDF_4AEC_AA99_B864B9498389_.wvu.PrintArea" localSheetId="12" hidden="1">'SS8'!$A$1:$D$34</definedName>
    <definedName name="Z_D74B16BB_9BDF_4AEC_AA99_B864B9498389_.wvu.PrintTitles" localSheetId="5" hidden="1">Changes!$1:$1</definedName>
    <definedName name="zMap_f17_GLC_COMPANY">#REF!</definedName>
    <definedName name="zMap_f22_GLC_SYSTEM">#REF!</definedName>
  </definedNames>
  <calcPr calcId="152511"/>
  <customWorkbookViews>
    <customWorkbookView name="Cheryl Halpin - Personal View" guid="{D74B16BB-9BDF-4AEC-AA99-B864B9498389}" mergeInterval="0" personalView="1" maximized="1" xWindow="-8" yWindow="-8" windowWidth="1936" windowHeight="1056" tabRatio="847" activeSheetId="32" showComments="commIndAndComment"/>
    <customWorkbookView name="David Stob - Personal View" guid="{78E778D5-69A8-4E35-B0F3-6D26A1845557}" mergeInterval="0" personalView="1" maximized="1" xWindow="-8" yWindow="-8" windowWidth="1936" windowHeight="1176" tabRatio="847" activeSheetId="1"/>
    <customWorkbookView name="Sara Suksdorf - Personal View" guid="{783D34AB-F88A-4C40-8B8F-D04647EC64BD}" mergeInterval="0" personalView="1" maximized="1" xWindow="-8" yWindow="-8" windowWidth="1296" windowHeight="1000" tabRatio="847" activeSheetId="3"/>
    <customWorkbookView name="Joel Boni - Personal View" guid="{D74738EB-3446-4A41-91B2-3626AA7FCC94}" mergeInterval="0" personalView="1" maximized="1" windowWidth="1920" windowHeight="795" tabRatio="847" activeSheetId="1"/>
    <customWorkbookView name="simpsoa - Personal View" guid="{37DA5E57-E52E-47A3-B98A-9CAA60A4BD45}" mergeInterval="0" personalView="1" maximized="1" xWindow="-8" yWindow="-8" windowWidth="1936" windowHeight="1056" tabRatio="847" activeSheetId="31"/>
  </customWorkbookViews>
</workbook>
</file>

<file path=xl/calcChain.xml><?xml version="1.0" encoding="utf-8"?>
<calcChain xmlns="http://schemas.openxmlformats.org/spreadsheetml/2006/main">
  <c r="A11" i="2" l="1"/>
  <c r="C91" i="3" l="1"/>
  <c r="M817" i="14" l="1"/>
  <c r="J817" i="14"/>
  <c r="X813" i="14"/>
  <c r="X815" i="14" s="1"/>
  <c r="W813" i="14"/>
  <c r="W815" i="14" s="1"/>
  <c r="V813" i="14"/>
  <c r="V815" i="14" s="1"/>
  <c r="U813" i="14"/>
  <c r="U815" i="14" s="1"/>
  <c r="A813" i="14"/>
  <c r="T812" i="14"/>
  <c r="S812" i="14"/>
  <c r="R812" i="14"/>
  <c r="Q812" i="14"/>
  <c r="P812" i="14"/>
  <c r="M812" i="14"/>
  <c r="L812" i="14"/>
  <c r="K812" i="14"/>
  <c r="I812" i="14"/>
  <c r="H812" i="14"/>
  <c r="G812" i="14"/>
  <c r="F812" i="14"/>
  <c r="D812" i="14"/>
  <c r="A812" i="14"/>
  <c r="T811" i="14"/>
  <c r="S811" i="14"/>
  <c r="Q811" i="14"/>
  <c r="P811" i="14"/>
  <c r="M811" i="14"/>
  <c r="L811" i="14"/>
  <c r="K811" i="14"/>
  <c r="I811" i="14"/>
  <c r="H811" i="14"/>
  <c r="G811" i="14"/>
  <c r="F811" i="14"/>
  <c r="D811" i="14"/>
  <c r="C811" i="14"/>
  <c r="A811" i="14"/>
  <c r="T810" i="14"/>
  <c r="S810" i="14"/>
  <c r="Q810" i="14"/>
  <c r="P810" i="14"/>
  <c r="M810" i="14"/>
  <c r="L810" i="14"/>
  <c r="K810" i="14"/>
  <c r="I810" i="14"/>
  <c r="H810" i="14"/>
  <c r="G810" i="14"/>
  <c r="F810" i="14"/>
  <c r="D810" i="14"/>
  <c r="A810" i="14"/>
  <c r="T809" i="14"/>
  <c r="S809" i="14"/>
  <c r="Q809" i="14"/>
  <c r="P809" i="14"/>
  <c r="M809" i="14"/>
  <c r="L809" i="14"/>
  <c r="K809" i="14"/>
  <c r="I809" i="14"/>
  <c r="H809" i="14"/>
  <c r="G809" i="14"/>
  <c r="F809" i="14"/>
  <c r="D809" i="14"/>
  <c r="A809" i="14"/>
  <c r="T808" i="14"/>
  <c r="S808" i="14"/>
  <c r="Q808" i="14"/>
  <c r="P808" i="14"/>
  <c r="M808" i="14"/>
  <c r="L808" i="14"/>
  <c r="K808" i="14"/>
  <c r="I808" i="14"/>
  <c r="H808" i="14"/>
  <c r="G808" i="14"/>
  <c r="F808" i="14"/>
  <c r="D808" i="14"/>
  <c r="A808" i="14"/>
  <c r="T807" i="14"/>
  <c r="S807" i="14"/>
  <c r="Q807" i="14"/>
  <c r="P807" i="14"/>
  <c r="M807" i="14"/>
  <c r="L807" i="14"/>
  <c r="K807" i="14"/>
  <c r="I807" i="14"/>
  <c r="H807" i="14"/>
  <c r="G807" i="14"/>
  <c r="F807" i="14"/>
  <c r="D807" i="14"/>
  <c r="A807" i="14"/>
  <c r="T806" i="14"/>
  <c r="S806" i="14"/>
  <c r="Q806" i="14"/>
  <c r="P806" i="14"/>
  <c r="M806" i="14"/>
  <c r="L806" i="14"/>
  <c r="K806" i="14"/>
  <c r="I806" i="14"/>
  <c r="H806" i="14"/>
  <c r="G806" i="14"/>
  <c r="F806" i="14"/>
  <c r="D806" i="14"/>
  <c r="A806" i="14"/>
  <c r="T805" i="14"/>
  <c r="S805" i="14"/>
  <c r="Q805" i="14"/>
  <c r="P805" i="14"/>
  <c r="M805" i="14"/>
  <c r="L805" i="14"/>
  <c r="K805" i="14"/>
  <c r="I805" i="14"/>
  <c r="H805" i="14"/>
  <c r="G805" i="14"/>
  <c r="F805" i="14"/>
  <c r="D805" i="14"/>
  <c r="A805" i="14"/>
  <c r="T804" i="14"/>
  <c r="S804" i="14"/>
  <c r="Q804" i="14"/>
  <c r="P804" i="14"/>
  <c r="M804" i="14"/>
  <c r="L804" i="14"/>
  <c r="K804" i="14"/>
  <c r="I804" i="14"/>
  <c r="H804" i="14"/>
  <c r="G804" i="14"/>
  <c r="F804" i="14"/>
  <c r="D804" i="14"/>
  <c r="C804" i="14"/>
  <c r="A804" i="14"/>
  <c r="T803" i="14"/>
  <c r="S803" i="14"/>
  <c r="Q803" i="14"/>
  <c r="P803" i="14"/>
  <c r="M803" i="14"/>
  <c r="L803" i="14"/>
  <c r="K803" i="14"/>
  <c r="I803" i="14"/>
  <c r="H803" i="14"/>
  <c r="G803" i="14"/>
  <c r="F803" i="14"/>
  <c r="D803" i="14"/>
  <c r="A803" i="14"/>
  <c r="T802" i="14"/>
  <c r="S802" i="14"/>
  <c r="Q802" i="14"/>
  <c r="P802" i="14"/>
  <c r="M802" i="14"/>
  <c r="L802" i="14"/>
  <c r="K802" i="14"/>
  <c r="I802" i="14"/>
  <c r="H802" i="14"/>
  <c r="G802" i="14"/>
  <c r="F802" i="14"/>
  <c r="D802" i="14"/>
  <c r="A802" i="14"/>
  <c r="T801" i="14"/>
  <c r="S801" i="14"/>
  <c r="R801" i="14"/>
  <c r="Q801" i="14"/>
  <c r="P801" i="14"/>
  <c r="M801" i="14"/>
  <c r="L801" i="14"/>
  <c r="K801" i="14"/>
  <c r="I801" i="14"/>
  <c r="H801" i="14"/>
  <c r="G801" i="14"/>
  <c r="F801" i="14"/>
  <c r="D801" i="14"/>
  <c r="A801" i="14"/>
  <c r="T800" i="14"/>
  <c r="S800" i="14"/>
  <c r="R800" i="14"/>
  <c r="Q800" i="14"/>
  <c r="P800" i="14"/>
  <c r="M800" i="14"/>
  <c r="L800" i="14"/>
  <c r="K800" i="14"/>
  <c r="I800" i="14"/>
  <c r="H800" i="14"/>
  <c r="G800" i="14"/>
  <c r="F800" i="14"/>
  <c r="D800" i="14"/>
  <c r="C800" i="14"/>
  <c r="A800" i="14"/>
  <c r="T799" i="14"/>
  <c r="S799" i="14"/>
  <c r="R799" i="14"/>
  <c r="Q799" i="14"/>
  <c r="P799" i="14"/>
  <c r="M799" i="14"/>
  <c r="L799" i="14"/>
  <c r="K799" i="14"/>
  <c r="I799" i="14"/>
  <c r="H799" i="14"/>
  <c r="G799" i="14"/>
  <c r="F799" i="14"/>
  <c r="D799" i="14"/>
  <c r="A799" i="14"/>
  <c r="T798" i="14"/>
  <c r="S798" i="14"/>
  <c r="R798" i="14"/>
  <c r="Q798" i="14"/>
  <c r="P798" i="14"/>
  <c r="M798" i="14"/>
  <c r="L798" i="14"/>
  <c r="K798" i="14"/>
  <c r="I798" i="14"/>
  <c r="H798" i="14"/>
  <c r="G798" i="14"/>
  <c r="F798" i="14"/>
  <c r="D798" i="14"/>
  <c r="A798" i="14"/>
  <c r="T797" i="14"/>
  <c r="S797" i="14"/>
  <c r="R797" i="14"/>
  <c r="Q797" i="14"/>
  <c r="P797" i="14"/>
  <c r="M797" i="14"/>
  <c r="L797" i="14"/>
  <c r="K797" i="14"/>
  <c r="I797" i="14"/>
  <c r="H797" i="14"/>
  <c r="G797" i="14"/>
  <c r="F797" i="14"/>
  <c r="D797" i="14"/>
  <c r="A797" i="14"/>
  <c r="T796" i="14"/>
  <c r="S796" i="14"/>
  <c r="Q796" i="14"/>
  <c r="P796" i="14"/>
  <c r="M796" i="14"/>
  <c r="L796" i="14"/>
  <c r="K796" i="14"/>
  <c r="I796" i="14"/>
  <c r="H796" i="14"/>
  <c r="G796" i="14"/>
  <c r="F796" i="14"/>
  <c r="D796" i="14"/>
  <c r="C796" i="14"/>
  <c r="A796" i="14"/>
  <c r="T795" i="14"/>
  <c r="S795" i="14"/>
  <c r="Q795" i="14"/>
  <c r="P795" i="14"/>
  <c r="M795" i="14"/>
  <c r="L795" i="14"/>
  <c r="K795" i="14"/>
  <c r="I795" i="14"/>
  <c r="H795" i="14"/>
  <c r="G795" i="14"/>
  <c r="F795" i="14"/>
  <c r="D795" i="14"/>
  <c r="A795" i="14"/>
  <c r="T794" i="14"/>
  <c r="S794" i="14"/>
  <c r="Q794" i="14"/>
  <c r="P794" i="14"/>
  <c r="M794" i="14"/>
  <c r="L794" i="14"/>
  <c r="K794" i="14"/>
  <c r="I794" i="14"/>
  <c r="H794" i="14"/>
  <c r="G794" i="14"/>
  <c r="F794" i="14"/>
  <c r="D794" i="14"/>
  <c r="A794" i="14"/>
  <c r="T793" i="14"/>
  <c r="S793" i="14"/>
  <c r="R793" i="14"/>
  <c r="Q793" i="14"/>
  <c r="P793" i="14"/>
  <c r="M793" i="14"/>
  <c r="L793" i="14"/>
  <c r="K793" i="14"/>
  <c r="I793" i="14"/>
  <c r="H793" i="14"/>
  <c r="G793" i="14"/>
  <c r="F793" i="14"/>
  <c r="D793" i="14"/>
  <c r="A793" i="14"/>
  <c r="T792" i="14"/>
  <c r="S792" i="14"/>
  <c r="Q792" i="14"/>
  <c r="P792" i="14"/>
  <c r="M792" i="14"/>
  <c r="L792" i="14"/>
  <c r="K792" i="14"/>
  <c r="I792" i="14"/>
  <c r="H792" i="14"/>
  <c r="G792" i="14"/>
  <c r="F792" i="14"/>
  <c r="D792" i="14"/>
  <c r="C792" i="14"/>
  <c r="A792" i="14"/>
  <c r="T791" i="14"/>
  <c r="S791" i="14"/>
  <c r="Q791" i="14"/>
  <c r="P791" i="14"/>
  <c r="M791" i="14"/>
  <c r="L791" i="14"/>
  <c r="K791" i="14"/>
  <c r="I791" i="14"/>
  <c r="H791" i="14"/>
  <c r="G791" i="14"/>
  <c r="F791" i="14"/>
  <c r="D791" i="14"/>
  <c r="A791" i="14"/>
  <c r="T790" i="14"/>
  <c r="S790" i="14"/>
  <c r="R790" i="14"/>
  <c r="Q790" i="14"/>
  <c r="P790" i="14"/>
  <c r="M790" i="14"/>
  <c r="L790" i="14"/>
  <c r="K790" i="14"/>
  <c r="I790" i="14"/>
  <c r="H790" i="14"/>
  <c r="G790" i="14"/>
  <c r="F790" i="14"/>
  <c r="D790" i="14"/>
  <c r="A790" i="14"/>
  <c r="T789" i="14"/>
  <c r="S789" i="14"/>
  <c r="R789" i="14"/>
  <c r="Q789" i="14"/>
  <c r="P789" i="14"/>
  <c r="M789" i="14"/>
  <c r="L789" i="14"/>
  <c r="K789" i="14"/>
  <c r="I789" i="14"/>
  <c r="H789" i="14"/>
  <c r="G789" i="14"/>
  <c r="F789" i="14"/>
  <c r="D789" i="14"/>
  <c r="A789" i="14"/>
  <c r="T788" i="14"/>
  <c r="S788" i="14"/>
  <c r="R788" i="14"/>
  <c r="Q788" i="14"/>
  <c r="P788" i="14"/>
  <c r="M788" i="14"/>
  <c r="L788" i="14"/>
  <c r="K788" i="14"/>
  <c r="I788" i="14"/>
  <c r="H788" i="14"/>
  <c r="G788" i="14"/>
  <c r="F788" i="14"/>
  <c r="D788" i="14"/>
  <c r="A788" i="14"/>
  <c r="T787" i="14"/>
  <c r="S787" i="14"/>
  <c r="R787" i="14"/>
  <c r="Q787" i="14"/>
  <c r="P787" i="14"/>
  <c r="M787" i="14"/>
  <c r="L787" i="14"/>
  <c r="K787" i="14"/>
  <c r="I787" i="14"/>
  <c r="H787" i="14"/>
  <c r="G787" i="14"/>
  <c r="F787" i="14"/>
  <c r="D787" i="14"/>
  <c r="A787" i="14"/>
  <c r="T786" i="14"/>
  <c r="S786" i="14"/>
  <c r="Q786" i="14"/>
  <c r="P786" i="14"/>
  <c r="M786" i="14"/>
  <c r="L786" i="14"/>
  <c r="K786" i="14"/>
  <c r="I786" i="14"/>
  <c r="H786" i="14"/>
  <c r="G786" i="14"/>
  <c r="F786" i="14"/>
  <c r="D786" i="14"/>
  <c r="A786" i="14"/>
  <c r="T785" i="14"/>
  <c r="S785" i="14"/>
  <c r="Q785" i="14"/>
  <c r="P785" i="14"/>
  <c r="M785" i="14"/>
  <c r="L785" i="14"/>
  <c r="K785" i="14"/>
  <c r="I785" i="14"/>
  <c r="H785" i="14"/>
  <c r="G785" i="14"/>
  <c r="F785" i="14"/>
  <c r="D785" i="14"/>
  <c r="C785" i="14"/>
  <c r="A785" i="14"/>
  <c r="T784" i="14"/>
  <c r="S784" i="14"/>
  <c r="Q784" i="14"/>
  <c r="P784" i="14"/>
  <c r="M784" i="14"/>
  <c r="L784" i="14"/>
  <c r="K784" i="14"/>
  <c r="I784" i="14"/>
  <c r="H784" i="14"/>
  <c r="G784" i="14"/>
  <c r="F784" i="14"/>
  <c r="D784" i="14"/>
  <c r="B784" i="14"/>
  <c r="A784" i="14"/>
  <c r="T783" i="14"/>
  <c r="S783" i="14"/>
  <c r="R783" i="14"/>
  <c r="Q783" i="14"/>
  <c r="P783" i="14"/>
  <c r="M783" i="14"/>
  <c r="L783" i="14"/>
  <c r="K783" i="14"/>
  <c r="I783" i="14"/>
  <c r="H783" i="14"/>
  <c r="G783" i="14"/>
  <c r="F783" i="14"/>
  <c r="D783" i="14"/>
  <c r="C783" i="14"/>
  <c r="B783" i="14"/>
  <c r="A783" i="14"/>
  <c r="T782" i="14"/>
  <c r="S782" i="14"/>
  <c r="R782" i="14"/>
  <c r="Q782" i="14"/>
  <c r="P782" i="14"/>
  <c r="M782" i="14"/>
  <c r="L782" i="14"/>
  <c r="K782" i="14"/>
  <c r="I782" i="14"/>
  <c r="H782" i="14"/>
  <c r="G782" i="14"/>
  <c r="F782" i="14"/>
  <c r="D782" i="14"/>
  <c r="B782" i="14"/>
  <c r="A782" i="14"/>
  <c r="T781" i="14"/>
  <c r="S781" i="14"/>
  <c r="R781" i="14"/>
  <c r="Q781" i="14"/>
  <c r="P781" i="14"/>
  <c r="M781" i="14"/>
  <c r="L781" i="14"/>
  <c r="K781" i="14"/>
  <c r="I781" i="14"/>
  <c r="H781" i="14"/>
  <c r="G781" i="14"/>
  <c r="F781" i="14"/>
  <c r="D781" i="14"/>
  <c r="C781" i="14"/>
  <c r="A781" i="14"/>
  <c r="T780" i="14"/>
  <c r="S780" i="14"/>
  <c r="Q780" i="14"/>
  <c r="P780" i="14"/>
  <c r="M780" i="14"/>
  <c r="L780" i="14"/>
  <c r="K780" i="14"/>
  <c r="I780" i="14"/>
  <c r="H780" i="14"/>
  <c r="G780" i="14"/>
  <c r="F780" i="14"/>
  <c r="D780" i="14"/>
  <c r="C780" i="14"/>
  <c r="A780" i="14"/>
  <c r="T779" i="14"/>
  <c r="Q779" i="14"/>
  <c r="P779" i="14"/>
  <c r="O779" i="14"/>
  <c r="M779" i="14"/>
  <c r="L779" i="14"/>
  <c r="K779" i="14"/>
  <c r="I779" i="14"/>
  <c r="H779" i="14"/>
  <c r="G779" i="14"/>
  <c r="F779" i="14"/>
  <c r="D779" i="14"/>
  <c r="C779" i="14"/>
  <c r="A779" i="14"/>
  <c r="T778" i="14"/>
  <c r="S778" i="14"/>
  <c r="Q778" i="14"/>
  <c r="P778" i="14"/>
  <c r="O778" i="14"/>
  <c r="M778" i="14"/>
  <c r="L778" i="14"/>
  <c r="K778" i="14"/>
  <c r="I778" i="14"/>
  <c r="H778" i="14"/>
  <c r="G778" i="14"/>
  <c r="F778" i="14"/>
  <c r="D778" i="14"/>
  <c r="C778" i="14"/>
  <c r="B778" i="14"/>
  <c r="A778" i="14"/>
  <c r="T777" i="14"/>
  <c r="S777" i="14"/>
  <c r="Q777" i="14"/>
  <c r="P777" i="14"/>
  <c r="O777" i="14"/>
  <c r="M777" i="14"/>
  <c r="L777" i="14"/>
  <c r="K777" i="14"/>
  <c r="I777" i="14"/>
  <c r="H777" i="14"/>
  <c r="G777" i="14"/>
  <c r="F777" i="14"/>
  <c r="D777" i="14"/>
  <c r="C777" i="14"/>
  <c r="B777" i="14"/>
  <c r="A777" i="14"/>
  <c r="T776" i="14"/>
  <c r="S776" i="14"/>
  <c r="Q776" i="14"/>
  <c r="P776" i="14"/>
  <c r="O776" i="14"/>
  <c r="M776" i="14"/>
  <c r="L776" i="14"/>
  <c r="K776" i="14"/>
  <c r="I776" i="14"/>
  <c r="H776" i="14"/>
  <c r="G776" i="14"/>
  <c r="F776" i="14"/>
  <c r="D776" i="14"/>
  <c r="C776" i="14"/>
  <c r="B776" i="14"/>
  <c r="A776" i="14"/>
  <c r="T775" i="14"/>
  <c r="S775" i="14"/>
  <c r="Q775" i="14"/>
  <c r="P775" i="14"/>
  <c r="O775" i="14"/>
  <c r="M775" i="14"/>
  <c r="L775" i="14"/>
  <c r="K775" i="14"/>
  <c r="I775" i="14"/>
  <c r="H775" i="14"/>
  <c r="G775" i="14"/>
  <c r="F775" i="14"/>
  <c r="D775" i="14"/>
  <c r="C775" i="14"/>
  <c r="B775" i="14"/>
  <c r="A775" i="14"/>
  <c r="T774" i="14"/>
  <c r="S774" i="14"/>
  <c r="Q774" i="14"/>
  <c r="P774" i="14"/>
  <c r="O774" i="14"/>
  <c r="M774" i="14"/>
  <c r="L774" i="14"/>
  <c r="K774" i="14"/>
  <c r="I774" i="14"/>
  <c r="H774" i="14"/>
  <c r="G774" i="14"/>
  <c r="F774" i="14"/>
  <c r="D774" i="14"/>
  <c r="C774" i="14"/>
  <c r="B774" i="14"/>
  <c r="A774" i="14"/>
  <c r="T773" i="14"/>
  <c r="S773" i="14"/>
  <c r="Q773" i="14"/>
  <c r="P773" i="14"/>
  <c r="O773" i="14"/>
  <c r="M773" i="14"/>
  <c r="L773" i="14"/>
  <c r="K773" i="14"/>
  <c r="I773" i="14"/>
  <c r="H773" i="14"/>
  <c r="G773" i="14"/>
  <c r="F773" i="14"/>
  <c r="D773" i="14"/>
  <c r="C773" i="14"/>
  <c r="B773" i="14"/>
  <c r="A773" i="14"/>
  <c r="T772" i="14"/>
  <c r="S772" i="14"/>
  <c r="Q772" i="14"/>
  <c r="P772" i="14"/>
  <c r="O772" i="14"/>
  <c r="M772" i="14"/>
  <c r="L772" i="14"/>
  <c r="K772" i="14"/>
  <c r="I772" i="14"/>
  <c r="H772" i="14"/>
  <c r="G772" i="14"/>
  <c r="F772" i="14"/>
  <c r="D772" i="14"/>
  <c r="C772" i="14"/>
  <c r="B772" i="14"/>
  <c r="A772" i="14"/>
  <c r="T771" i="14"/>
  <c r="S771" i="14"/>
  <c r="Q771" i="14"/>
  <c r="P771" i="14"/>
  <c r="O771" i="14"/>
  <c r="M771" i="14"/>
  <c r="L771" i="14"/>
  <c r="K771" i="14"/>
  <c r="I771" i="14"/>
  <c r="H771" i="14"/>
  <c r="G771" i="14"/>
  <c r="F771" i="14"/>
  <c r="D771" i="14"/>
  <c r="B771" i="14"/>
  <c r="A771" i="14"/>
  <c r="T770" i="14"/>
  <c r="S770" i="14"/>
  <c r="Q770" i="14"/>
  <c r="P770" i="14"/>
  <c r="O770" i="14"/>
  <c r="M770" i="14"/>
  <c r="L770" i="14"/>
  <c r="K770" i="14"/>
  <c r="I770" i="14"/>
  <c r="H770" i="14"/>
  <c r="G770" i="14"/>
  <c r="F770" i="14"/>
  <c r="D770" i="14"/>
  <c r="C770" i="14"/>
  <c r="B770" i="14"/>
  <c r="A770" i="14"/>
  <c r="T769" i="14"/>
  <c r="S769" i="14"/>
  <c r="Q769" i="14"/>
  <c r="P769" i="14"/>
  <c r="O769" i="14"/>
  <c r="M769" i="14"/>
  <c r="L769" i="14"/>
  <c r="K769" i="14"/>
  <c r="I769" i="14"/>
  <c r="H769" i="14"/>
  <c r="G769" i="14"/>
  <c r="F769" i="14"/>
  <c r="D769" i="14"/>
  <c r="B769" i="14"/>
  <c r="A769" i="14"/>
  <c r="T768" i="14"/>
  <c r="S768" i="14"/>
  <c r="Q768" i="14"/>
  <c r="P768" i="14"/>
  <c r="O768" i="14"/>
  <c r="M768" i="14"/>
  <c r="L768" i="14"/>
  <c r="K768" i="14"/>
  <c r="I768" i="14"/>
  <c r="H768" i="14"/>
  <c r="G768" i="14"/>
  <c r="F768" i="14"/>
  <c r="D768" i="14"/>
  <c r="B768" i="14"/>
  <c r="A768" i="14"/>
  <c r="T767" i="14"/>
  <c r="S767" i="14"/>
  <c r="Q767" i="14"/>
  <c r="P767" i="14"/>
  <c r="O767" i="14"/>
  <c r="M767" i="14"/>
  <c r="L767" i="14"/>
  <c r="K767" i="14"/>
  <c r="I767" i="14"/>
  <c r="H767" i="14"/>
  <c r="G767" i="14"/>
  <c r="F767" i="14"/>
  <c r="D767" i="14"/>
  <c r="C767" i="14"/>
  <c r="B767" i="14"/>
  <c r="A767" i="14"/>
  <c r="P766" i="14"/>
  <c r="O766" i="14"/>
  <c r="M766" i="14"/>
  <c r="L766" i="14"/>
  <c r="K766" i="14"/>
  <c r="I766" i="14"/>
  <c r="H766" i="14"/>
  <c r="G766" i="14"/>
  <c r="F766" i="14"/>
  <c r="D766" i="14"/>
  <c r="B766" i="14"/>
  <c r="A766" i="14"/>
  <c r="T765" i="14"/>
  <c r="S765" i="14"/>
  <c r="Q765" i="14"/>
  <c r="P765" i="14"/>
  <c r="O765" i="14"/>
  <c r="M765" i="14"/>
  <c r="L765" i="14"/>
  <c r="K765" i="14"/>
  <c r="I765" i="14"/>
  <c r="H765" i="14"/>
  <c r="G765" i="14"/>
  <c r="F765" i="14"/>
  <c r="D765" i="14"/>
  <c r="C765" i="14"/>
  <c r="B765" i="14"/>
  <c r="A765" i="14"/>
  <c r="T764" i="14"/>
  <c r="P764" i="14"/>
  <c r="O764" i="14"/>
  <c r="M764" i="14"/>
  <c r="L764" i="14"/>
  <c r="K764" i="14"/>
  <c r="I764" i="14"/>
  <c r="H764" i="14"/>
  <c r="G764" i="14"/>
  <c r="F764" i="14"/>
  <c r="D764" i="14"/>
  <c r="B764" i="14"/>
  <c r="A764" i="14"/>
  <c r="T763" i="14"/>
  <c r="S763" i="14"/>
  <c r="Q763" i="14"/>
  <c r="P763" i="14"/>
  <c r="O763" i="14"/>
  <c r="M763" i="14"/>
  <c r="L763" i="14"/>
  <c r="K763" i="14"/>
  <c r="I763" i="14"/>
  <c r="H763" i="14"/>
  <c r="G763" i="14"/>
  <c r="F763" i="14"/>
  <c r="D763" i="14"/>
  <c r="C763" i="14"/>
  <c r="B763" i="14"/>
  <c r="A763" i="14"/>
  <c r="T762" i="14"/>
  <c r="S762" i="14"/>
  <c r="Q762" i="14"/>
  <c r="P762" i="14"/>
  <c r="O762" i="14"/>
  <c r="M762" i="14"/>
  <c r="L762" i="14"/>
  <c r="K762" i="14"/>
  <c r="I762" i="14"/>
  <c r="H762" i="14"/>
  <c r="G762" i="14"/>
  <c r="F762" i="14"/>
  <c r="D762" i="14"/>
  <c r="B762" i="14"/>
  <c r="A762" i="14"/>
  <c r="T761" i="14"/>
  <c r="S761" i="14"/>
  <c r="Q761" i="14"/>
  <c r="P761" i="14"/>
  <c r="O761" i="14"/>
  <c r="M761" i="14"/>
  <c r="L761" i="14"/>
  <c r="K761" i="14"/>
  <c r="I761" i="14"/>
  <c r="H761" i="14"/>
  <c r="G761" i="14"/>
  <c r="F761" i="14"/>
  <c r="D761" i="14"/>
  <c r="B761" i="14"/>
  <c r="A761" i="14"/>
  <c r="T760" i="14"/>
  <c r="Q760" i="14"/>
  <c r="P760" i="14"/>
  <c r="O760" i="14"/>
  <c r="M760" i="14"/>
  <c r="L760" i="14"/>
  <c r="K760" i="14"/>
  <c r="I760" i="14"/>
  <c r="H760" i="14"/>
  <c r="G760" i="14"/>
  <c r="F760" i="14"/>
  <c r="D760" i="14"/>
  <c r="B760" i="14"/>
  <c r="A760" i="14"/>
  <c r="T759" i="14"/>
  <c r="S759" i="14"/>
  <c r="Q759" i="14"/>
  <c r="P759" i="14"/>
  <c r="O759" i="14"/>
  <c r="M759" i="14"/>
  <c r="L759" i="14"/>
  <c r="K759" i="14"/>
  <c r="I759" i="14"/>
  <c r="H759" i="14"/>
  <c r="G759" i="14"/>
  <c r="F759" i="14"/>
  <c r="D759" i="14"/>
  <c r="A759" i="14"/>
  <c r="T758" i="14"/>
  <c r="S758" i="14"/>
  <c r="Q758" i="14"/>
  <c r="P758" i="14"/>
  <c r="O758" i="14"/>
  <c r="M758" i="14"/>
  <c r="L758" i="14"/>
  <c r="K758" i="14"/>
  <c r="I758" i="14"/>
  <c r="H758" i="14"/>
  <c r="G758" i="14"/>
  <c r="F758" i="14"/>
  <c r="D758" i="14"/>
  <c r="B758" i="14"/>
  <c r="A758" i="14"/>
  <c r="T757" i="14"/>
  <c r="S757" i="14"/>
  <c r="Q757" i="14"/>
  <c r="P757" i="14"/>
  <c r="O757" i="14"/>
  <c r="M757" i="14"/>
  <c r="L757" i="14"/>
  <c r="K757" i="14"/>
  <c r="I757" i="14"/>
  <c r="H757" i="14"/>
  <c r="G757" i="14"/>
  <c r="F757" i="14"/>
  <c r="D757" i="14"/>
  <c r="C757" i="14"/>
  <c r="B757" i="14"/>
  <c r="A757" i="14"/>
  <c r="T756" i="14"/>
  <c r="Q756" i="14"/>
  <c r="P756" i="14"/>
  <c r="O756" i="14"/>
  <c r="M756" i="14"/>
  <c r="L756" i="14"/>
  <c r="K756" i="14"/>
  <c r="I756" i="14"/>
  <c r="H756" i="14"/>
  <c r="G756" i="14"/>
  <c r="F756" i="14"/>
  <c r="D756" i="14"/>
  <c r="B756" i="14"/>
  <c r="A756" i="14"/>
  <c r="T755" i="14"/>
  <c r="S755" i="14"/>
  <c r="Q755" i="14"/>
  <c r="P755" i="14"/>
  <c r="O755" i="14"/>
  <c r="M755" i="14"/>
  <c r="L755" i="14"/>
  <c r="K755" i="14"/>
  <c r="I755" i="14"/>
  <c r="H755" i="14"/>
  <c r="G755" i="14"/>
  <c r="F755" i="14"/>
  <c r="D755" i="14"/>
  <c r="B755" i="14"/>
  <c r="A755" i="14"/>
  <c r="T754" i="14"/>
  <c r="S754" i="14"/>
  <c r="Q754" i="14"/>
  <c r="P754" i="14"/>
  <c r="O754" i="14"/>
  <c r="M754" i="14"/>
  <c r="L754" i="14"/>
  <c r="K754" i="14"/>
  <c r="I754" i="14"/>
  <c r="H754" i="14"/>
  <c r="G754" i="14"/>
  <c r="F754" i="14"/>
  <c r="D754" i="14"/>
  <c r="B754" i="14"/>
  <c r="A754" i="14"/>
  <c r="S753" i="14"/>
  <c r="Q753" i="14"/>
  <c r="P753" i="14"/>
  <c r="O753" i="14"/>
  <c r="M753" i="14"/>
  <c r="L753" i="14"/>
  <c r="K753" i="14"/>
  <c r="I753" i="14"/>
  <c r="H753" i="14"/>
  <c r="G753" i="14"/>
  <c r="F753" i="14"/>
  <c r="D753" i="14"/>
  <c r="A753" i="14"/>
  <c r="T752" i="14"/>
  <c r="S752" i="14"/>
  <c r="Q752" i="14"/>
  <c r="P752" i="14"/>
  <c r="O752" i="14"/>
  <c r="M752" i="14"/>
  <c r="L752" i="14"/>
  <c r="K752" i="14"/>
  <c r="I752" i="14"/>
  <c r="H752" i="14"/>
  <c r="G752" i="14"/>
  <c r="F752" i="14"/>
  <c r="D752" i="14"/>
  <c r="B752" i="14"/>
  <c r="A752" i="14"/>
  <c r="T751" i="14"/>
  <c r="S751" i="14"/>
  <c r="Q751" i="14"/>
  <c r="P751" i="14"/>
  <c r="O751" i="14"/>
  <c r="M751" i="14"/>
  <c r="L751" i="14"/>
  <c r="K751" i="14"/>
  <c r="I751" i="14"/>
  <c r="H751" i="14"/>
  <c r="G751" i="14"/>
  <c r="F751" i="14"/>
  <c r="D751" i="14"/>
  <c r="A751" i="14"/>
  <c r="T750" i="14"/>
  <c r="S750" i="14"/>
  <c r="Q750" i="14"/>
  <c r="P750" i="14"/>
  <c r="O750" i="14"/>
  <c r="M750" i="14"/>
  <c r="L750" i="14"/>
  <c r="K750" i="14"/>
  <c r="I750" i="14"/>
  <c r="H750" i="14"/>
  <c r="G750" i="14"/>
  <c r="F750" i="14"/>
  <c r="A750" i="14"/>
  <c r="T749" i="14"/>
  <c r="S749" i="14"/>
  <c r="Q749" i="14"/>
  <c r="P749" i="14"/>
  <c r="O749" i="14"/>
  <c r="M749" i="14"/>
  <c r="L749" i="14"/>
  <c r="K749" i="14"/>
  <c r="I749" i="14"/>
  <c r="H749" i="14"/>
  <c r="G749" i="14"/>
  <c r="F749" i="14"/>
  <c r="D749" i="14"/>
  <c r="B749" i="14"/>
  <c r="A749" i="14"/>
  <c r="T748" i="14"/>
  <c r="S748" i="14"/>
  <c r="Q748" i="14"/>
  <c r="P748" i="14"/>
  <c r="O748" i="14"/>
  <c r="M748" i="14"/>
  <c r="L748" i="14"/>
  <c r="K748" i="14"/>
  <c r="I748" i="14"/>
  <c r="H748" i="14"/>
  <c r="G748" i="14"/>
  <c r="F748" i="14"/>
  <c r="D748" i="14"/>
  <c r="B748" i="14"/>
  <c r="A748" i="14"/>
  <c r="Q747" i="14"/>
  <c r="P747" i="14"/>
  <c r="O747" i="14"/>
  <c r="M747" i="14"/>
  <c r="L747" i="14"/>
  <c r="K747" i="14"/>
  <c r="I747" i="14"/>
  <c r="H747" i="14"/>
  <c r="G747" i="14"/>
  <c r="F747" i="14"/>
  <c r="D747" i="14"/>
  <c r="B747" i="14"/>
  <c r="A747" i="14"/>
  <c r="T746" i="14"/>
  <c r="P746" i="14"/>
  <c r="O746" i="14"/>
  <c r="M746" i="14"/>
  <c r="L746" i="14"/>
  <c r="K746" i="14"/>
  <c r="I746" i="14"/>
  <c r="H746" i="14"/>
  <c r="G746" i="14"/>
  <c r="F746" i="14"/>
  <c r="D746" i="14"/>
  <c r="B746" i="14"/>
  <c r="A746" i="14"/>
  <c r="T745" i="14"/>
  <c r="S745" i="14"/>
  <c r="Q745" i="14"/>
  <c r="P745" i="14"/>
  <c r="O745" i="14"/>
  <c r="M745" i="14"/>
  <c r="L745" i="14"/>
  <c r="K745" i="14"/>
  <c r="I745" i="14"/>
  <c r="H745" i="14"/>
  <c r="G745" i="14"/>
  <c r="F745" i="14"/>
  <c r="D745" i="14"/>
  <c r="C745" i="14"/>
  <c r="B745" i="14"/>
  <c r="A745" i="14"/>
  <c r="T744" i="14"/>
  <c r="S744" i="14"/>
  <c r="Q744" i="14"/>
  <c r="P744" i="14"/>
  <c r="O744" i="14"/>
  <c r="M744" i="14"/>
  <c r="L744" i="14"/>
  <c r="K744" i="14"/>
  <c r="I744" i="14"/>
  <c r="H744" i="14"/>
  <c r="G744" i="14"/>
  <c r="F744" i="14"/>
  <c r="D744" i="14"/>
  <c r="C744" i="14"/>
  <c r="B744" i="14"/>
  <c r="A744" i="14"/>
  <c r="T743" i="14"/>
  <c r="S743" i="14"/>
  <c r="Q743" i="14"/>
  <c r="P743" i="14"/>
  <c r="O743" i="14"/>
  <c r="M743" i="14"/>
  <c r="L743" i="14"/>
  <c r="K743" i="14"/>
  <c r="I743" i="14"/>
  <c r="H743" i="14"/>
  <c r="G743" i="14"/>
  <c r="F743" i="14"/>
  <c r="D743" i="14"/>
  <c r="C743" i="14"/>
  <c r="B743" i="14"/>
  <c r="A743" i="14"/>
  <c r="T742" i="14"/>
  <c r="S742" i="14"/>
  <c r="Q742" i="14"/>
  <c r="P742" i="14"/>
  <c r="O742" i="14"/>
  <c r="M742" i="14"/>
  <c r="L742" i="14"/>
  <c r="K742" i="14"/>
  <c r="I742" i="14"/>
  <c r="H742" i="14"/>
  <c r="G742" i="14"/>
  <c r="F742" i="14"/>
  <c r="D742" i="14"/>
  <c r="C742" i="14"/>
  <c r="B742" i="14"/>
  <c r="A742" i="14"/>
  <c r="T741" i="14"/>
  <c r="S741" i="14"/>
  <c r="Q741" i="14"/>
  <c r="P741" i="14"/>
  <c r="O741" i="14"/>
  <c r="M741" i="14"/>
  <c r="L741" i="14"/>
  <c r="K741" i="14"/>
  <c r="I741" i="14"/>
  <c r="H741" i="14"/>
  <c r="G741" i="14"/>
  <c r="F741" i="14"/>
  <c r="D741" i="14"/>
  <c r="C741" i="14"/>
  <c r="B741" i="14"/>
  <c r="A741" i="14"/>
  <c r="T740" i="14"/>
  <c r="S740" i="14"/>
  <c r="Q740" i="14"/>
  <c r="P740" i="14"/>
  <c r="O740" i="14"/>
  <c r="M740" i="14"/>
  <c r="L740" i="14"/>
  <c r="K740" i="14"/>
  <c r="I740" i="14"/>
  <c r="H740" i="14"/>
  <c r="G740" i="14"/>
  <c r="F740" i="14"/>
  <c r="D740" i="14"/>
  <c r="C740" i="14"/>
  <c r="B740" i="14"/>
  <c r="A740" i="14"/>
  <c r="T739" i="14"/>
  <c r="S739" i="14"/>
  <c r="Q739" i="14"/>
  <c r="P739" i="14"/>
  <c r="O739" i="14"/>
  <c r="M739" i="14"/>
  <c r="L739" i="14"/>
  <c r="K739" i="14"/>
  <c r="I739" i="14"/>
  <c r="H739" i="14"/>
  <c r="G739" i="14"/>
  <c r="F739" i="14"/>
  <c r="D739" i="14"/>
  <c r="C739" i="14"/>
  <c r="B739" i="14"/>
  <c r="A739" i="14"/>
  <c r="T738" i="14"/>
  <c r="S738" i="14"/>
  <c r="Q738" i="14"/>
  <c r="P738" i="14"/>
  <c r="O738" i="14"/>
  <c r="M738" i="14"/>
  <c r="L738" i="14"/>
  <c r="K738" i="14"/>
  <c r="I738" i="14"/>
  <c r="H738" i="14"/>
  <c r="G738" i="14"/>
  <c r="F738" i="14"/>
  <c r="D738" i="14"/>
  <c r="C738" i="14"/>
  <c r="B738" i="14"/>
  <c r="A738" i="14"/>
  <c r="T737" i="14"/>
  <c r="S737" i="14"/>
  <c r="Q737" i="14"/>
  <c r="P737" i="14"/>
  <c r="O737" i="14"/>
  <c r="M737" i="14"/>
  <c r="L737" i="14"/>
  <c r="K737" i="14"/>
  <c r="I737" i="14"/>
  <c r="H737" i="14"/>
  <c r="G737" i="14"/>
  <c r="F737" i="14"/>
  <c r="D737" i="14"/>
  <c r="C737" i="14"/>
  <c r="B737" i="14"/>
  <c r="A737" i="14"/>
  <c r="T736" i="14"/>
  <c r="P736" i="14"/>
  <c r="O736" i="14"/>
  <c r="M736" i="14"/>
  <c r="L736" i="14"/>
  <c r="K736" i="14"/>
  <c r="I736" i="14"/>
  <c r="H736" i="14"/>
  <c r="G736" i="14"/>
  <c r="F736" i="14"/>
  <c r="B736" i="14"/>
  <c r="A736" i="14"/>
  <c r="T735" i="14"/>
  <c r="P735" i="14"/>
  <c r="O735" i="14"/>
  <c r="M735" i="14"/>
  <c r="L735" i="14"/>
  <c r="K735" i="14"/>
  <c r="I735" i="14"/>
  <c r="H735" i="14"/>
  <c r="G735" i="14"/>
  <c r="F735" i="14"/>
  <c r="B735" i="14"/>
  <c r="A735" i="14"/>
  <c r="T734" i="14"/>
  <c r="P734" i="14"/>
  <c r="O734" i="14"/>
  <c r="M734" i="14"/>
  <c r="L734" i="14"/>
  <c r="K734" i="14"/>
  <c r="I734" i="14"/>
  <c r="H734" i="14"/>
  <c r="G734" i="14"/>
  <c r="F734" i="14"/>
  <c r="B734" i="14"/>
  <c r="A734" i="14"/>
  <c r="CF730" i="14"/>
  <c r="CE730" i="14"/>
  <c r="CD730" i="14"/>
  <c r="CC730" i="14"/>
  <c r="BW730" i="14"/>
  <c r="BP730" i="14"/>
  <c r="BO730" i="14"/>
  <c r="BN730" i="14"/>
  <c r="BF730" i="14"/>
  <c r="BE730" i="14"/>
  <c r="BB730" i="14"/>
  <c r="BA730" i="14"/>
  <c r="AZ730" i="14"/>
  <c r="AY730" i="14"/>
  <c r="AX730" i="14"/>
  <c r="AW730" i="14"/>
  <c r="AV730" i="14"/>
  <c r="AU730" i="14"/>
  <c r="AT730" i="14"/>
  <c r="AS730" i="14"/>
  <c r="AR730" i="14"/>
  <c r="AQ730" i="14"/>
  <c r="AP730" i="14"/>
  <c r="AO730" i="14"/>
  <c r="AN730" i="14"/>
  <c r="AM730" i="14"/>
  <c r="AL730" i="14"/>
  <c r="AK730" i="14"/>
  <c r="AI730" i="14"/>
  <c r="AH730" i="14"/>
  <c r="AG730" i="14"/>
  <c r="AF730" i="14"/>
  <c r="AE730" i="14"/>
  <c r="AD730" i="14"/>
  <c r="AA730" i="14"/>
  <c r="Z730" i="14"/>
  <c r="Y730" i="14"/>
  <c r="W730" i="14"/>
  <c r="V730" i="14"/>
  <c r="N730" i="14"/>
  <c r="M730" i="14"/>
  <c r="L730" i="14"/>
  <c r="K730" i="14"/>
  <c r="J730" i="14"/>
  <c r="I730" i="14"/>
  <c r="H730" i="14"/>
  <c r="G730" i="14"/>
  <c r="F730" i="14"/>
  <c r="E730" i="14"/>
  <c r="D730" i="14"/>
  <c r="C730" i="14"/>
  <c r="B730" i="14"/>
  <c r="A730" i="14"/>
  <c r="BR726" i="14"/>
  <c r="BQ726" i="14"/>
  <c r="BP726" i="14"/>
  <c r="BO726" i="14"/>
  <c r="BN726" i="14"/>
  <c r="BM726" i="14"/>
  <c r="BL726" i="14"/>
  <c r="BK726" i="14"/>
  <c r="BJ726" i="14"/>
  <c r="BI726" i="14"/>
  <c r="BH726" i="14"/>
  <c r="BG726" i="14"/>
  <c r="BF726" i="14"/>
  <c r="BE726" i="14"/>
  <c r="BD726" i="14"/>
  <c r="BC726" i="14"/>
  <c r="BB726" i="14"/>
  <c r="BA726" i="14"/>
  <c r="AZ726" i="14"/>
  <c r="AY726" i="14"/>
  <c r="AX726" i="14"/>
  <c r="AW726" i="14"/>
  <c r="AV726" i="14"/>
  <c r="AU726" i="14"/>
  <c r="AT726" i="14"/>
  <c r="AS726" i="14"/>
  <c r="AR726" i="14"/>
  <c r="AQ726" i="14"/>
  <c r="AP726" i="14"/>
  <c r="AO726" i="14"/>
  <c r="AN726" i="14"/>
  <c r="AM726" i="14"/>
  <c r="AL726" i="14"/>
  <c r="AK726" i="14"/>
  <c r="AJ726" i="14"/>
  <c r="AH726" i="14"/>
  <c r="AG726" i="14"/>
  <c r="AF726" i="14"/>
  <c r="AE726" i="14"/>
  <c r="AC726" i="14"/>
  <c r="AB726" i="14"/>
  <c r="AA726" i="14"/>
  <c r="Z726" i="14"/>
  <c r="X726" i="14"/>
  <c r="W726" i="14"/>
  <c r="V726" i="14"/>
  <c r="U726" i="14"/>
  <c r="S726" i="14"/>
  <c r="R726" i="14"/>
  <c r="Q726" i="14"/>
  <c r="P726" i="14"/>
  <c r="O726" i="14"/>
  <c r="N726" i="14"/>
  <c r="M726" i="14"/>
  <c r="L726" i="14"/>
  <c r="K726" i="14"/>
  <c r="J726" i="14"/>
  <c r="I726" i="14"/>
  <c r="H726" i="14"/>
  <c r="G726" i="14"/>
  <c r="F726" i="14"/>
  <c r="E726" i="14"/>
  <c r="D726" i="14"/>
  <c r="C726" i="14"/>
  <c r="B726" i="14"/>
  <c r="A726" i="14"/>
  <c r="CC722" i="14"/>
  <c r="CB722" i="14"/>
  <c r="CA722" i="14"/>
  <c r="BZ722" i="14"/>
  <c r="BY722" i="14"/>
  <c r="BX722" i="14"/>
  <c r="BW722" i="14"/>
  <c r="BV722" i="14"/>
  <c r="BU722" i="14"/>
  <c r="BT722" i="14"/>
  <c r="BS722" i="14"/>
  <c r="BR722" i="14"/>
  <c r="BQ722" i="14"/>
  <c r="BP722" i="14"/>
  <c r="BO722" i="14"/>
  <c r="BN722" i="14"/>
  <c r="BM722" i="14"/>
  <c r="BL722" i="14"/>
  <c r="BK722" i="14"/>
  <c r="BJ722" i="14"/>
  <c r="BI722" i="14"/>
  <c r="BH722" i="14"/>
  <c r="BG722" i="14"/>
  <c r="BF722" i="14"/>
  <c r="BE722" i="14"/>
  <c r="BD722" i="14"/>
  <c r="BC722" i="14"/>
  <c r="BB722" i="14"/>
  <c r="BA722" i="14"/>
  <c r="AZ722" i="14"/>
  <c r="AY722" i="14"/>
  <c r="AX722" i="14"/>
  <c r="AW722" i="14"/>
  <c r="AV722" i="14"/>
  <c r="AR722" i="14"/>
  <c r="AQ722" i="14"/>
  <c r="AP722" i="14"/>
  <c r="AO722" i="14"/>
  <c r="AN722" i="14"/>
  <c r="AM722" i="14"/>
  <c r="AL722" i="14"/>
  <c r="AK722" i="14"/>
  <c r="AJ722" i="14"/>
  <c r="AI722" i="14"/>
  <c r="AH722" i="14"/>
  <c r="AG722" i="14"/>
  <c r="AF722" i="14"/>
  <c r="AE722" i="14"/>
  <c r="AD722" i="14"/>
  <c r="AC722" i="14"/>
  <c r="AB722" i="14"/>
  <c r="AA722" i="14"/>
  <c r="Z722" i="14"/>
  <c r="Y722" i="14"/>
  <c r="X722" i="14"/>
  <c r="W722" i="14"/>
  <c r="V722" i="14"/>
  <c r="U722" i="14"/>
  <c r="T722" i="14"/>
  <c r="S722" i="14"/>
  <c r="R722" i="14"/>
  <c r="Q722" i="14"/>
  <c r="P722" i="14"/>
  <c r="O722" i="14"/>
  <c r="N722" i="14"/>
  <c r="M722" i="14"/>
  <c r="L722" i="14"/>
  <c r="K722" i="14"/>
  <c r="J722" i="14"/>
  <c r="I722" i="14"/>
  <c r="H722" i="14"/>
  <c r="G722" i="14"/>
  <c r="F722" i="14"/>
  <c r="E722" i="14"/>
  <c r="D722" i="14"/>
  <c r="C722" i="14"/>
  <c r="B722" i="14"/>
  <c r="A722" i="14"/>
  <c r="C615" i="14"/>
  <c r="E546" i="14"/>
  <c r="F545" i="14"/>
  <c r="E545" i="14"/>
  <c r="H545" i="14"/>
  <c r="E544" i="14"/>
  <c r="F544" i="14"/>
  <c r="H540" i="14"/>
  <c r="F540" i="14"/>
  <c r="E540" i="14"/>
  <c r="F539" i="14"/>
  <c r="E539" i="14"/>
  <c r="H539" i="14"/>
  <c r="H538" i="14"/>
  <c r="F538" i="14"/>
  <c r="E538" i="14"/>
  <c r="E537" i="14"/>
  <c r="F536" i="14"/>
  <c r="E536" i="14"/>
  <c r="H536" i="14"/>
  <c r="H535" i="14"/>
  <c r="E535" i="14"/>
  <c r="F535" i="14"/>
  <c r="H534" i="14"/>
  <c r="E534" i="14"/>
  <c r="F534" i="14"/>
  <c r="F533" i="14"/>
  <c r="E533" i="14"/>
  <c r="F532" i="14"/>
  <c r="E532" i="14"/>
  <c r="H532" i="14"/>
  <c r="F531" i="14"/>
  <c r="E531" i="14"/>
  <c r="E530" i="14"/>
  <c r="F530" i="14"/>
  <c r="E529" i="14"/>
  <c r="E528" i="14"/>
  <c r="E527" i="14"/>
  <c r="E526" i="14"/>
  <c r="F526" i="14"/>
  <c r="H525" i="14"/>
  <c r="F525" i="14"/>
  <c r="E525" i="14"/>
  <c r="F524" i="14"/>
  <c r="E524" i="14"/>
  <c r="E523" i="14"/>
  <c r="F523" i="14"/>
  <c r="E522" i="14"/>
  <c r="F522" i="14"/>
  <c r="E520" i="14"/>
  <c r="F520" i="14"/>
  <c r="F519" i="14"/>
  <c r="E519" i="14"/>
  <c r="F518" i="14"/>
  <c r="E518" i="14"/>
  <c r="E517" i="14"/>
  <c r="F517" i="14"/>
  <c r="E516" i="14"/>
  <c r="F516" i="14"/>
  <c r="F514" i="14"/>
  <c r="E514" i="14"/>
  <c r="F513" i="14"/>
  <c r="F512" i="14"/>
  <c r="E511" i="14"/>
  <c r="F510" i="14"/>
  <c r="E510" i="14"/>
  <c r="F509" i="14"/>
  <c r="E509" i="14"/>
  <c r="E508" i="14"/>
  <c r="H507" i="14"/>
  <c r="F507" i="14"/>
  <c r="E507" i="14"/>
  <c r="H506" i="14"/>
  <c r="E506" i="14"/>
  <c r="F506" i="14"/>
  <c r="F505" i="14"/>
  <c r="E505" i="14"/>
  <c r="H505" i="14"/>
  <c r="H504" i="14"/>
  <c r="F504" i="14"/>
  <c r="E504" i="14"/>
  <c r="E503" i="14"/>
  <c r="F502" i="14"/>
  <c r="E502" i="14"/>
  <c r="H502" i="14"/>
  <c r="H501" i="14"/>
  <c r="F501" i="14"/>
  <c r="E501" i="14"/>
  <c r="E500" i="14"/>
  <c r="F500" i="14"/>
  <c r="H499" i="14"/>
  <c r="F499" i="14"/>
  <c r="E499" i="14"/>
  <c r="E498" i="14"/>
  <c r="F498" i="14"/>
  <c r="F497" i="14"/>
  <c r="E497" i="14"/>
  <c r="E496" i="14"/>
  <c r="F496" i="14"/>
  <c r="G493" i="14"/>
  <c r="E493" i="14"/>
  <c r="C493" i="14"/>
  <c r="A493" i="14"/>
  <c r="B475" i="14"/>
  <c r="C459" i="14"/>
  <c r="B459" i="14"/>
  <c r="B458" i="14"/>
  <c r="B455" i="14"/>
  <c r="B454" i="14"/>
  <c r="B453" i="14"/>
  <c r="C447" i="14"/>
  <c r="C439" i="14"/>
  <c r="B439" i="14"/>
  <c r="C438" i="14"/>
  <c r="B433" i="14"/>
  <c r="D424" i="14"/>
  <c r="B424" i="14"/>
  <c r="B423" i="14"/>
  <c r="D421" i="14"/>
  <c r="B421" i="14"/>
  <c r="B420" i="14"/>
  <c r="D418" i="14"/>
  <c r="B418" i="14"/>
  <c r="B417" i="14"/>
  <c r="D415" i="14"/>
  <c r="B415" i="14"/>
  <c r="B414" i="14"/>
  <c r="A412" i="14"/>
  <c r="D372" i="14"/>
  <c r="D329" i="14"/>
  <c r="D328" i="14"/>
  <c r="D319" i="14"/>
  <c r="C307" i="14"/>
  <c r="AJ730" i="14" s="1"/>
  <c r="C286" i="14"/>
  <c r="AC730" i="14" s="1"/>
  <c r="C282" i="14"/>
  <c r="D265" i="14"/>
  <c r="D260" i="14"/>
  <c r="D240" i="14"/>
  <c r="B447" i="14" s="1"/>
  <c r="D236" i="14"/>
  <c r="B446" i="14" s="1"/>
  <c r="D229" i="14"/>
  <c r="C364" i="14" s="1"/>
  <c r="D221" i="14"/>
  <c r="CD722" i="14" s="1"/>
  <c r="D217" i="14"/>
  <c r="C217" i="14"/>
  <c r="D433" i="14" s="1"/>
  <c r="B217" i="14"/>
  <c r="E216" i="14"/>
  <c r="E215" i="14"/>
  <c r="E214" i="14"/>
  <c r="E213" i="14"/>
  <c r="E212" i="14"/>
  <c r="E211" i="14"/>
  <c r="E210" i="14"/>
  <c r="E209" i="14"/>
  <c r="D204" i="14"/>
  <c r="C204" i="14"/>
  <c r="B204" i="14"/>
  <c r="E203" i="14"/>
  <c r="E202" i="14"/>
  <c r="E201" i="14"/>
  <c r="E200" i="14"/>
  <c r="E199" i="14"/>
  <c r="E198" i="14"/>
  <c r="E197" i="14"/>
  <c r="E196" i="14"/>
  <c r="E195" i="14"/>
  <c r="D190" i="14"/>
  <c r="D186" i="14"/>
  <c r="D436" i="14" s="1"/>
  <c r="D181" i="14"/>
  <c r="C386" i="14" s="1"/>
  <c r="B435" i="14" s="1"/>
  <c r="D177" i="14"/>
  <c r="D434" i="14" s="1"/>
  <c r="D173" i="14"/>
  <c r="D428" i="14" s="1"/>
  <c r="E154" i="14"/>
  <c r="E153" i="14"/>
  <c r="E152" i="14"/>
  <c r="E151" i="14"/>
  <c r="C421" i="14" s="1"/>
  <c r="E150" i="14"/>
  <c r="C420" i="14" s="1"/>
  <c r="E148" i="14"/>
  <c r="E147" i="14"/>
  <c r="E146" i="14"/>
  <c r="E145" i="14"/>
  <c r="C418" i="14" s="1"/>
  <c r="E144" i="14"/>
  <c r="C417" i="14" s="1"/>
  <c r="E142" i="14"/>
  <c r="E141" i="14"/>
  <c r="E140" i="14"/>
  <c r="AD726" i="14"/>
  <c r="E138" i="14"/>
  <c r="C414" i="14" s="1"/>
  <c r="E127" i="14"/>
  <c r="AI80" i="14"/>
  <c r="T766" i="14" s="1"/>
  <c r="V80" i="14"/>
  <c r="T753" i="14" s="1"/>
  <c r="P80" i="14"/>
  <c r="T747" i="14" s="1"/>
  <c r="CH79" i="14"/>
  <c r="AV79" i="14" s="1"/>
  <c r="S779" i="14" s="1"/>
  <c r="CF79" i="14"/>
  <c r="AI77" i="14"/>
  <c r="Q766" i="14" s="1"/>
  <c r="AG77" i="14"/>
  <c r="Q764" i="14" s="1"/>
  <c r="O77" i="14"/>
  <c r="Q746" i="14" s="1"/>
  <c r="E77" i="14"/>
  <c r="Q736" i="14" s="1"/>
  <c r="D77" i="14"/>
  <c r="Q735" i="14" s="1"/>
  <c r="C77" i="14"/>
  <c r="Q734" i="14" s="1"/>
  <c r="CE76" i="14"/>
  <c r="BE59" i="14" s="1"/>
  <c r="CF76" i="14" s="1"/>
  <c r="AV75" i="14"/>
  <c r="N779" i="14" s="1"/>
  <c r="AU75" i="14"/>
  <c r="N778" i="14" s="1"/>
  <c r="AT75" i="14"/>
  <c r="N777" i="14" s="1"/>
  <c r="AS75" i="14"/>
  <c r="N776" i="14" s="1"/>
  <c r="AR75" i="14"/>
  <c r="N775" i="14" s="1"/>
  <c r="AQ75" i="14"/>
  <c r="N774" i="14" s="1"/>
  <c r="AP75" i="14"/>
  <c r="N773" i="14" s="1"/>
  <c r="AO75" i="14"/>
  <c r="N772" i="14" s="1"/>
  <c r="AN75" i="14"/>
  <c r="N771" i="14" s="1"/>
  <c r="AM75" i="14"/>
  <c r="N770" i="14" s="1"/>
  <c r="AL75" i="14"/>
  <c r="N769" i="14" s="1"/>
  <c r="AK75" i="14"/>
  <c r="N768" i="14" s="1"/>
  <c r="AJ75" i="14"/>
  <c r="N767" i="14" s="1"/>
  <c r="AI75" i="14"/>
  <c r="N766" i="14" s="1"/>
  <c r="AH75" i="14"/>
  <c r="N765" i="14" s="1"/>
  <c r="AG75" i="14"/>
  <c r="N764" i="14" s="1"/>
  <c r="AF75" i="14"/>
  <c r="N763" i="14" s="1"/>
  <c r="AE75" i="14"/>
  <c r="N762" i="14" s="1"/>
  <c r="AD75" i="14"/>
  <c r="N761" i="14" s="1"/>
  <c r="AC75" i="14"/>
  <c r="N760" i="14" s="1"/>
  <c r="AB75" i="14"/>
  <c r="N759" i="14" s="1"/>
  <c r="AA75" i="14"/>
  <c r="N758" i="14" s="1"/>
  <c r="Z75" i="14"/>
  <c r="N757" i="14" s="1"/>
  <c r="Y75" i="14"/>
  <c r="N756" i="14" s="1"/>
  <c r="X75" i="14"/>
  <c r="N755" i="14" s="1"/>
  <c r="W75" i="14"/>
  <c r="N754" i="14" s="1"/>
  <c r="V75" i="14"/>
  <c r="N753" i="14" s="1"/>
  <c r="U75" i="14"/>
  <c r="N752" i="14" s="1"/>
  <c r="T75" i="14"/>
  <c r="N751" i="14" s="1"/>
  <c r="S75" i="14"/>
  <c r="N750" i="14" s="1"/>
  <c r="R75" i="14"/>
  <c r="N749" i="14" s="1"/>
  <c r="Q75" i="14"/>
  <c r="N748" i="14" s="1"/>
  <c r="P75" i="14"/>
  <c r="N747" i="14" s="1"/>
  <c r="O75" i="14"/>
  <c r="N746" i="14" s="1"/>
  <c r="N75" i="14"/>
  <c r="N745" i="14" s="1"/>
  <c r="M75" i="14"/>
  <c r="N744" i="14" s="1"/>
  <c r="L75" i="14"/>
  <c r="N743" i="14" s="1"/>
  <c r="K75" i="14"/>
  <c r="N742" i="14" s="1"/>
  <c r="J75" i="14"/>
  <c r="N741" i="14" s="1"/>
  <c r="I75" i="14"/>
  <c r="N740" i="14" s="1"/>
  <c r="H75" i="14"/>
  <c r="N739" i="14" s="1"/>
  <c r="G75" i="14"/>
  <c r="N738" i="14" s="1"/>
  <c r="F75" i="14"/>
  <c r="N737" i="14" s="1"/>
  <c r="E75" i="14"/>
  <c r="N736" i="14" s="1"/>
  <c r="D75" i="14"/>
  <c r="N735" i="14" s="1"/>
  <c r="C75" i="14"/>
  <c r="N734" i="14" s="1"/>
  <c r="CE74" i="14"/>
  <c r="C360" i="14" s="1"/>
  <c r="CE73" i="14"/>
  <c r="O816" i="14" s="1"/>
  <c r="CD71" i="14"/>
  <c r="C575" i="14" s="1"/>
  <c r="CE70" i="14"/>
  <c r="CE69" i="14"/>
  <c r="L816" i="14" s="1"/>
  <c r="CE68" i="14"/>
  <c r="K816" i="14" s="1"/>
  <c r="CE66" i="14"/>
  <c r="I816" i="14" s="1"/>
  <c r="CE65" i="14"/>
  <c r="H816" i="14" s="1"/>
  <c r="CE64" i="14"/>
  <c r="C381" i="14" s="1"/>
  <c r="CE63" i="14"/>
  <c r="S61" i="14"/>
  <c r="D750" i="14" s="1"/>
  <c r="E61" i="14"/>
  <c r="D61" i="14"/>
  <c r="D735" i="14" s="1"/>
  <c r="C61" i="14"/>
  <c r="D734" i="14" s="1"/>
  <c r="CC60" i="14"/>
  <c r="C812" i="14" s="1"/>
  <c r="CA60" i="14"/>
  <c r="C810" i="14" s="1"/>
  <c r="BZ60" i="14"/>
  <c r="C809" i="14" s="1"/>
  <c r="BY60" i="14"/>
  <c r="C808" i="14" s="1"/>
  <c r="BX60" i="14"/>
  <c r="C807" i="14" s="1"/>
  <c r="BW60" i="14"/>
  <c r="C806" i="14" s="1"/>
  <c r="BV60" i="14"/>
  <c r="C805" i="14" s="1"/>
  <c r="BT60" i="14"/>
  <c r="C803" i="14" s="1"/>
  <c r="BS60" i="14"/>
  <c r="C802" i="14" s="1"/>
  <c r="BR60" i="14"/>
  <c r="C801" i="14" s="1"/>
  <c r="BP60" i="14"/>
  <c r="C799" i="14" s="1"/>
  <c r="BO60" i="14"/>
  <c r="C798" i="14" s="1"/>
  <c r="BN60" i="14"/>
  <c r="C797" i="14" s="1"/>
  <c r="BL60" i="14"/>
  <c r="C795" i="14" s="1"/>
  <c r="BK60" i="14"/>
  <c r="C794" i="14" s="1"/>
  <c r="BJ60" i="14"/>
  <c r="C793" i="14" s="1"/>
  <c r="BH60" i="14"/>
  <c r="C791" i="14" s="1"/>
  <c r="BG60" i="14"/>
  <c r="C790" i="14" s="1"/>
  <c r="BF60" i="14"/>
  <c r="C789" i="14" s="1"/>
  <c r="BE60" i="14"/>
  <c r="C788" i="14" s="1"/>
  <c r="BD60" i="14"/>
  <c r="C787" i="14" s="1"/>
  <c r="BC60" i="14"/>
  <c r="C786" i="14" s="1"/>
  <c r="BA60" i="14"/>
  <c r="C784" i="14" s="1"/>
  <c r="AY60" i="14"/>
  <c r="C782" i="14" s="1"/>
  <c r="AN60" i="14"/>
  <c r="C771" i="14" s="1"/>
  <c r="AL60" i="14"/>
  <c r="C769" i="14" s="1"/>
  <c r="AK60" i="14"/>
  <c r="C768" i="14" s="1"/>
  <c r="AI60" i="14"/>
  <c r="C766" i="14" s="1"/>
  <c r="AG60" i="14"/>
  <c r="C764" i="14" s="1"/>
  <c r="AE60" i="14"/>
  <c r="C762" i="14" s="1"/>
  <c r="AD60" i="14"/>
  <c r="C761" i="14" s="1"/>
  <c r="AC60" i="14"/>
  <c r="C760" i="14" s="1"/>
  <c r="AB60" i="14"/>
  <c r="C759" i="14" s="1"/>
  <c r="AA60" i="14"/>
  <c r="C758" i="14" s="1"/>
  <c r="Y60" i="14"/>
  <c r="C756" i="14" s="1"/>
  <c r="X60" i="14"/>
  <c r="C755" i="14" s="1"/>
  <c r="W60" i="14"/>
  <c r="C754" i="14" s="1"/>
  <c r="V60" i="14"/>
  <c r="C753" i="14" s="1"/>
  <c r="U60" i="14"/>
  <c r="C752" i="14" s="1"/>
  <c r="T60" i="14"/>
  <c r="C751" i="14" s="1"/>
  <c r="S60" i="14"/>
  <c r="C750" i="14" s="1"/>
  <c r="R60" i="14"/>
  <c r="C749" i="14" s="1"/>
  <c r="Q60" i="14"/>
  <c r="C748" i="14" s="1"/>
  <c r="P60" i="14"/>
  <c r="C747" i="14" s="1"/>
  <c r="O60" i="14"/>
  <c r="C746" i="14" s="1"/>
  <c r="E60" i="14"/>
  <c r="C736" i="14" s="1"/>
  <c r="D60" i="14"/>
  <c r="C735" i="14" s="1"/>
  <c r="C60" i="14"/>
  <c r="C734" i="14" s="1"/>
  <c r="V59" i="14"/>
  <c r="B53" i="14"/>
  <c r="CE51" i="14"/>
  <c r="B49" i="14"/>
  <c r="CE47" i="14"/>
  <c r="D330" i="14" l="1"/>
  <c r="C470" i="14"/>
  <c r="C79" i="14"/>
  <c r="S734" i="14" s="1"/>
  <c r="C267" i="14"/>
  <c r="O730" i="14" s="1"/>
  <c r="C271" i="14"/>
  <c r="S730" i="14" s="1"/>
  <c r="C475" i="14"/>
  <c r="C268" i="14"/>
  <c r="P730" i="14" s="1"/>
  <c r="C464" i="14"/>
  <c r="C270" i="14"/>
  <c r="R730" i="14" s="1"/>
  <c r="C474" i="14"/>
  <c r="D290" i="14"/>
  <c r="C472" i="14"/>
  <c r="F815" i="14"/>
  <c r="P815" i="14"/>
  <c r="C269" i="14"/>
  <c r="B470" i="14" s="1"/>
  <c r="CE77" i="14"/>
  <c r="CF83" i="14" s="1"/>
  <c r="P79" i="14"/>
  <c r="S747" i="14" s="1"/>
  <c r="C473" i="14"/>
  <c r="C431" i="14"/>
  <c r="D438" i="14"/>
  <c r="B445" i="14"/>
  <c r="C463" i="14"/>
  <c r="C471" i="14"/>
  <c r="D79" i="14"/>
  <c r="S735" i="14" s="1"/>
  <c r="AI79" i="14"/>
  <c r="S766" i="14" s="1"/>
  <c r="D463" i="14"/>
  <c r="D242" i="14"/>
  <c r="B448" i="14" s="1"/>
  <c r="C273" i="14"/>
  <c r="U730" i="14" s="1"/>
  <c r="C385" i="14"/>
  <c r="K817" i="14" s="1"/>
  <c r="C469" i="14"/>
  <c r="AG79" i="14"/>
  <c r="S764" i="14" s="1"/>
  <c r="E79" i="14"/>
  <c r="S736" i="14" s="1"/>
  <c r="D464" i="14"/>
  <c r="E217" i="14"/>
  <c r="D314" i="14"/>
  <c r="D339" i="14" s="1"/>
  <c r="C482" i="14" s="1"/>
  <c r="C365" i="14"/>
  <c r="BM730" i="14" s="1"/>
  <c r="C387" i="14"/>
  <c r="BZ730" i="14" s="1"/>
  <c r="B444" i="14"/>
  <c r="B471" i="14"/>
  <c r="BI52" i="14"/>
  <c r="BI67" i="14" s="1"/>
  <c r="J792" i="14" s="1"/>
  <c r="AS52" i="14"/>
  <c r="AS67" i="14" s="1"/>
  <c r="J776" i="14" s="1"/>
  <c r="AC52" i="14"/>
  <c r="AC67" i="14" s="1"/>
  <c r="J760" i="14" s="1"/>
  <c r="M52" i="14"/>
  <c r="M67" i="14" s="1"/>
  <c r="J744" i="14" s="1"/>
  <c r="BP52" i="14"/>
  <c r="BP67" i="14" s="1"/>
  <c r="J799" i="14" s="1"/>
  <c r="BH52" i="14"/>
  <c r="BH67" i="14" s="1"/>
  <c r="J791" i="14" s="1"/>
  <c r="AJ52" i="14"/>
  <c r="AJ67" i="14" s="1"/>
  <c r="J767" i="14" s="1"/>
  <c r="T52" i="14"/>
  <c r="T67" i="14" s="1"/>
  <c r="J751" i="14" s="1"/>
  <c r="AA52" i="14"/>
  <c r="AA67" i="14" s="1"/>
  <c r="J758" i="14" s="1"/>
  <c r="AU52" i="14"/>
  <c r="AU67" i="14" s="1"/>
  <c r="J778" i="14" s="1"/>
  <c r="G52" i="14"/>
  <c r="G67" i="14" s="1"/>
  <c r="J738" i="14" s="1"/>
  <c r="AZ52" i="14"/>
  <c r="AZ67" i="14" s="1"/>
  <c r="J783" i="14" s="1"/>
  <c r="D52" i="14"/>
  <c r="D67" i="14" s="1"/>
  <c r="J735" i="14" s="1"/>
  <c r="AY52" i="14"/>
  <c r="AY67" i="14" s="1"/>
  <c r="J782" i="14" s="1"/>
  <c r="K52" i="14"/>
  <c r="K67" i="14" s="1"/>
  <c r="J742" i="14" s="1"/>
  <c r="CA52" i="14"/>
  <c r="CA67" i="14" s="1"/>
  <c r="J810" i="14" s="1"/>
  <c r="O52" i="14"/>
  <c r="O67" i="14" s="1"/>
  <c r="J746" i="14" s="1"/>
  <c r="BW52" i="14"/>
  <c r="BW67" i="14" s="1"/>
  <c r="J806" i="14" s="1"/>
  <c r="BO52" i="14"/>
  <c r="BO67" i="14" s="1"/>
  <c r="J798" i="14" s="1"/>
  <c r="AQ52" i="14"/>
  <c r="AQ67" i="14" s="1"/>
  <c r="J774" i="14" s="1"/>
  <c r="C52" i="14"/>
  <c r="BK52" i="14"/>
  <c r="BK67" i="14" s="1"/>
  <c r="J794" i="14" s="1"/>
  <c r="AE52" i="14"/>
  <c r="AE67" i="14" s="1"/>
  <c r="J762" i="14" s="1"/>
  <c r="BV52" i="14"/>
  <c r="BV67" i="14" s="1"/>
  <c r="J805" i="14" s="1"/>
  <c r="BN52" i="14"/>
  <c r="BN67" i="14" s="1"/>
  <c r="J797" i="14" s="1"/>
  <c r="BF52" i="14"/>
  <c r="BF67" i="14" s="1"/>
  <c r="J789" i="14" s="1"/>
  <c r="AX52" i="14"/>
  <c r="AX67" i="14" s="1"/>
  <c r="J781" i="14" s="1"/>
  <c r="AP52" i="14"/>
  <c r="AP67" i="14" s="1"/>
  <c r="J773" i="14" s="1"/>
  <c r="AH52" i="14"/>
  <c r="AH67" i="14" s="1"/>
  <c r="J765" i="14" s="1"/>
  <c r="Z52" i="14"/>
  <c r="Z67" i="14" s="1"/>
  <c r="J757" i="14" s="1"/>
  <c r="R52" i="14"/>
  <c r="R67" i="14" s="1"/>
  <c r="J749" i="14" s="1"/>
  <c r="J52" i="14"/>
  <c r="J67" i="14" s="1"/>
  <c r="J741" i="14" s="1"/>
  <c r="CC52" i="14"/>
  <c r="CC67" i="14" s="1"/>
  <c r="J812" i="14" s="1"/>
  <c r="BU52" i="14"/>
  <c r="BU67" i="14" s="1"/>
  <c r="J804" i="14" s="1"/>
  <c r="BM52" i="14"/>
  <c r="BM67" i="14" s="1"/>
  <c r="J796" i="14" s="1"/>
  <c r="BE52" i="14"/>
  <c r="BE67" i="14" s="1"/>
  <c r="J788" i="14" s="1"/>
  <c r="AO52" i="14"/>
  <c r="AO67" i="14" s="1"/>
  <c r="J772" i="14" s="1"/>
  <c r="AG52" i="14"/>
  <c r="AG67" i="14" s="1"/>
  <c r="J764" i="14" s="1"/>
  <c r="Y52" i="14"/>
  <c r="Y67" i="14" s="1"/>
  <c r="J756" i="14" s="1"/>
  <c r="I52" i="14"/>
  <c r="I67" i="14" s="1"/>
  <c r="J740" i="14" s="1"/>
  <c r="BC52" i="14"/>
  <c r="BC67" i="14" s="1"/>
  <c r="J786" i="14" s="1"/>
  <c r="W52" i="14"/>
  <c r="W67" i="14" s="1"/>
  <c r="J754" i="14" s="1"/>
  <c r="AW52" i="14"/>
  <c r="AW67" i="14" s="1"/>
  <c r="J780" i="14" s="1"/>
  <c r="Q52" i="14"/>
  <c r="Q67" i="14" s="1"/>
  <c r="J748" i="14" s="1"/>
  <c r="CB52" i="14"/>
  <c r="CB67" i="14" s="1"/>
  <c r="J811" i="14" s="1"/>
  <c r="BT52" i="14"/>
  <c r="BT67" i="14" s="1"/>
  <c r="J803" i="14" s="1"/>
  <c r="BL52" i="14"/>
  <c r="BL67" i="14" s="1"/>
  <c r="J795" i="14" s="1"/>
  <c r="BD52" i="14"/>
  <c r="BD67" i="14" s="1"/>
  <c r="J787" i="14" s="1"/>
  <c r="AV52" i="14"/>
  <c r="AV67" i="14" s="1"/>
  <c r="J779" i="14" s="1"/>
  <c r="AN52" i="14"/>
  <c r="AN67" i="14" s="1"/>
  <c r="J771" i="14" s="1"/>
  <c r="AF52" i="14"/>
  <c r="AF67" i="14" s="1"/>
  <c r="J763" i="14" s="1"/>
  <c r="X52" i="14"/>
  <c r="X67" i="14" s="1"/>
  <c r="J755" i="14" s="1"/>
  <c r="P52" i="14"/>
  <c r="P67" i="14" s="1"/>
  <c r="J747" i="14" s="1"/>
  <c r="H52" i="14"/>
  <c r="H67" i="14" s="1"/>
  <c r="J739" i="14" s="1"/>
  <c r="BZ52" i="14"/>
  <c r="BZ67" i="14" s="1"/>
  <c r="J809" i="14" s="1"/>
  <c r="BR52" i="14"/>
  <c r="BR67" i="14" s="1"/>
  <c r="J801" i="14" s="1"/>
  <c r="BJ52" i="14"/>
  <c r="BJ67" i="14" s="1"/>
  <c r="J793" i="14" s="1"/>
  <c r="BB52" i="14"/>
  <c r="BB67" i="14" s="1"/>
  <c r="J785" i="14" s="1"/>
  <c r="AT52" i="14"/>
  <c r="AT67" i="14" s="1"/>
  <c r="J777" i="14" s="1"/>
  <c r="AL52" i="14"/>
  <c r="AL67" i="14" s="1"/>
  <c r="J769" i="14" s="1"/>
  <c r="AD52" i="14"/>
  <c r="AD67" i="14" s="1"/>
  <c r="J761" i="14" s="1"/>
  <c r="V52" i="14"/>
  <c r="V67" i="14" s="1"/>
  <c r="J753" i="14" s="1"/>
  <c r="N52" i="14"/>
  <c r="N67" i="14" s="1"/>
  <c r="J745" i="14" s="1"/>
  <c r="F52" i="14"/>
  <c r="F67" i="14" s="1"/>
  <c r="J737" i="14" s="1"/>
  <c r="BY52" i="14"/>
  <c r="BY67" i="14" s="1"/>
  <c r="J808" i="14" s="1"/>
  <c r="BQ52" i="14"/>
  <c r="BQ67" i="14" s="1"/>
  <c r="J800" i="14" s="1"/>
  <c r="BA52" i="14"/>
  <c r="BA67" i="14" s="1"/>
  <c r="J784" i="14" s="1"/>
  <c r="AK52" i="14"/>
  <c r="AK67" i="14" s="1"/>
  <c r="J768" i="14" s="1"/>
  <c r="U52" i="14"/>
  <c r="U67" i="14" s="1"/>
  <c r="J752" i="14" s="1"/>
  <c r="E52" i="14"/>
  <c r="E67" i="14" s="1"/>
  <c r="J736" i="14" s="1"/>
  <c r="BX52" i="14"/>
  <c r="BX67" i="14" s="1"/>
  <c r="J807" i="14" s="1"/>
  <c r="AR52" i="14"/>
  <c r="AR67" i="14" s="1"/>
  <c r="J775" i="14" s="1"/>
  <c r="AB52" i="14"/>
  <c r="AB67" i="14" s="1"/>
  <c r="J759" i="14" s="1"/>
  <c r="L52" i="14"/>
  <c r="L67" i="14" s="1"/>
  <c r="J743" i="14" s="1"/>
  <c r="BG52" i="14"/>
  <c r="BG67" i="14" s="1"/>
  <c r="J790" i="14" s="1"/>
  <c r="AI52" i="14"/>
  <c r="AI67" i="14" s="1"/>
  <c r="J766" i="14" s="1"/>
  <c r="S52" i="14"/>
  <c r="S67" i="14" s="1"/>
  <c r="J750" i="14" s="1"/>
  <c r="BS52" i="14"/>
  <c r="BS67" i="14" s="1"/>
  <c r="J802" i="14" s="1"/>
  <c r="AM52" i="14"/>
  <c r="AM67" i="14" s="1"/>
  <c r="J770" i="14" s="1"/>
  <c r="C276" i="14"/>
  <c r="C478" i="14"/>
  <c r="CE61" i="14"/>
  <c r="F816" i="14"/>
  <c r="C380" i="14"/>
  <c r="C429" i="14"/>
  <c r="C815" i="14"/>
  <c r="CE60" i="14"/>
  <c r="CE75" i="14"/>
  <c r="CE80" i="14"/>
  <c r="D437" i="14"/>
  <c r="C388" i="14"/>
  <c r="C432" i="14"/>
  <c r="H500" i="14"/>
  <c r="G817" i="14"/>
  <c r="BT730" i="14"/>
  <c r="F511" i="14"/>
  <c r="N815" i="14"/>
  <c r="B469" i="14"/>
  <c r="C445" i="14"/>
  <c r="BL730" i="14"/>
  <c r="C272" i="14"/>
  <c r="C359" i="14"/>
  <c r="C382" i="14"/>
  <c r="F528" i="14"/>
  <c r="BK730" i="14"/>
  <c r="B464" i="14"/>
  <c r="C468" i="14"/>
  <c r="E204" i="14"/>
  <c r="C476" i="14" s="1"/>
  <c r="D736" i="14"/>
  <c r="D815" i="14" s="1"/>
  <c r="C383" i="14"/>
  <c r="B472" i="14"/>
  <c r="M816" i="14"/>
  <c r="C458" i="14"/>
  <c r="AC79" i="14"/>
  <c r="S760" i="14" s="1"/>
  <c r="Y79" i="14"/>
  <c r="S756" i="14" s="1"/>
  <c r="O79" i="14"/>
  <c r="S746" i="14" s="1"/>
  <c r="Y726" i="14"/>
  <c r="BX730" i="14"/>
  <c r="C440" i="14"/>
  <c r="F503" i="14"/>
  <c r="H503" i="14"/>
  <c r="B430" i="14"/>
  <c r="D435" i="14"/>
  <c r="H529" i="14"/>
  <c r="F529" i="14"/>
  <c r="AB730" i="14"/>
  <c r="D283" i="14"/>
  <c r="B753" i="14"/>
  <c r="E515" i="14"/>
  <c r="BY730" i="14"/>
  <c r="B788" i="14"/>
  <c r="E550" i="14"/>
  <c r="G816" i="14"/>
  <c r="C430" i="14"/>
  <c r="F612" i="14"/>
  <c r="F521" i="14"/>
  <c r="F527" i="14"/>
  <c r="H527" i="14"/>
  <c r="P816" i="14"/>
  <c r="D612" i="14"/>
  <c r="F550" i="14"/>
  <c r="CG76" i="14"/>
  <c r="C363" i="14"/>
  <c r="F515" i="14"/>
  <c r="H537" i="14"/>
  <c r="F537" i="14"/>
  <c r="Q815" i="14"/>
  <c r="C434" i="14"/>
  <c r="M815" i="14"/>
  <c r="F508" i="14"/>
  <c r="F546" i="14"/>
  <c r="H815" i="14"/>
  <c r="K815" i="14"/>
  <c r="L815" i="14"/>
  <c r="O815" i="14"/>
  <c r="G815" i="14"/>
  <c r="T815" i="14"/>
  <c r="I815" i="14"/>
  <c r="Q730" i="14" l="1"/>
  <c r="D465" i="14"/>
  <c r="Q816" i="14"/>
  <c r="B474" i="14"/>
  <c r="CF77" i="14"/>
  <c r="D275" i="14"/>
  <c r="B476" i="14" s="1"/>
  <c r="C446" i="14"/>
  <c r="B468" i="14"/>
  <c r="G612" i="14"/>
  <c r="B436" i="14"/>
  <c r="B434" i="14"/>
  <c r="S815" i="14"/>
  <c r="CA730" i="14"/>
  <c r="B437" i="14"/>
  <c r="AI726" i="14"/>
  <c r="E139" i="14"/>
  <c r="C415" i="14" s="1"/>
  <c r="BV730" i="14"/>
  <c r="I817" i="14"/>
  <c r="B432" i="14"/>
  <c r="BU730" i="14"/>
  <c r="H817" i="14"/>
  <c r="B431" i="14"/>
  <c r="O817" i="14"/>
  <c r="BJ730" i="14"/>
  <c r="D361" i="14"/>
  <c r="B463" i="14"/>
  <c r="F817" i="14"/>
  <c r="BS730" i="14"/>
  <c r="B429" i="14"/>
  <c r="X730" i="14"/>
  <c r="B478" i="14"/>
  <c r="T816" i="14"/>
  <c r="L612" i="14"/>
  <c r="D816" i="14"/>
  <c r="C427" i="14"/>
  <c r="CA48" i="14"/>
  <c r="CA62" i="14" s="1"/>
  <c r="BK48" i="14"/>
  <c r="BK62" i="14" s="1"/>
  <c r="AU48" i="14"/>
  <c r="AU62" i="14" s="1"/>
  <c r="AE48" i="14"/>
  <c r="AE62" i="14" s="1"/>
  <c r="O48" i="14"/>
  <c r="O62" i="14" s="1"/>
  <c r="BR48" i="14"/>
  <c r="BR62" i="14" s="1"/>
  <c r="AT48" i="14"/>
  <c r="AT62" i="14" s="1"/>
  <c r="N48" i="14"/>
  <c r="N62" i="14" s="1"/>
  <c r="BQ48" i="14"/>
  <c r="BQ62" i="14" s="1"/>
  <c r="AK48" i="14"/>
  <c r="AK62" i="14" s="1"/>
  <c r="E48" i="14"/>
  <c r="E62" i="14" s="1"/>
  <c r="Y48" i="14"/>
  <c r="Y62" i="14" s="1"/>
  <c r="BB48" i="14"/>
  <c r="BB62" i="14" s="1"/>
  <c r="V48" i="14"/>
  <c r="V62" i="14" s="1"/>
  <c r="BI48" i="14"/>
  <c r="BI62" i="14" s="1"/>
  <c r="AC48" i="14"/>
  <c r="AC62" i="14" s="1"/>
  <c r="AO48" i="14"/>
  <c r="AO62" i="14" s="1"/>
  <c r="BA48" i="14"/>
  <c r="BA62" i="14" s="1"/>
  <c r="U48" i="14"/>
  <c r="U62" i="14" s="1"/>
  <c r="AW48" i="14"/>
  <c r="AW62" i="14" s="1"/>
  <c r="BX48" i="14"/>
  <c r="BX62" i="14" s="1"/>
  <c r="BP48" i="14"/>
  <c r="BP62" i="14" s="1"/>
  <c r="BH48" i="14"/>
  <c r="BH62" i="14" s="1"/>
  <c r="AZ48" i="14"/>
  <c r="AZ62" i="14" s="1"/>
  <c r="AR48" i="14"/>
  <c r="AR62" i="14" s="1"/>
  <c r="AJ48" i="14"/>
  <c r="AJ62" i="14" s="1"/>
  <c r="AB48" i="14"/>
  <c r="AB62" i="14" s="1"/>
  <c r="T48" i="14"/>
  <c r="T62" i="14" s="1"/>
  <c r="L48" i="14"/>
  <c r="L62" i="14" s="1"/>
  <c r="D48" i="14"/>
  <c r="D62" i="14" s="1"/>
  <c r="BG48" i="14"/>
  <c r="BG62" i="14" s="1"/>
  <c r="AQ48" i="14"/>
  <c r="AQ62" i="14" s="1"/>
  <c r="AA48" i="14"/>
  <c r="AA62" i="14" s="1"/>
  <c r="K48" i="14"/>
  <c r="K62" i="14" s="1"/>
  <c r="BE48" i="14"/>
  <c r="BE62" i="14" s="1"/>
  <c r="Q48" i="14"/>
  <c r="Q62" i="14" s="1"/>
  <c r="BW48" i="14"/>
  <c r="BW62" i="14" s="1"/>
  <c r="BO48" i="14"/>
  <c r="BO62" i="14" s="1"/>
  <c r="AY48" i="14"/>
  <c r="AY62" i="14" s="1"/>
  <c r="AI48" i="14"/>
  <c r="AI62" i="14" s="1"/>
  <c r="S48" i="14"/>
  <c r="S62" i="14" s="1"/>
  <c r="C48" i="14"/>
  <c r="BU48" i="14"/>
  <c r="BU62" i="14" s="1"/>
  <c r="I48" i="14"/>
  <c r="I62" i="14" s="1"/>
  <c r="BV48" i="14"/>
  <c r="BV62" i="14" s="1"/>
  <c r="BN48" i="14"/>
  <c r="BN62" i="14" s="1"/>
  <c r="BF48" i="14"/>
  <c r="BF62" i="14" s="1"/>
  <c r="AX48" i="14"/>
  <c r="AX62" i="14" s="1"/>
  <c r="AP48" i="14"/>
  <c r="AP62" i="14" s="1"/>
  <c r="AH48" i="14"/>
  <c r="AH62" i="14" s="1"/>
  <c r="Z48" i="14"/>
  <c r="Z62" i="14" s="1"/>
  <c r="R48" i="14"/>
  <c r="R62" i="14" s="1"/>
  <c r="J48" i="14"/>
  <c r="J62" i="14" s="1"/>
  <c r="BM48" i="14"/>
  <c r="BM62" i="14" s="1"/>
  <c r="C378" i="14"/>
  <c r="CB48" i="14"/>
  <c r="CB62" i="14" s="1"/>
  <c r="BT48" i="14"/>
  <c r="BT62" i="14" s="1"/>
  <c r="BL48" i="14"/>
  <c r="BL62" i="14" s="1"/>
  <c r="BD48" i="14"/>
  <c r="BD62" i="14" s="1"/>
  <c r="AV48" i="14"/>
  <c r="AV62" i="14" s="1"/>
  <c r="AN48" i="14"/>
  <c r="AN62" i="14" s="1"/>
  <c r="AF48" i="14"/>
  <c r="AF62" i="14" s="1"/>
  <c r="X48" i="14"/>
  <c r="X62" i="14" s="1"/>
  <c r="P48" i="14"/>
  <c r="P62" i="14" s="1"/>
  <c r="H48" i="14"/>
  <c r="H62" i="14" s="1"/>
  <c r="BS48" i="14"/>
  <c r="BS62" i="14" s="1"/>
  <c r="BC48" i="14"/>
  <c r="BC62" i="14" s="1"/>
  <c r="AM48" i="14"/>
  <c r="AM62" i="14" s="1"/>
  <c r="W48" i="14"/>
  <c r="W62" i="14" s="1"/>
  <c r="G48" i="14"/>
  <c r="G62" i="14" s="1"/>
  <c r="BZ48" i="14"/>
  <c r="BZ62" i="14" s="1"/>
  <c r="BJ48" i="14"/>
  <c r="BJ62" i="14" s="1"/>
  <c r="AL48" i="14"/>
  <c r="AL62" i="14" s="1"/>
  <c r="AD48" i="14"/>
  <c r="AD62" i="14" s="1"/>
  <c r="F48" i="14"/>
  <c r="F62" i="14" s="1"/>
  <c r="BY48" i="14"/>
  <c r="BY62" i="14" s="1"/>
  <c r="AS48" i="14"/>
  <c r="AS62" i="14" s="1"/>
  <c r="M48" i="14"/>
  <c r="M62" i="14" s="1"/>
  <c r="CC48" i="14"/>
  <c r="CC62" i="14" s="1"/>
  <c r="AG48" i="14"/>
  <c r="AG62" i="14" s="1"/>
  <c r="CE52" i="14"/>
  <c r="C67" i="14"/>
  <c r="B438" i="14"/>
  <c r="B440" i="14" s="1"/>
  <c r="N816" i="14"/>
  <c r="K612" i="14"/>
  <c r="C465" i="14"/>
  <c r="CB730" i="14"/>
  <c r="C444" i="14"/>
  <c r="D367" i="14"/>
  <c r="C448" i="14" s="1"/>
  <c r="CB78" i="14"/>
  <c r="R811" i="14" s="1"/>
  <c r="BT78" i="14"/>
  <c r="R803" i="14" s="1"/>
  <c r="BB78" i="14"/>
  <c r="R785" i="14" s="1"/>
  <c r="AQ78" i="14"/>
  <c r="R774" i="14" s="1"/>
  <c r="AI78" i="14"/>
  <c r="R766" i="14" s="1"/>
  <c r="AA78" i="14"/>
  <c r="R758" i="14" s="1"/>
  <c r="S78" i="14"/>
  <c r="R750" i="14" s="1"/>
  <c r="K78" i="14"/>
  <c r="R742" i="14" s="1"/>
  <c r="C78" i="14"/>
  <c r="CA78" i="14"/>
  <c r="R810" i="14" s="1"/>
  <c r="BS78" i="14"/>
  <c r="R802" i="14" s="1"/>
  <c r="BA78" i="14"/>
  <c r="R784" i="14" s="1"/>
  <c r="AP78" i="14"/>
  <c r="R773" i="14" s="1"/>
  <c r="AH78" i="14"/>
  <c r="R765" i="14" s="1"/>
  <c r="Z78" i="14"/>
  <c r="R757" i="14" s="1"/>
  <c r="R78" i="14"/>
  <c r="R749" i="14" s="1"/>
  <c r="J78" i="14"/>
  <c r="R741" i="14" s="1"/>
  <c r="BY78" i="14"/>
  <c r="R808" i="14" s="1"/>
  <c r="BL78" i="14"/>
  <c r="R795" i="14" s="1"/>
  <c r="AV78" i="14"/>
  <c r="R779" i="14" s="1"/>
  <c r="AN78" i="14"/>
  <c r="R771" i="14" s="1"/>
  <c r="AF78" i="14"/>
  <c r="R763" i="14" s="1"/>
  <c r="X78" i="14"/>
  <c r="R755" i="14" s="1"/>
  <c r="P78" i="14"/>
  <c r="R747" i="14" s="1"/>
  <c r="H78" i="14"/>
  <c r="R739" i="14" s="1"/>
  <c r="L78" i="14"/>
  <c r="R743" i="14" s="1"/>
  <c r="BV78" i="14"/>
  <c r="R805" i="14" s="1"/>
  <c r="V78" i="14"/>
  <c r="R753" i="14" s="1"/>
  <c r="BU78" i="14"/>
  <c r="R804" i="14" s="1"/>
  <c r="AT78" i="14"/>
  <c r="R777" i="14" s="1"/>
  <c r="AG78" i="14"/>
  <c r="R764" i="14" s="1"/>
  <c r="U78" i="14"/>
  <c r="R752" i="14" s="1"/>
  <c r="G78" i="14"/>
  <c r="R738" i="14" s="1"/>
  <c r="BM78" i="14"/>
  <c r="R796" i="14" s="1"/>
  <c r="AS78" i="14"/>
  <c r="R776" i="14" s="1"/>
  <c r="AE78" i="14"/>
  <c r="R762" i="14" s="1"/>
  <c r="T78" i="14"/>
  <c r="R751" i="14" s="1"/>
  <c r="F78" i="14"/>
  <c r="R737" i="14" s="1"/>
  <c r="BK78" i="14"/>
  <c r="R794" i="14" s="1"/>
  <c r="AR78" i="14"/>
  <c r="R775" i="14" s="1"/>
  <c r="AD78" i="14"/>
  <c r="R761" i="14" s="1"/>
  <c r="Q78" i="14"/>
  <c r="R748" i="14" s="1"/>
  <c r="E78" i="14"/>
  <c r="R736" i="14" s="1"/>
  <c r="BZ78" i="14"/>
  <c r="R809" i="14" s="1"/>
  <c r="BH78" i="14"/>
  <c r="R791" i="14" s="1"/>
  <c r="AM78" i="14"/>
  <c r="R770" i="14" s="1"/>
  <c r="AB78" i="14"/>
  <c r="R759" i="14" s="1"/>
  <c r="BI78" i="14"/>
  <c r="R792" i="14" s="1"/>
  <c r="AO78" i="14"/>
  <c r="R772" i="14" s="1"/>
  <c r="AC78" i="14"/>
  <c r="R760" i="14" s="1"/>
  <c r="O78" i="14"/>
  <c r="R746" i="14" s="1"/>
  <c r="D78" i="14"/>
  <c r="R735" i="14" s="1"/>
  <c r="N78" i="14"/>
  <c r="R745" i="14" s="1"/>
  <c r="BX78" i="14"/>
  <c r="R807" i="14" s="1"/>
  <c r="BC78" i="14"/>
  <c r="R786" i="14" s="1"/>
  <c r="AL78" i="14"/>
  <c r="R769" i="14" s="1"/>
  <c r="Y78" i="14"/>
  <c r="R756" i="14" s="1"/>
  <c r="M78" i="14"/>
  <c r="R744" i="14" s="1"/>
  <c r="BW78" i="14"/>
  <c r="R806" i="14" s="1"/>
  <c r="AW78" i="14"/>
  <c r="R780" i="14" s="1"/>
  <c r="AK78" i="14"/>
  <c r="R768" i="14" s="1"/>
  <c r="W78" i="14"/>
  <c r="R754" i="14" s="1"/>
  <c r="AU78" i="14"/>
  <c r="R778" i="14" s="1"/>
  <c r="AJ78" i="14"/>
  <c r="R767" i="14" s="1"/>
  <c r="I78" i="14"/>
  <c r="R740" i="14" s="1"/>
  <c r="L817" i="14"/>
  <c r="BI730" i="14"/>
  <c r="H612" i="14"/>
  <c r="C816" i="14"/>
  <c r="T730" i="14"/>
  <c r="B473" i="14"/>
  <c r="CE79" i="14"/>
  <c r="D277" i="14" l="1"/>
  <c r="D292" i="14" s="1"/>
  <c r="D341" i="14" s="1"/>
  <c r="C481" i="14" s="1"/>
  <c r="E747" i="14"/>
  <c r="P71" i="14"/>
  <c r="E811" i="14"/>
  <c r="CB71" i="14"/>
  <c r="E738" i="14"/>
  <c r="G71" i="14"/>
  <c r="E755" i="14"/>
  <c r="X71" i="14"/>
  <c r="BQ730" i="14"/>
  <c r="D817" i="14"/>
  <c r="B427" i="14"/>
  <c r="E782" i="14"/>
  <c r="AY71" i="14"/>
  <c r="E791" i="14"/>
  <c r="BH71" i="14"/>
  <c r="E777" i="14"/>
  <c r="AT71" i="14"/>
  <c r="E776" i="14"/>
  <c r="AS71" i="14"/>
  <c r="E754" i="14"/>
  <c r="W71" i="14"/>
  <c r="E763" i="14"/>
  <c r="AF71" i="14"/>
  <c r="E796" i="14"/>
  <c r="BM71" i="14"/>
  <c r="E797" i="14"/>
  <c r="BN71" i="14"/>
  <c r="E798" i="14"/>
  <c r="BO71" i="14"/>
  <c r="E735" i="14"/>
  <c r="D71" i="14"/>
  <c r="E799" i="14"/>
  <c r="BP71" i="14"/>
  <c r="E753" i="14"/>
  <c r="V71" i="14"/>
  <c r="E801" i="14"/>
  <c r="BR71" i="14"/>
  <c r="E805" i="14"/>
  <c r="BV71" i="14"/>
  <c r="E746" i="14"/>
  <c r="O71" i="14"/>
  <c r="N817" i="14"/>
  <c r="B465" i="14"/>
  <c r="D368" i="14"/>
  <c r="D373" i="14" s="1"/>
  <c r="E737" i="14"/>
  <c r="F71" i="14"/>
  <c r="E779" i="14"/>
  <c r="AV71" i="14"/>
  <c r="E740" i="14"/>
  <c r="I71" i="14"/>
  <c r="E780" i="14"/>
  <c r="AW71" i="14"/>
  <c r="E770" i="14"/>
  <c r="AM71" i="14"/>
  <c r="E806" i="14"/>
  <c r="BW71" i="14"/>
  <c r="E785" i="14"/>
  <c r="BB71" i="14"/>
  <c r="E786" i="14"/>
  <c r="BC71" i="14"/>
  <c r="E749" i="14"/>
  <c r="R71" i="14"/>
  <c r="E748" i="14"/>
  <c r="Q71" i="14"/>
  <c r="E751" i="14"/>
  <c r="T71" i="14"/>
  <c r="E756" i="14"/>
  <c r="Y71" i="14"/>
  <c r="E762" i="14"/>
  <c r="AE71" i="14"/>
  <c r="R734" i="14"/>
  <c r="R815" i="14" s="1"/>
  <c r="CE78" i="14"/>
  <c r="J734" i="14"/>
  <c r="J815" i="14" s="1"/>
  <c r="CE67" i="14"/>
  <c r="E761" i="14"/>
  <c r="AD71" i="14"/>
  <c r="E802" i="14"/>
  <c r="BS71" i="14"/>
  <c r="E787" i="14"/>
  <c r="BD71" i="14"/>
  <c r="E757" i="14"/>
  <c r="Z71" i="14"/>
  <c r="E804" i="14"/>
  <c r="BU71" i="14"/>
  <c r="E788" i="14"/>
  <c r="BE71" i="14"/>
  <c r="E759" i="14"/>
  <c r="AB71" i="14"/>
  <c r="E752" i="14"/>
  <c r="U71" i="14"/>
  <c r="E736" i="14"/>
  <c r="E71" i="14"/>
  <c r="E778" i="14"/>
  <c r="AU71" i="14"/>
  <c r="E808" i="14"/>
  <c r="BY71" i="14"/>
  <c r="E741" i="14"/>
  <c r="J71" i="14"/>
  <c r="E807" i="14"/>
  <c r="BX71" i="14"/>
  <c r="E742" i="14"/>
  <c r="K71" i="14"/>
  <c r="E771" i="14"/>
  <c r="AN71" i="14"/>
  <c r="E743" i="14"/>
  <c r="L71" i="14"/>
  <c r="S816" i="14"/>
  <c r="J612" i="14"/>
  <c r="E769" i="14"/>
  <c r="AL71" i="14"/>
  <c r="E795" i="14"/>
  <c r="BL71" i="14"/>
  <c r="E765" i="14"/>
  <c r="AH71" i="14"/>
  <c r="CE48" i="14"/>
  <c r="C62" i="14"/>
  <c r="E767" i="14"/>
  <c r="AJ71" i="14"/>
  <c r="E784" i="14"/>
  <c r="BA71" i="14"/>
  <c r="E768" i="14"/>
  <c r="AK71" i="14"/>
  <c r="E794" i="14"/>
  <c r="BK71" i="14"/>
  <c r="E764" i="14"/>
  <c r="AG71" i="14"/>
  <c r="E793" i="14"/>
  <c r="BJ71" i="14"/>
  <c r="E739" i="14"/>
  <c r="H71" i="14"/>
  <c r="E803" i="14"/>
  <c r="BT71" i="14"/>
  <c r="E773" i="14"/>
  <c r="AP71" i="14"/>
  <c r="E750" i="14"/>
  <c r="S71" i="14"/>
  <c r="E758" i="14"/>
  <c r="AA71" i="14"/>
  <c r="E775" i="14"/>
  <c r="AR71" i="14"/>
  <c r="E772" i="14"/>
  <c r="AO71" i="14"/>
  <c r="E800" i="14"/>
  <c r="BQ71" i="14"/>
  <c r="E810" i="14"/>
  <c r="CA71" i="14"/>
  <c r="E809" i="14"/>
  <c r="BZ71" i="14"/>
  <c r="E766" i="14"/>
  <c r="AI71" i="14"/>
  <c r="E774" i="14"/>
  <c r="AQ71" i="14"/>
  <c r="E783" i="14"/>
  <c r="AZ71" i="14"/>
  <c r="E760" i="14"/>
  <c r="AC71" i="14"/>
  <c r="E745" i="14"/>
  <c r="N71" i="14"/>
  <c r="E812" i="14"/>
  <c r="CC71" i="14"/>
  <c r="E781" i="14"/>
  <c r="AX71" i="14"/>
  <c r="E744" i="14"/>
  <c r="M71" i="14"/>
  <c r="E789" i="14"/>
  <c r="BF71" i="14"/>
  <c r="E790" i="14"/>
  <c r="BG71" i="14"/>
  <c r="E792" i="14"/>
  <c r="BI71" i="14"/>
  <c r="D343" i="14" l="1"/>
  <c r="C507" i="14"/>
  <c r="G507" i="14" s="1"/>
  <c r="C679" i="14"/>
  <c r="C707" i="14"/>
  <c r="C535" i="14"/>
  <c r="G535" i="14" s="1"/>
  <c r="C698" i="14"/>
  <c r="C526" i="14"/>
  <c r="C529" i="14"/>
  <c r="G529" i="14" s="1"/>
  <c r="C701" i="14"/>
  <c r="C703" i="14"/>
  <c r="C531" i="14"/>
  <c r="C540" i="14"/>
  <c r="G540" i="14" s="1"/>
  <c r="C712" i="14"/>
  <c r="C550" i="14"/>
  <c r="C614" i="14"/>
  <c r="C639" i="14"/>
  <c r="C564" i="14"/>
  <c r="C696" i="14"/>
  <c r="C524" i="14"/>
  <c r="C511" i="14"/>
  <c r="C683" i="14"/>
  <c r="C704" i="14"/>
  <c r="C532" i="14"/>
  <c r="G532" i="14" s="1"/>
  <c r="C671" i="14"/>
  <c r="C499" i="14"/>
  <c r="G499" i="14" s="1"/>
  <c r="C626" i="14"/>
  <c r="C563" i="14"/>
  <c r="C560" i="14"/>
  <c r="C627" i="14"/>
  <c r="C688" i="14"/>
  <c r="C516" i="14"/>
  <c r="C636" i="14"/>
  <c r="C553" i="14"/>
  <c r="C517" i="14"/>
  <c r="C689" i="14"/>
  <c r="C678" i="14"/>
  <c r="C506" i="14"/>
  <c r="G506" i="14" s="1"/>
  <c r="C694" i="14"/>
  <c r="C522" i="14"/>
  <c r="C646" i="14"/>
  <c r="C571" i="14"/>
  <c r="C709" i="14"/>
  <c r="C537" i="14"/>
  <c r="G537" i="14" s="1"/>
  <c r="C565" i="14"/>
  <c r="C640" i="14"/>
  <c r="C635" i="14"/>
  <c r="C556" i="14"/>
  <c r="E734" i="14"/>
  <c r="E815" i="14" s="1"/>
  <c r="CE62" i="14"/>
  <c r="C71" i="14"/>
  <c r="C569" i="14"/>
  <c r="C644" i="14"/>
  <c r="C670" i="14"/>
  <c r="C498" i="14"/>
  <c r="C566" i="14"/>
  <c r="C641" i="14"/>
  <c r="C523" i="14"/>
  <c r="C695" i="14"/>
  <c r="C690" i="14"/>
  <c r="C518" i="14"/>
  <c r="C548" i="14"/>
  <c r="C633" i="14"/>
  <c r="C542" i="14"/>
  <c r="C631" i="14"/>
  <c r="C551" i="14"/>
  <c r="C629" i="14"/>
  <c r="C625" i="14"/>
  <c r="C544" i="14"/>
  <c r="C634" i="14"/>
  <c r="C554" i="14"/>
  <c r="C628" i="14"/>
  <c r="C545" i="14"/>
  <c r="G545" i="14" s="1"/>
  <c r="C692" i="14"/>
  <c r="C520" i="14"/>
  <c r="C702" i="14"/>
  <c r="C530" i="14"/>
  <c r="C677" i="14"/>
  <c r="C505" i="14"/>
  <c r="G505" i="14" s="1"/>
  <c r="C503" i="14"/>
  <c r="G503" i="14" s="1"/>
  <c r="C675" i="14"/>
  <c r="C686" i="14"/>
  <c r="C514" i="14"/>
  <c r="C691" i="14"/>
  <c r="C519" i="14"/>
  <c r="J816" i="14"/>
  <c r="C433" i="14"/>
  <c r="C685" i="14"/>
  <c r="C513" i="14"/>
  <c r="C547" i="14"/>
  <c r="C632" i="14"/>
  <c r="C674" i="14"/>
  <c r="C502" i="14"/>
  <c r="G502" i="14" s="1"/>
  <c r="C680" i="14"/>
  <c r="C508" i="14"/>
  <c r="C561" i="14"/>
  <c r="C621" i="14"/>
  <c r="C638" i="14"/>
  <c r="C558" i="14"/>
  <c r="C622" i="14"/>
  <c r="C573" i="14"/>
  <c r="C700" i="14"/>
  <c r="C528" i="14"/>
  <c r="C687" i="14"/>
  <c r="C515" i="14"/>
  <c r="C619" i="14"/>
  <c r="C559" i="14"/>
  <c r="C710" i="14"/>
  <c r="C538" i="14"/>
  <c r="G538" i="14" s="1"/>
  <c r="C672" i="14"/>
  <c r="C500" i="14"/>
  <c r="G500" i="14" s="1"/>
  <c r="C616" i="14"/>
  <c r="C543" i="14"/>
  <c r="C647" i="14"/>
  <c r="C572" i="14"/>
  <c r="C673" i="14"/>
  <c r="C501" i="14"/>
  <c r="G501" i="14" s="1"/>
  <c r="C699" i="14"/>
  <c r="C527" i="14"/>
  <c r="G527" i="14" s="1"/>
  <c r="C618" i="14"/>
  <c r="C552" i="14"/>
  <c r="C620" i="14"/>
  <c r="C574" i="14"/>
  <c r="C708" i="14"/>
  <c r="C536" i="14"/>
  <c r="G536" i="14" s="1"/>
  <c r="C562" i="14"/>
  <c r="C623" i="14"/>
  <c r="C684" i="14"/>
  <c r="C512" i="14"/>
  <c r="C617" i="14"/>
  <c r="C555" i="14"/>
  <c r="C630" i="14"/>
  <c r="C546" i="14"/>
  <c r="C557" i="14"/>
  <c r="C637" i="14"/>
  <c r="C705" i="14"/>
  <c r="C533" i="14"/>
  <c r="C570" i="14"/>
  <c r="C645" i="14"/>
  <c r="C693" i="14"/>
  <c r="C521" i="14"/>
  <c r="C624" i="14"/>
  <c r="C549" i="14"/>
  <c r="R816" i="14"/>
  <c r="I612" i="14"/>
  <c r="C682" i="14"/>
  <c r="C510" i="14"/>
  <c r="C643" i="14"/>
  <c r="C568" i="14"/>
  <c r="C713" i="14"/>
  <c r="C541" i="14"/>
  <c r="C642" i="14"/>
  <c r="C567" i="14"/>
  <c r="C497" i="14"/>
  <c r="C669" i="14"/>
  <c r="C697" i="14"/>
  <c r="C525" i="14"/>
  <c r="G525" i="14" s="1"/>
  <c r="C711" i="14"/>
  <c r="C539" i="14"/>
  <c r="G539" i="14" s="1"/>
  <c r="C681" i="14"/>
  <c r="C509" i="14"/>
  <c r="C706" i="14"/>
  <c r="C534" i="14"/>
  <c r="G534" i="14" s="1"/>
  <c r="C676" i="14"/>
  <c r="C504" i="14"/>
  <c r="G504" i="14" s="1"/>
  <c r="G497" i="14" l="1"/>
  <c r="H497" i="14" s="1"/>
  <c r="G509" i="14"/>
  <c r="H509" i="14" s="1"/>
  <c r="G533" i="14"/>
  <c r="H533" i="14" s="1"/>
  <c r="G512" i="14"/>
  <c r="H512" i="14"/>
  <c r="G515" i="14"/>
  <c r="H515" i="14" s="1"/>
  <c r="G513" i="14"/>
  <c r="H513" i="14"/>
  <c r="G523" i="14"/>
  <c r="H523" i="14"/>
  <c r="E816" i="14"/>
  <c r="C379" i="14"/>
  <c r="C428" i="14"/>
  <c r="C441" i="14" s="1"/>
  <c r="CE71" i="14"/>
  <c r="C716" i="14" s="1"/>
  <c r="G528" i="14"/>
  <c r="H528" i="14" s="1"/>
  <c r="G516" i="14"/>
  <c r="H516" i="14" s="1"/>
  <c r="G508" i="14"/>
  <c r="H508" i="14" s="1"/>
  <c r="G522" i="14"/>
  <c r="H522" i="14" s="1"/>
  <c r="D615" i="14"/>
  <c r="C648" i="14"/>
  <c r="M716" i="14" s="1"/>
  <c r="Y816" i="14" s="1"/>
  <c r="G526" i="14"/>
  <c r="H526" i="14" s="1"/>
  <c r="G498" i="14"/>
  <c r="H498" i="14" s="1"/>
  <c r="G550" i="14"/>
  <c r="H550" i="14" s="1"/>
  <c r="G521" i="14"/>
  <c r="H521" i="14"/>
  <c r="G546" i="14"/>
  <c r="H546" i="14"/>
  <c r="G530" i="14"/>
  <c r="H530" i="14" s="1"/>
  <c r="G519" i="14"/>
  <c r="H519" i="14"/>
  <c r="G544" i="14"/>
  <c r="H544" i="14" s="1"/>
  <c r="G518" i="14"/>
  <c r="H518" i="14" s="1"/>
  <c r="G511" i="14"/>
  <c r="H511" i="14" s="1"/>
  <c r="G510" i="14"/>
  <c r="H510" i="14"/>
  <c r="G514" i="14"/>
  <c r="H514" i="14" s="1"/>
  <c r="G520" i="14"/>
  <c r="H520" i="14" s="1"/>
  <c r="G524" i="14"/>
  <c r="H524" i="14" s="1"/>
  <c r="G531" i="14"/>
  <c r="H531" i="14" s="1"/>
  <c r="C668" i="14"/>
  <c r="C715" i="14" s="1"/>
  <c r="C496" i="14"/>
  <c r="G517" i="14"/>
  <c r="H517" i="14" s="1"/>
  <c r="G496" i="14" l="1"/>
  <c r="H496" i="14" s="1"/>
  <c r="D712" i="14"/>
  <c r="D704" i="14"/>
  <c r="D711" i="14"/>
  <c r="D703" i="14"/>
  <c r="D708" i="14"/>
  <c r="D700" i="14"/>
  <c r="D713" i="14"/>
  <c r="D705" i="14"/>
  <c r="D716" i="14"/>
  <c r="D707" i="14"/>
  <c r="D699" i="14"/>
  <c r="D706" i="14"/>
  <c r="D702" i="14"/>
  <c r="D693" i="14"/>
  <c r="D685" i="14"/>
  <c r="D677" i="14"/>
  <c r="D669" i="14"/>
  <c r="D627" i="14"/>
  <c r="D698" i="14"/>
  <c r="D695" i="14"/>
  <c r="D687" i="14"/>
  <c r="D679" i="14"/>
  <c r="D671" i="14"/>
  <c r="D701" i="14"/>
  <c r="D697" i="14"/>
  <c r="D689" i="14"/>
  <c r="D681" i="14"/>
  <c r="D673" i="14"/>
  <c r="D710" i="14"/>
  <c r="D692" i="14"/>
  <c r="D678" i="14"/>
  <c r="D670" i="14"/>
  <c r="D647" i="14"/>
  <c r="D626" i="14"/>
  <c r="D686" i="14"/>
  <c r="D668" i="14"/>
  <c r="D643" i="14"/>
  <c r="D639" i="14"/>
  <c r="D635" i="14"/>
  <c r="D631" i="14"/>
  <c r="D628" i="14"/>
  <c r="D623" i="14"/>
  <c r="D618" i="14"/>
  <c r="D680" i="14"/>
  <c r="D644" i="14"/>
  <c r="D640" i="14"/>
  <c r="D636" i="14"/>
  <c r="D632" i="14"/>
  <c r="D622" i="14"/>
  <c r="D684" i="14"/>
  <c r="D682" i="14"/>
  <c r="D633" i="14"/>
  <c r="D625" i="14"/>
  <c r="D619" i="14"/>
  <c r="D709" i="14"/>
  <c r="D637" i="14"/>
  <c r="D617" i="14"/>
  <c r="D691" i="14"/>
  <c r="D676" i="14"/>
  <c r="D674" i="14"/>
  <c r="D645" i="14"/>
  <c r="D641" i="14"/>
  <c r="D616" i="14"/>
  <c r="D672" i="14"/>
  <c r="D624" i="14"/>
  <c r="D696" i="14"/>
  <c r="D694" i="14"/>
  <c r="D683" i="14"/>
  <c r="D630" i="14"/>
  <c r="D634" i="14"/>
  <c r="D621" i="14"/>
  <c r="D646" i="14"/>
  <c r="D642" i="14"/>
  <c r="D620" i="14"/>
  <c r="D690" i="14"/>
  <c r="D675" i="14"/>
  <c r="D688" i="14"/>
  <c r="D638" i="14"/>
  <c r="D629" i="14"/>
  <c r="BR730" i="14"/>
  <c r="E817" i="14"/>
  <c r="B428" i="14"/>
  <c r="D390" i="14"/>
  <c r="B441" i="14" l="1"/>
  <c r="D391" i="14"/>
  <c r="D393" i="14" s="1"/>
  <c r="D396" i="14" s="1"/>
  <c r="E612" i="14"/>
  <c r="D715" i="14"/>
  <c r="E623" i="14"/>
  <c r="E709" i="14" l="1"/>
  <c r="E701" i="14"/>
  <c r="E708" i="14"/>
  <c r="E700" i="14"/>
  <c r="E713" i="14"/>
  <c r="E705" i="14"/>
  <c r="E710" i="14"/>
  <c r="E702" i="14"/>
  <c r="E712" i="14"/>
  <c r="E704" i="14"/>
  <c r="E690" i="14"/>
  <c r="E682" i="14"/>
  <c r="E674" i="14"/>
  <c r="E692" i="14"/>
  <c r="E684" i="14"/>
  <c r="E676" i="14"/>
  <c r="E703" i="14"/>
  <c r="E699" i="14"/>
  <c r="E694" i="14"/>
  <c r="E686" i="14"/>
  <c r="E678" i="14"/>
  <c r="E670" i="14"/>
  <c r="E647" i="14"/>
  <c r="E646" i="14"/>
  <c r="E645" i="14"/>
  <c r="E629" i="14"/>
  <c r="E626" i="14"/>
  <c r="E685" i="14"/>
  <c r="E671" i="14"/>
  <c r="E669" i="14"/>
  <c r="E668" i="14"/>
  <c r="E643" i="14"/>
  <c r="E639" i="14"/>
  <c r="E635" i="14"/>
  <c r="E631" i="14"/>
  <c r="E628" i="14"/>
  <c r="E693" i="14"/>
  <c r="E679" i="14"/>
  <c r="E672" i="14"/>
  <c r="E716" i="14"/>
  <c r="E695" i="14"/>
  <c r="E688" i="14"/>
  <c r="E681" i="14"/>
  <c r="E625" i="14"/>
  <c r="E680" i="14"/>
  <c r="E637" i="14"/>
  <c r="E691" i="14"/>
  <c r="E689" i="14"/>
  <c r="E641" i="14"/>
  <c r="E687" i="14"/>
  <c r="E624" i="14"/>
  <c r="E696" i="14"/>
  <c r="E683" i="14"/>
  <c r="E632" i="14"/>
  <c r="E630" i="14"/>
  <c r="E627" i="14"/>
  <c r="E698" i="14"/>
  <c r="E636" i="14"/>
  <c r="E634" i="14"/>
  <c r="E707" i="14"/>
  <c r="E675" i="14"/>
  <c r="E640" i="14"/>
  <c r="E638" i="14"/>
  <c r="E697" i="14"/>
  <c r="E633" i="14"/>
  <c r="E644" i="14"/>
  <c r="E677" i="14"/>
  <c r="E642" i="14"/>
  <c r="E711" i="14"/>
  <c r="E673" i="14"/>
  <c r="E706" i="14"/>
  <c r="E715" i="14" l="1"/>
  <c r="F624" i="14"/>
  <c r="F706" i="14" l="1"/>
  <c r="F698" i="14"/>
  <c r="F713" i="14"/>
  <c r="F705" i="14"/>
  <c r="F710" i="14"/>
  <c r="F702" i="14"/>
  <c r="F716" i="14"/>
  <c r="F707" i="14"/>
  <c r="F699" i="14"/>
  <c r="F709" i="14"/>
  <c r="F701" i="14"/>
  <c r="F700" i="14"/>
  <c r="F695" i="14"/>
  <c r="F687" i="14"/>
  <c r="F679" i="14"/>
  <c r="F671" i="14"/>
  <c r="F625" i="14"/>
  <c r="F711" i="14"/>
  <c r="F697" i="14"/>
  <c r="F689" i="14"/>
  <c r="F681" i="14"/>
  <c r="F673" i="14"/>
  <c r="F691" i="14"/>
  <c r="F683" i="14"/>
  <c r="F675" i="14"/>
  <c r="F644" i="14"/>
  <c r="F643" i="14"/>
  <c r="F642" i="14"/>
  <c r="F641" i="14"/>
  <c r="F640" i="14"/>
  <c r="F639" i="14"/>
  <c r="F638" i="14"/>
  <c r="F637" i="14"/>
  <c r="F636" i="14"/>
  <c r="F635" i="14"/>
  <c r="F634" i="14"/>
  <c r="F633" i="14"/>
  <c r="F632" i="14"/>
  <c r="F631" i="14"/>
  <c r="F630" i="14"/>
  <c r="F693" i="14"/>
  <c r="F686" i="14"/>
  <c r="F672" i="14"/>
  <c r="F703" i="14"/>
  <c r="F694" i="14"/>
  <c r="F680" i="14"/>
  <c r="F696" i="14"/>
  <c r="F674" i="14"/>
  <c r="F645" i="14"/>
  <c r="F629" i="14"/>
  <c r="F627" i="14"/>
  <c r="F678" i="14"/>
  <c r="F676" i="14"/>
  <c r="F669" i="14"/>
  <c r="F628" i="14"/>
  <c r="F704" i="14"/>
  <c r="F708" i="14"/>
  <c r="F685" i="14"/>
  <c r="F647" i="14"/>
  <c r="F712" i="14"/>
  <c r="F670" i="14"/>
  <c r="F692" i="14"/>
  <c r="F690" i="14"/>
  <c r="F688" i="14"/>
  <c r="F677" i="14"/>
  <c r="F684" i="14"/>
  <c r="F682" i="14"/>
  <c r="F626" i="14"/>
  <c r="F668" i="14"/>
  <c r="F646" i="14"/>
  <c r="F715" i="14" l="1"/>
  <c r="G625" i="14"/>
  <c r="G711" i="14" l="1"/>
  <c r="G703" i="14"/>
  <c r="G710" i="14"/>
  <c r="G702" i="14"/>
  <c r="G716" i="14"/>
  <c r="G707" i="14"/>
  <c r="G699" i="14"/>
  <c r="G712" i="14"/>
  <c r="G704" i="14"/>
  <c r="G706" i="14"/>
  <c r="G698" i="14"/>
  <c r="G692" i="14"/>
  <c r="G684" i="14"/>
  <c r="G676" i="14"/>
  <c r="G668" i="14"/>
  <c r="G628" i="14"/>
  <c r="G713" i="14"/>
  <c r="G709" i="14"/>
  <c r="G694" i="14"/>
  <c r="G686" i="14"/>
  <c r="G678" i="14"/>
  <c r="G696" i="14"/>
  <c r="G688" i="14"/>
  <c r="G680" i="14"/>
  <c r="G672" i="14"/>
  <c r="G679" i="14"/>
  <c r="G700" i="14"/>
  <c r="G687" i="14"/>
  <c r="G673" i="14"/>
  <c r="G644" i="14"/>
  <c r="G640" i="14"/>
  <c r="G636" i="14"/>
  <c r="G632" i="14"/>
  <c r="G689" i="14"/>
  <c r="G682" i="14"/>
  <c r="G675" i="14"/>
  <c r="G641" i="14"/>
  <c r="G637" i="14"/>
  <c r="G633" i="14"/>
  <c r="G693" i="14"/>
  <c r="G691" i="14"/>
  <c r="G669" i="14"/>
  <c r="G635" i="14"/>
  <c r="G674" i="14"/>
  <c r="G645" i="14"/>
  <c r="G639" i="14"/>
  <c r="G708" i="14"/>
  <c r="G685" i="14"/>
  <c r="G683" i="14"/>
  <c r="G647" i="14"/>
  <c r="G643" i="14"/>
  <c r="G630" i="14"/>
  <c r="G627" i="14"/>
  <c r="G681" i="14"/>
  <c r="G670" i="14"/>
  <c r="G634" i="14"/>
  <c r="G690" i="14"/>
  <c r="G677" i="14"/>
  <c r="G638" i="14"/>
  <c r="G646" i="14"/>
  <c r="G642" i="14"/>
  <c r="G629" i="14"/>
  <c r="G626" i="14"/>
  <c r="G705" i="14"/>
  <c r="G695" i="14"/>
  <c r="G671" i="14"/>
  <c r="G631" i="14"/>
  <c r="G701" i="14"/>
  <c r="G697" i="14"/>
  <c r="H628" i="14" l="1"/>
  <c r="H700" i="14" s="1"/>
  <c r="G715" i="14"/>
  <c r="H672" i="14"/>
  <c r="H639" i="14" l="1"/>
  <c r="H633" i="14"/>
  <c r="H690" i="14"/>
  <c r="H637" i="14"/>
  <c r="H644" i="14"/>
  <c r="H638" i="14"/>
  <c r="H695" i="14"/>
  <c r="H693" i="14"/>
  <c r="H689" i="14"/>
  <c r="H699" i="14"/>
  <c r="H642" i="14"/>
  <c r="H696" i="14"/>
  <c r="H629" i="14"/>
  <c r="H687" i="14"/>
  <c r="H707" i="14"/>
  <c r="H686" i="14"/>
  <c r="H679" i="14"/>
  <c r="H713" i="14"/>
  <c r="H643" i="14"/>
  <c r="H678" i="14"/>
  <c r="H645" i="14"/>
  <c r="H636" i="14"/>
  <c r="H694" i="14"/>
  <c r="H705" i="14"/>
  <c r="H701" i="14"/>
  <c r="H716" i="14"/>
  <c r="H684" i="14"/>
  <c r="H698" i="14"/>
  <c r="H676" i="14"/>
  <c r="H706" i="14"/>
  <c r="H675" i="14"/>
  <c r="H703" i="14"/>
  <c r="H682" i="14"/>
  <c r="H635" i="14"/>
  <c r="H692" i="14"/>
  <c r="H670" i="14"/>
  <c r="H647" i="14"/>
  <c r="H710" i="14"/>
  <c r="H688" i="14"/>
  <c r="H640" i="14"/>
  <c r="H685" i="14"/>
  <c r="H673" i="14"/>
  <c r="H709" i="14"/>
  <c r="H669" i="14"/>
  <c r="H691" i="14"/>
  <c r="H697" i="14"/>
  <c r="H704" i="14"/>
  <c r="H708" i="14"/>
  <c r="H631" i="14"/>
  <c r="H671" i="14"/>
  <c r="H668" i="14"/>
  <c r="H702" i="14"/>
  <c r="H634" i="14"/>
  <c r="H630" i="14"/>
  <c r="H641" i="14"/>
  <c r="H646" i="14"/>
  <c r="H674" i="14"/>
  <c r="H632" i="14"/>
  <c r="H680" i="14"/>
  <c r="H677" i="14"/>
  <c r="H683" i="14"/>
  <c r="H681" i="14"/>
  <c r="H711" i="14"/>
  <c r="H712" i="14"/>
  <c r="I629" i="14"/>
  <c r="H715" i="14" l="1"/>
  <c r="I713" i="14"/>
  <c r="I705" i="14"/>
  <c r="I716" i="14"/>
  <c r="I712" i="14"/>
  <c r="I704" i="14"/>
  <c r="I709" i="14"/>
  <c r="I701" i="14"/>
  <c r="I706" i="14"/>
  <c r="I698" i="14"/>
  <c r="I708" i="14"/>
  <c r="I700" i="14"/>
  <c r="I694" i="14"/>
  <c r="I686" i="14"/>
  <c r="I678" i="14"/>
  <c r="I670" i="14"/>
  <c r="I647" i="14"/>
  <c r="I646" i="14"/>
  <c r="I645" i="14"/>
  <c r="I707" i="14"/>
  <c r="I703" i="14"/>
  <c r="I696" i="14"/>
  <c r="I688" i="14"/>
  <c r="I680" i="14"/>
  <c r="I672" i="14"/>
  <c r="I690" i="14"/>
  <c r="I682" i="14"/>
  <c r="I674" i="14"/>
  <c r="I695" i="14"/>
  <c r="I673" i="14"/>
  <c r="I681" i="14"/>
  <c r="I641" i="14"/>
  <c r="I637" i="14"/>
  <c r="I633" i="14"/>
  <c r="I702" i="14"/>
  <c r="I699" i="14"/>
  <c r="I697" i="14"/>
  <c r="I683" i="14"/>
  <c r="I676" i="14"/>
  <c r="I642" i="14"/>
  <c r="I638" i="14"/>
  <c r="I634" i="14"/>
  <c r="I630" i="14"/>
  <c r="I689" i="14"/>
  <c r="I643" i="14"/>
  <c r="I687" i="14"/>
  <c r="I685" i="14"/>
  <c r="I632" i="14"/>
  <c r="I692" i="14"/>
  <c r="I679" i="14"/>
  <c r="I677" i="14"/>
  <c r="I636" i="14"/>
  <c r="I675" i="14"/>
  <c r="I668" i="14"/>
  <c r="I640" i="14"/>
  <c r="I711" i="14"/>
  <c r="I684" i="14"/>
  <c r="I671" i="14"/>
  <c r="I644" i="14"/>
  <c r="I631" i="14"/>
  <c r="I710" i="14"/>
  <c r="I693" i="14"/>
  <c r="I691" i="14"/>
  <c r="I669" i="14"/>
  <c r="I639" i="14"/>
  <c r="I635" i="14"/>
  <c r="I715" i="14" l="1"/>
  <c r="J630" i="14"/>
  <c r="J710" i="14" l="1"/>
  <c r="J702" i="14"/>
  <c r="J716" i="14"/>
  <c r="J709" i="14"/>
  <c r="J701" i="14"/>
  <c r="J706" i="14"/>
  <c r="J698" i="14"/>
  <c r="J711" i="14"/>
  <c r="J703" i="14"/>
  <c r="J713" i="14"/>
  <c r="J705" i="14"/>
  <c r="J691" i="14"/>
  <c r="J683" i="14"/>
  <c r="J675" i="14"/>
  <c r="J644" i="14"/>
  <c r="J643" i="14"/>
  <c r="J642" i="14"/>
  <c r="J641" i="14"/>
  <c r="J640" i="14"/>
  <c r="J639" i="14"/>
  <c r="J638" i="14"/>
  <c r="J637" i="14"/>
  <c r="J636" i="14"/>
  <c r="J635" i="14"/>
  <c r="J634" i="14"/>
  <c r="J633" i="14"/>
  <c r="J632" i="14"/>
  <c r="J631" i="14"/>
  <c r="J699" i="14"/>
  <c r="J693" i="14"/>
  <c r="J685" i="14"/>
  <c r="J677" i="14"/>
  <c r="J695" i="14"/>
  <c r="J687" i="14"/>
  <c r="J679" i="14"/>
  <c r="J671" i="14"/>
  <c r="J700" i="14"/>
  <c r="J688" i="14"/>
  <c r="J681" i="14"/>
  <c r="J674" i="14"/>
  <c r="J645" i="14"/>
  <c r="J712" i="14"/>
  <c r="J696" i="14"/>
  <c r="J689" i="14"/>
  <c r="J682" i="14"/>
  <c r="J708" i="14"/>
  <c r="J684" i="14"/>
  <c r="J647" i="14"/>
  <c r="J704" i="14"/>
  <c r="J672" i="14"/>
  <c r="J670" i="14"/>
  <c r="J692" i="14"/>
  <c r="J694" i="14"/>
  <c r="J690" i="14"/>
  <c r="J668" i="14"/>
  <c r="J707" i="14"/>
  <c r="J646" i="14"/>
  <c r="J697" i="14"/>
  <c r="J686" i="14"/>
  <c r="J673" i="14"/>
  <c r="J680" i="14"/>
  <c r="J678" i="14"/>
  <c r="J676" i="14"/>
  <c r="J669" i="14"/>
  <c r="K644" i="14" l="1"/>
  <c r="K707" i="14" s="1"/>
  <c r="L647" i="14"/>
  <c r="L704" i="14" s="1"/>
  <c r="L676" i="14"/>
  <c r="J715" i="14"/>
  <c r="L702" i="14" l="1"/>
  <c r="L701" i="14"/>
  <c r="L672" i="14"/>
  <c r="L682" i="14"/>
  <c r="L669" i="14"/>
  <c r="L708" i="14"/>
  <c r="L709" i="14"/>
  <c r="L684" i="14"/>
  <c r="L674" i="14"/>
  <c r="L681" i="14"/>
  <c r="L693" i="14"/>
  <c r="L703" i="14"/>
  <c r="L710" i="14"/>
  <c r="L698" i="14"/>
  <c r="L675" i="14"/>
  <c r="L671" i="14"/>
  <c r="L705" i="14"/>
  <c r="K679" i="14"/>
  <c r="K674" i="14"/>
  <c r="K687" i="14"/>
  <c r="K680" i="14"/>
  <c r="K691" i="14"/>
  <c r="K700" i="14"/>
  <c r="K695" i="14"/>
  <c r="K668" i="14"/>
  <c r="K706" i="14"/>
  <c r="K704" i="14"/>
  <c r="M704" i="14" s="1"/>
  <c r="Y770" i="14" s="1"/>
  <c r="K676" i="14"/>
  <c r="K696" i="14"/>
  <c r="K708" i="14"/>
  <c r="K699" i="14"/>
  <c r="K671" i="14"/>
  <c r="M671" i="14" s="1"/>
  <c r="Y737" i="14" s="1"/>
  <c r="K694" i="14"/>
  <c r="K670" i="14"/>
  <c r="K697" i="14"/>
  <c r="K684" i="14"/>
  <c r="M684" i="14" s="1"/>
  <c r="Y750" i="14" s="1"/>
  <c r="K701" i="14"/>
  <c r="K713" i="14"/>
  <c r="K703" i="14"/>
  <c r="K716" i="14"/>
  <c r="L692" i="14"/>
  <c r="L673" i="14"/>
  <c r="L695" i="14"/>
  <c r="L716" i="14"/>
  <c r="L712" i="14"/>
  <c r="K693" i="14"/>
  <c r="K681" i="14"/>
  <c r="K675" i="14"/>
  <c r="K682" i="14"/>
  <c r="K673" i="14"/>
  <c r="M673" i="14" s="1"/>
  <c r="Y739" i="14" s="1"/>
  <c r="K685" i="14"/>
  <c r="K677" i="14"/>
  <c r="K709" i="14"/>
  <c r="K712" i="14"/>
  <c r="K672" i="14"/>
  <c r="M672" i="14" s="1"/>
  <c r="Y738" i="14" s="1"/>
  <c r="K702" i="14"/>
  <c r="K698" i="14"/>
  <c r="M698" i="14" s="1"/>
  <c r="Y764" i="14" s="1"/>
  <c r="L680" i="14"/>
  <c r="L688" i="14"/>
  <c r="L694" i="14"/>
  <c r="L668" i="14"/>
  <c r="L683" i="14"/>
  <c r="L696" i="14"/>
  <c r="L689" i="14"/>
  <c r="L679" i="14"/>
  <c r="M679" i="14" s="1"/>
  <c r="Y745" i="14" s="1"/>
  <c r="L677" i="14"/>
  <c r="L699" i="14"/>
  <c r="L713" i="14"/>
  <c r="L711" i="14"/>
  <c r="K678" i="14"/>
  <c r="K686" i="14"/>
  <c r="K683" i="14"/>
  <c r="K669" i="14"/>
  <c r="M669" i="14" s="1"/>
  <c r="Y735" i="14" s="1"/>
  <c r="K705" i="14"/>
  <c r="K689" i="14"/>
  <c r="K692" i="14"/>
  <c r="K690" i="14"/>
  <c r="K688" i="14"/>
  <c r="K710" i="14"/>
  <c r="K711" i="14"/>
  <c r="L691" i="14"/>
  <c r="M691" i="14" s="1"/>
  <c r="Y757" i="14" s="1"/>
  <c r="L686" i="14"/>
  <c r="L670" i="14"/>
  <c r="L678" i="14"/>
  <c r="L690" i="14"/>
  <c r="M690" i="14" s="1"/>
  <c r="Y756" i="14" s="1"/>
  <c r="L706" i="14"/>
  <c r="M706" i="14" s="1"/>
  <c r="Y772" i="14" s="1"/>
  <c r="L697" i="14"/>
  <c r="L687" i="14"/>
  <c r="M687" i="14" s="1"/>
  <c r="Y753" i="14" s="1"/>
  <c r="L685" i="14"/>
  <c r="L707" i="14"/>
  <c r="M707" i="14" s="1"/>
  <c r="Y773" i="14" s="1"/>
  <c r="L700" i="14"/>
  <c r="M700" i="14" s="1"/>
  <c r="Y766" i="14" s="1"/>
  <c r="M676" i="14"/>
  <c r="Y742" i="14" s="1"/>
  <c r="M708" i="14"/>
  <c r="Y774" i="14" s="1"/>
  <c r="M685" i="14" l="1"/>
  <c r="Y751" i="14" s="1"/>
  <c r="M709" i="14"/>
  <c r="Y775" i="14" s="1"/>
  <c r="M713" i="14"/>
  <c r="Y779" i="14" s="1"/>
  <c r="M702" i="14"/>
  <c r="Y768" i="14" s="1"/>
  <c r="M675" i="14"/>
  <c r="Y741" i="14" s="1"/>
  <c r="M695" i="14"/>
  <c r="Y761" i="14" s="1"/>
  <c r="M703" i="14"/>
  <c r="Y769" i="14" s="1"/>
  <c r="M693" i="14"/>
  <c r="Y759" i="14" s="1"/>
  <c r="M701" i="14"/>
  <c r="Y767" i="14" s="1"/>
  <c r="M674" i="14"/>
  <c r="Y740" i="14" s="1"/>
  <c r="M681" i="14"/>
  <c r="Y747" i="14" s="1"/>
  <c r="M710" i="14"/>
  <c r="Y776" i="14" s="1"/>
  <c r="M705" i="14"/>
  <c r="Y771" i="14" s="1"/>
  <c r="M682" i="14"/>
  <c r="Y748" i="14" s="1"/>
  <c r="M696" i="14"/>
  <c r="Y762" i="14" s="1"/>
  <c r="M677" i="14"/>
  <c r="Y743" i="14" s="1"/>
  <c r="M711" i="14"/>
  <c r="Y777" i="14" s="1"/>
  <c r="M668" i="14"/>
  <c r="Y734" i="14" s="1"/>
  <c r="M686" i="14"/>
  <c r="Y752" i="14" s="1"/>
  <c r="M688" i="14"/>
  <c r="Y754" i="14" s="1"/>
  <c r="M680" i="14"/>
  <c r="Y746" i="14" s="1"/>
  <c r="M692" i="14"/>
  <c r="Y758" i="14" s="1"/>
  <c r="M689" i="14"/>
  <c r="Y755" i="14" s="1"/>
  <c r="M694" i="14"/>
  <c r="Y760" i="14" s="1"/>
  <c r="M712" i="14"/>
  <c r="Y778" i="14" s="1"/>
  <c r="M699" i="14"/>
  <c r="Y765" i="14" s="1"/>
  <c r="M697" i="14"/>
  <c r="Y763" i="14" s="1"/>
  <c r="M670" i="14"/>
  <c r="Y736" i="14" s="1"/>
  <c r="M678" i="14"/>
  <c r="Y744" i="14" s="1"/>
  <c r="M683" i="14"/>
  <c r="Y749" i="14" s="1"/>
  <c r="L715" i="14"/>
  <c r="K715" i="14"/>
  <c r="M715" i="14" l="1"/>
  <c r="Y815" i="14"/>
  <c r="F493" i="3"/>
  <c r="D493" i="3"/>
  <c r="B493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A493" i="3" l="1"/>
  <c r="C115" i="21"/>
  <c r="C444" i="3"/>
  <c r="D367" i="3"/>
  <c r="C119" i="21" s="1"/>
  <c r="D221" i="3"/>
  <c r="B444" i="3" s="1"/>
  <c r="D12" i="19"/>
  <c r="G159" i="22"/>
  <c r="D127" i="22"/>
  <c r="I63" i="22"/>
  <c r="CE47" i="3"/>
  <c r="C101" i="21"/>
  <c r="C100" i="21"/>
  <c r="C91" i="21"/>
  <c r="C93" i="21"/>
  <c r="C95" i="21"/>
  <c r="C97" i="21"/>
  <c r="E20" i="15"/>
  <c r="E19" i="15"/>
  <c r="D550" i="3"/>
  <c r="D546" i="3"/>
  <c r="D545" i="3"/>
  <c r="D544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0" i="3"/>
  <c r="D519" i="3"/>
  <c r="D518" i="3"/>
  <c r="D517" i="3"/>
  <c r="F517" i="3" s="1"/>
  <c r="D516" i="3"/>
  <c r="D515" i="3"/>
  <c r="F515" i="3" s="1"/>
  <c r="D514" i="3"/>
  <c r="D511" i="3"/>
  <c r="F511" i="3" s="1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F497" i="3" s="1"/>
  <c r="D496" i="3"/>
  <c r="G221" i="22"/>
  <c r="C384" i="22"/>
  <c r="C383" i="22"/>
  <c r="C381" i="22"/>
  <c r="D384" i="22"/>
  <c r="D383" i="22"/>
  <c r="D382" i="22"/>
  <c r="D381" i="22"/>
  <c r="I314" i="22"/>
  <c r="H314" i="22"/>
  <c r="G314" i="22"/>
  <c r="F314" i="22"/>
  <c r="E314" i="22"/>
  <c r="D314" i="22"/>
  <c r="C314" i="22"/>
  <c r="I313" i="22"/>
  <c r="H313" i="22"/>
  <c r="G313" i="22"/>
  <c r="F313" i="22"/>
  <c r="E313" i="22"/>
  <c r="D313" i="22"/>
  <c r="C313" i="22"/>
  <c r="D317" i="22"/>
  <c r="C352" i="22"/>
  <c r="I346" i="22"/>
  <c r="H346" i="22"/>
  <c r="G346" i="22"/>
  <c r="F346" i="22"/>
  <c r="E346" i="22"/>
  <c r="D346" i="22"/>
  <c r="C346" i="22"/>
  <c r="I345" i="22"/>
  <c r="H345" i="22"/>
  <c r="G345" i="22"/>
  <c r="F345" i="22"/>
  <c r="E345" i="22"/>
  <c r="D345" i="22"/>
  <c r="C345" i="22"/>
  <c r="I250" i="22"/>
  <c r="H250" i="22"/>
  <c r="G250" i="22"/>
  <c r="F250" i="22"/>
  <c r="E250" i="22"/>
  <c r="D250" i="22"/>
  <c r="C250" i="22"/>
  <c r="I249" i="22"/>
  <c r="H249" i="22"/>
  <c r="G249" i="22"/>
  <c r="F249" i="22"/>
  <c r="E249" i="22"/>
  <c r="D249" i="22"/>
  <c r="C249" i="22"/>
  <c r="H252" i="22"/>
  <c r="I374" i="22"/>
  <c r="I256" i="22"/>
  <c r="H221" i="22"/>
  <c r="I217" i="22"/>
  <c r="H217" i="22"/>
  <c r="I216" i="22"/>
  <c r="H216" i="22"/>
  <c r="A356" i="22"/>
  <c r="H356" i="22"/>
  <c r="H324" i="22"/>
  <c r="H292" i="22"/>
  <c r="H260" i="22"/>
  <c r="H228" i="22"/>
  <c r="H196" i="22"/>
  <c r="H164" i="22"/>
  <c r="H132" i="22"/>
  <c r="H100" i="22"/>
  <c r="H68" i="22"/>
  <c r="H36" i="22"/>
  <c r="H4" i="22"/>
  <c r="I352" i="22"/>
  <c r="H352" i="22"/>
  <c r="G352" i="22"/>
  <c r="F352" i="22"/>
  <c r="E352" i="22"/>
  <c r="D352" i="22"/>
  <c r="I351" i="22"/>
  <c r="H351" i="22"/>
  <c r="G351" i="22"/>
  <c r="F351" i="22"/>
  <c r="E351" i="22"/>
  <c r="D351" i="22"/>
  <c r="I349" i="22"/>
  <c r="H349" i="22"/>
  <c r="G349" i="22"/>
  <c r="F349" i="22"/>
  <c r="E349" i="22"/>
  <c r="D349" i="22"/>
  <c r="C351" i="22"/>
  <c r="C349" i="22"/>
  <c r="I319" i="22"/>
  <c r="H319" i="22"/>
  <c r="I317" i="22"/>
  <c r="H317" i="22"/>
  <c r="G317" i="22"/>
  <c r="I287" i="22"/>
  <c r="H287" i="22"/>
  <c r="G287" i="22"/>
  <c r="I285" i="22"/>
  <c r="H285" i="22"/>
  <c r="G285" i="22"/>
  <c r="D287" i="22"/>
  <c r="E285" i="22"/>
  <c r="D285" i="22"/>
  <c r="I253" i="22"/>
  <c r="I224" i="22"/>
  <c r="H224" i="22"/>
  <c r="I223" i="22"/>
  <c r="H223" i="22"/>
  <c r="I222" i="22"/>
  <c r="H222" i="22"/>
  <c r="I221" i="22"/>
  <c r="G224" i="22"/>
  <c r="G217" i="22"/>
  <c r="G216" i="22"/>
  <c r="A228" i="22"/>
  <c r="A196" i="22"/>
  <c r="D377" i="22"/>
  <c r="D376" i="22"/>
  <c r="C377" i="22"/>
  <c r="C376" i="22"/>
  <c r="I320" i="22"/>
  <c r="H320" i="22"/>
  <c r="G320" i="22"/>
  <c r="F320" i="22"/>
  <c r="E320" i="22"/>
  <c r="D320" i="22"/>
  <c r="G319" i="22"/>
  <c r="F319" i="22"/>
  <c r="E319" i="22"/>
  <c r="D319" i="22"/>
  <c r="G318" i="22"/>
  <c r="F318" i="22"/>
  <c r="E318" i="22"/>
  <c r="D318" i="22"/>
  <c r="F317" i="22"/>
  <c r="E317" i="22"/>
  <c r="I312" i="22"/>
  <c r="H312" i="22"/>
  <c r="G312" i="22"/>
  <c r="F312" i="22"/>
  <c r="E312" i="22"/>
  <c r="D312" i="22"/>
  <c r="C317" i="22"/>
  <c r="C318" i="22"/>
  <c r="I344" i="22"/>
  <c r="H344" i="22"/>
  <c r="G344" i="22"/>
  <c r="F344" i="22"/>
  <c r="E344" i="22"/>
  <c r="D344" i="22"/>
  <c r="C344" i="22"/>
  <c r="A324" i="22"/>
  <c r="C320" i="22"/>
  <c r="C319" i="22"/>
  <c r="C312" i="22"/>
  <c r="A292" i="22"/>
  <c r="I288" i="22"/>
  <c r="H288" i="22"/>
  <c r="G288" i="22"/>
  <c r="F288" i="22"/>
  <c r="E288" i="22"/>
  <c r="D288" i="22"/>
  <c r="F287" i="22"/>
  <c r="F286" i="22"/>
  <c r="F285" i="22"/>
  <c r="I281" i="22"/>
  <c r="H281" i="22"/>
  <c r="G281" i="22"/>
  <c r="F281" i="22"/>
  <c r="E281" i="22"/>
  <c r="D281" i="22"/>
  <c r="I280" i="22"/>
  <c r="H280" i="22"/>
  <c r="G280" i="22"/>
  <c r="F280" i="22"/>
  <c r="E280" i="22"/>
  <c r="D280" i="22"/>
  <c r="C288" i="22"/>
  <c r="C287" i="22"/>
  <c r="C286" i="22"/>
  <c r="C285" i="22"/>
  <c r="C281" i="22"/>
  <c r="C280" i="22"/>
  <c r="A260" i="22"/>
  <c r="I255" i="22"/>
  <c r="I254" i="22"/>
  <c r="H256" i="22"/>
  <c r="H255" i="22"/>
  <c r="H254" i="22"/>
  <c r="H253" i="22"/>
  <c r="G256" i="22"/>
  <c r="G255" i="22"/>
  <c r="G254" i="22"/>
  <c r="G253" i="22"/>
  <c r="F256" i="22"/>
  <c r="E256" i="22"/>
  <c r="D256" i="22"/>
  <c r="D255" i="22"/>
  <c r="I248" i="22"/>
  <c r="G248" i="22"/>
  <c r="F248" i="22"/>
  <c r="E248" i="22"/>
  <c r="H248" i="22"/>
  <c r="D248" i="22"/>
  <c r="C256" i="22"/>
  <c r="C255" i="22"/>
  <c r="C254" i="22"/>
  <c r="C248" i="22"/>
  <c r="A164" i="22"/>
  <c r="A132" i="22"/>
  <c r="A100" i="22"/>
  <c r="A68" i="22"/>
  <c r="A36" i="22"/>
  <c r="C31" i="22"/>
  <c r="C29" i="22"/>
  <c r="C28" i="22"/>
  <c r="C20" i="22"/>
  <c r="A4" i="22"/>
  <c r="C32" i="22"/>
  <c r="I218" i="22"/>
  <c r="H218" i="22"/>
  <c r="G218" i="22"/>
  <c r="D378" i="22"/>
  <c r="C378" i="22"/>
  <c r="I282" i="22"/>
  <c r="H282" i="22"/>
  <c r="G282" i="22"/>
  <c r="F282" i="22"/>
  <c r="E282" i="22"/>
  <c r="D282" i="22"/>
  <c r="C282" i="22"/>
  <c r="C9" i="22"/>
  <c r="C15" i="22"/>
  <c r="C25" i="22"/>
  <c r="D32" i="22"/>
  <c r="D31" i="22"/>
  <c r="D29" i="22"/>
  <c r="D28" i="22"/>
  <c r="H105" i="22"/>
  <c r="G28" i="22"/>
  <c r="G29" i="22"/>
  <c r="G31" i="22"/>
  <c r="H92" i="22"/>
  <c r="I252" i="22"/>
  <c r="F284" i="22"/>
  <c r="H284" i="22"/>
  <c r="H316" i="22"/>
  <c r="D348" i="22"/>
  <c r="G348" i="22"/>
  <c r="E316" i="22"/>
  <c r="C96" i="22"/>
  <c r="F96" i="22"/>
  <c r="G156" i="22"/>
  <c r="G157" i="22"/>
  <c r="E160" i="22"/>
  <c r="G160" i="22"/>
  <c r="H28" i="22"/>
  <c r="I28" i="22"/>
  <c r="H29" i="22"/>
  <c r="F31" i="22"/>
  <c r="H31" i="22"/>
  <c r="I31" i="22"/>
  <c r="G32" i="22"/>
  <c r="H32" i="22"/>
  <c r="I32" i="22"/>
  <c r="C63" i="22"/>
  <c r="D60" i="22"/>
  <c r="E60" i="22"/>
  <c r="F60" i="22"/>
  <c r="G60" i="22"/>
  <c r="H60" i="22"/>
  <c r="D61" i="22"/>
  <c r="E61" i="22"/>
  <c r="F61" i="22"/>
  <c r="G61" i="22"/>
  <c r="D63" i="22"/>
  <c r="E63" i="22"/>
  <c r="F63" i="22"/>
  <c r="G63" i="22"/>
  <c r="D64" i="22"/>
  <c r="E64" i="22"/>
  <c r="F64" i="22"/>
  <c r="G64" i="22"/>
  <c r="H64" i="22"/>
  <c r="C92" i="22"/>
  <c r="C93" i="22"/>
  <c r="D92" i="22"/>
  <c r="D93" i="22"/>
  <c r="D95" i="22"/>
  <c r="D96" i="22"/>
  <c r="I92" i="22"/>
  <c r="G93" i="22"/>
  <c r="H93" i="22"/>
  <c r="I93" i="22"/>
  <c r="G95" i="22"/>
  <c r="H95" i="22"/>
  <c r="I95" i="22"/>
  <c r="G96" i="22"/>
  <c r="H96" i="22"/>
  <c r="I96" i="22"/>
  <c r="E92" i="22"/>
  <c r="F92" i="22"/>
  <c r="E93" i="22"/>
  <c r="F93" i="22"/>
  <c r="E95" i="22"/>
  <c r="F95" i="22"/>
  <c r="E96" i="22"/>
  <c r="C124" i="22"/>
  <c r="C125" i="22"/>
  <c r="C128" i="22"/>
  <c r="E124" i="22"/>
  <c r="F124" i="22"/>
  <c r="D125" i="22"/>
  <c r="E125" i="22"/>
  <c r="F125" i="22"/>
  <c r="E127" i="22"/>
  <c r="F127" i="22"/>
  <c r="E128" i="22"/>
  <c r="F128" i="22"/>
  <c r="I124" i="22"/>
  <c r="H125" i="22"/>
  <c r="I125" i="22"/>
  <c r="H127" i="22"/>
  <c r="I127" i="22"/>
  <c r="H128" i="22"/>
  <c r="I128" i="22"/>
  <c r="G125" i="22"/>
  <c r="G127" i="22"/>
  <c r="G128" i="22"/>
  <c r="C157" i="22"/>
  <c r="C159" i="22"/>
  <c r="C160" i="22"/>
  <c r="D156" i="22"/>
  <c r="F156" i="22"/>
  <c r="I156" i="22"/>
  <c r="D157" i="22"/>
  <c r="F157" i="22"/>
  <c r="H157" i="22"/>
  <c r="I157" i="22"/>
  <c r="D159" i="22"/>
  <c r="E159" i="22"/>
  <c r="F159" i="22"/>
  <c r="I159" i="22"/>
  <c r="D160" i="22"/>
  <c r="F160" i="22"/>
  <c r="H160" i="22"/>
  <c r="I160" i="22"/>
  <c r="C188" i="22"/>
  <c r="C189" i="22"/>
  <c r="C191" i="22"/>
  <c r="C192" i="22"/>
  <c r="D188" i="22"/>
  <c r="E188" i="22"/>
  <c r="F188" i="22"/>
  <c r="G188" i="22"/>
  <c r="H188" i="22"/>
  <c r="I188" i="22"/>
  <c r="D189" i="22"/>
  <c r="E189" i="22"/>
  <c r="F189" i="22"/>
  <c r="G189" i="22"/>
  <c r="H189" i="22"/>
  <c r="I189" i="22"/>
  <c r="D191" i="22"/>
  <c r="E191" i="22"/>
  <c r="F191" i="22"/>
  <c r="G191" i="22"/>
  <c r="H191" i="22"/>
  <c r="I191" i="22"/>
  <c r="D192" i="22"/>
  <c r="E192" i="22"/>
  <c r="F192" i="22"/>
  <c r="G192" i="22"/>
  <c r="H192" i="22"/>
  <c r="I192" i="22"/>
  <c r="C220" i="22"/>
  <c r="C221" i="22"/>
  <c r="C223" i="22"/>
  <c r="C224" i="22"/>
  <c r="D220" i="22"/>
  <c r="E220" i="22"/>
  <c r="D221" i="22"/>
  <c r="E221" i="22"/>
  <c r="D223" i="22"/>
  <c r="E223" i="22"/>
  <c r="D224" i="22"/>
  <c r="E224" i="22"/>
  <c r="F221" i="22"/>
  <c r="F223" i="22"/>
  <c r="C253" i="22"/>
  <c r="D253" i="22"/>
  <c r="E253" i="22"/>
  <c r="F253" i="22"/>
  <c r="E255" i="22"/>
  <c r="F255" i="22"/>
  <c r="C284" i="22"/>
  <c r="E284" i="22"/>
  <c r="D316" i="22"/>
  <c r="F316" i="22"/>
  <c r="I316" i="22"/>
  <c r="C348" i="22"/>
  <c r="E348" i="22"/>
  <c r="F348" i="22"/>
  <c r="H348" i="22"/>
  <c r="I348" i="22"/>
  <c r="C380" i="22"/>
  <c r="D252" i="22"/>
  <c r="G252" i="22"/>
  <c r="G220" i="22"/>
  <c r="G223" i="22"/>
  <c r="H220" i="22"/>
  <c r="C252" i="22"/>
  <c r="E252" i="22"/>
  <c r="F252" i="22"/>
  <c r="G92" i="22"/>
  <c r="H156" i="22"/>
  <c r="F220" i="22"/>
  <c r="D11" i="22"/>
  <c r="D10" i="22"/>
  <c r="D9" i="22"/>
  <c r="D73" i="22"/>
  <c r="H41" i="22"/>
  <c r="F41" i="22"/>
  <c r="E41" i="22"/>
  <c r="D41" i="22"/>
  <c r="C41" i="22"/>
  <c r="I9" i="22"/>
  <c r="H9" i="22"/>
  <c r="G9" i="22"/>
  <c r="C73" i="22"/>
  <c r="I41" i="22"/>
  <c r="G41" i="22"/>
  <c r="E42" i="22"/>
  <c r="F42" i="22"/>
  <c r="G42" i="22"/>
  <c r="H42" i="22"/>
  <c r="E43" i="22"/>
  <c r="F43" i="22"/>
  <c r="H43" i="22"/>
  <c r="D75" i="22"/>
  <c r="E107" i="22"/>
  <c r="F75" i="22"/>
  <c r="I75" i="22"/>
  <c r="H75" i="22"/>
  <c r="F105" i="22"/>
  <c r="I73" i="22"/>
  <c r="D105" i="22"/>
  <c r="I106" i="22"/>
  <c r="I107" i="22"/>
  <c r="I105" i="22"/>
  <c r="H137" i="22"/>
  <c r="E203" i="22"/>
  <c r="D203" i="22"/>
  <c r="D202" i="22"/>
  <c r="C203" i="22"/>
  <c r="C202" i="22"/>
  <c r="H171" i="22"/>
  <c r="F171" i="22"/>
  <c r="E171" i="22"/>
  <c r="H170" i="22"/>
  <c r="G170" i="22"/>
  <c r="F170" i="22"/>
  <c r="E170" i="22"/>
  <c r="F139" i="22"/>
  <c r="D139" i="22"/>
  <c r="F138" i="22"/>
  <c r="D138" i="22"/>
  <c r="D171" i="22"/>
  <c r="D170" i="22"/>
  <c r="C169" i="22"/>
  <c r="I137" i="22"/>
  <c r="E137" i="22"/>
  <c r="G169" i="22"/>
  <c r="D137" i="22"/>
  <c r="F137" i="22"/>
  <c r="D169" i="22"/>
  <c r="E169" i="22"/>
  <c r="F169" i="22"/>
  <c r="H169" i="22"/>
  <c r="C201" i="22"/>
  <c r="D201" i="22"/>
  <c r="E201" i="22"/>
  <c r="G203" i="22"/>
  <c r="E235" i="22"/>
  <c r="E267" i="22"/>
  <c r="E266" i="22"/>
  <c r="E234" i="22"/>
  <c r="C266" i="22"/>
  <c r="D233" i="22"/>
  <c r="C267" i="22"/>
  <c r="H267" i="22"/>
  <c r="G235" i="22"/>
  <c r="F331" i="22"/>
  <c r="G299" i="22"/>
  <c r="C363" i="22"/>
  <c r="C233" i="22"/>
  <c r="F235" i="22"/>
  <c r="I266" i="22"/>
  <c r="D267" i="22"/>
  <c r="I267" i="22"/>
  <c r="C331" i="22"/>
  <c r="H330" i="22"/>
  <c r="E331" i="22"/>
  <c r="H331" i="22"/>
  <c r="F298" i="22"/>
  <c r="D299" i="22"/>
  <c r="F299" i="22"/>
  <c r="H299" i="22"/>
  <c r="D362" i="22"/>
  <c r="D363" i="22"/>
  <c r="F234" i="22"/>
  <c r="D13" i="22"/>
  <c r="D18" i="22"/>
  <c r="D16" i="22"/>
  <c r="D15" i="22"/>
  <c r="D14" i="22"/>
  <c r="D365" i="22"/>
  <c r="D336" i="22"/>
  <c r="G112" i="22"/>
  <c r="D240" i="22"/>
  <c r="I240" i="22"/>
  <c r="C270" i="22"/>
  <c r="C272" i="22"/>
  <c r="E240" i="22"/>
  <c r="H112" i="22"/>
  <c r="E272" i="22"/>
  <c r="F272" i="22"/>
  <c r="E304" i="22"/>
  <c r="G304" i="22"/>
  <c r="G16" i="22"/>
  <c r="E80" i="22"/>
  <c r="I144" i="22"/>
  <c r="C176" i="22"/>
  <c r="D174" i="22"/>
  <c r="D176" i="22"/>
  <c r="E239" i="22"/>
  <c r="F335" i="22"/>
  <c r="H335" i="22"/>
  <c r="E336" i="22"/>
  <c r="F336" i="22"/>
  <c r="H304" i="22"/>
  <c r="F207" i="22"/>
  <c r="H77" i="22"/>
  <c r="G269" i="22"/>
  <c r="C271" i="22"/>
  <c r="G272" i="22"/>
  <c r="G336" i="22"/>
  <c r="H109" i="22"/>
  <c r="G77" i="22"/>
  <c r="D301" i="22"/>
  <c r="D304" i="22"/>
  <c r="I207" i="22"/>
  <c r="H208" i="22"/>
  <c r="G13" i="22"/>
  <c r="C80" i="22"/>
  <c r="D80" i="22"/>
  <c r="C112" i="22"/>
  <c r="I112" i="22"/>
  <c r="F176" i="22"/>
  <c r="I336" i="22"/>
  <c r="E13" i="22"/>
  <c r="C368" i="22"/>
  <c r="F15" i="22"/>
  <c r="H15" i="22"/>
  <c r="I15" i="22"/>
  <c r="H16" i="22"/>
  <c r="I16" i="22"/>
  <c r="C47" i="22"/>
  <c r="E45" i="22"/>
  <c r="F45" i="22"/>
  <c r="G45" i="22"/>
  <c r="H45" i="22"/>
  <c r="E46" i="22"/>
  <c r="F46" i="22"/>
  <c r="E47" i="22"/>
  <c r="F47" i="22"/>
  <c r="G47" i="22"/>
  <c r="H47" i="22"/>
  <c r="D48" i="22"/>
  <c r="E48" i="22"/>
  <c r="F48" i="22"/>
  <c r="G48" i="22"/>
  <c r="H48" i="22"/>
  <c r="C77" i="22"/>
  <c r="C79" i="22"/>
  <c r="D77" i="22"/>
  <c r="D79" i="22"/>
  <c r="I77" i="22"/>
  <c r="G79" i="22"/>
  <c r="H79" i="22"/>
  <c r="H80" i="22"/>
  <c r="I80" i="22"/>
  <c r="E77" i="22"/>
  <c r="F77" i="22"/>
  <c r="E79" i="22"/>
  <c r="F79" i="22"/>
  <c r="F80" i="22"/>
  <c r="C109" i="22"/>
  <c r="E109" i="22"/>
  <c r="F109" i="22"/>
  <c r="E111" i="22"/>
  <c r="E112" i="22"/>
  <c r="F112" i="22"/>
  <c r="I109" i="22"/>
  <c r="H111" i="22"/>
  <c r="I111" i="22"/>
  <c r="G109" i="22"/>
  <c r="G111" i="22"/>
  <c r="C141" i="22"/>
  <c r="C143" i="22"/>
  <c r="D141" i="22"/>
  <c r="F141" i="22"/>
  <c r="G141" i="22"/>
  <c r="I141" i="22"/>
  <c r="D142" i="22"/>
  <c r="D143" i="22"/>
  <c r="F143" i="22"/>
  <c r="G143" i="22"/>
  <c r="I143" i="22"/>
  <c r="D144" i="22"/>
  <c r="G144" i="22"/>
  <c r="C173" i="22"/>
  <c r="C175" i="22"/>
  <c r="D173" i="22"/>
  <c r="E173" i="22"/>
  <c r="F173" i="22"/>
  <c r="H173" i="22"/>
  <c r="E174" i="22"/>
  <c r="F174" i="22"/>
  <c r="H174" i="22"/>
  <c r="D175" i="22"/>
  <c r="E175" i="22"/>
  <c r="F175" i="22"/>
  <c r="H175" i="22"/>
  <c r="E176" i="22"/>
  <c r="G176" i="22"/>
  <c r="H176" i="22"/>
  <c r="C205" i="22"/>
  <c r="C206" i="22"/>
  <c r="C207" i="22"/>
  <c r="C208" i="22"/>
  <c r="C239" i="22"/>
  <c r="D237" i="22"/>
  <c r="H237" i="22"/>
  <c r="E237" i="22"/>
  <c r="F237" i="22"/>
  <c r="F238" i="22"/>
  <c r="F239" i="22"/>
  <c r="F240" i="22"/>
  <c r="G237" i="22"/>
  <c r="G239" i="22"/>
  <c r="G240" i="22"/>
  <c r="I237" i="22"/>
  <c r="I239" i="22"/>
  <c r="C269" i="22"/>
  <c r="D269" i="22"/>
  <c r="E269" i="22"/>
  <c r="H269" i="22"/>
  <c r="I269" i="22"/>
  <c r="I270" i="22"/>
  <c r="D271" i="22"/>
  <c r="E271" i="22"/>
  <c r="F271" i="22"/>
  <c r="H271" i="22"/>
  <c r="I271" i="22"/>
  <c r="D272" i="22"/>
  <c r="H272" i="22"/>
  <c r="I272" i="22"/>
  <c r="C333" i="22"/>
  <c r="C335" i="22"/>
  <c r="C336" i="22"/>
  <c r="D333" i="22"/>
  <c r="E333" i="22"/>
  <c r="F333" i="22"/>
  <c r="G333" i="22"/>
  <c r="H333" i="22"/>
  <c r="I333" i="22"/>
  <c r="H334" i="22"/>
  <c r="D335" i="22"/>
  <c r="E335" i="22"/>
  <c r="G335" i="22"/>
  <c r="I335" i="22"/>
  <c r="H336" i="22"/>
  <c r="E301" i="22"/>
  <c r="F301" i="22"/>
  <c r="G301" i="22"/>
  <c r="H301" i="22"/>
  <c r="I301" i="22"/>
  <c r="F302" i="22"/>
  <c r="D303" i="22"/>
  <c r="E303" i="22"/>
  <c r="F303" i="22"/>
  <c r="G303" i="22"/>
  <c r="H303" i="22"/>
  <c r="I303" i="22"/>
  <c r="F304" i="22"/>
  <c r="I304" i="22"/>
  <c r="C365" i="22"/>
  <c r="C367" i="22"/>
  <c r="D367" i="22"/>
  <c r="D205" i="22"/>
  <c r="E205" i="22"/>
  <c r="D206" i="22"/>
  <c r="D207" i="22"/>
  <c r="E207" i="22"/>
  <c r="D208" i="22"/>
  <c r="E208" i="22"/>
  <c r="G205" i="22"/>
  <c r="G208" i="22"/>
  <c r="H205" i="22"/>
  <c r="H207" i="22"/>
  <c r="H13" i="22"/>
  <c r="I13" i="22"/>
  <c r="G18" i="22"/>
  <c r="C146" i="22"/>
  <c r="E18" i="22"/>
  <c r="H242" i="22"/>
  <c r="D306" i="22"/>
  <c r="H210" i="22"/>
  <c r="C114" i="22"/>
  <c r="H114" i="22"/>
  <c r="H146" i="22"/>
  <c r="C274" i="22"/>
  <c r="H274" i="22"/>
  <c r="H18" i="22"/>
  <c r="I18" i="22"/>
  <c r="D50" i="22"/>
  <c r="E50" i="22"/>
  <c r="F50" i="22"/>
  <c r="G50" i="22"/>
  <c r="H50" i="22"/>
  <c r="I50" i="22"/>
  <c r="C82" i="22"/>
  <c r="D82" i="22"/>
  <c r="F82" i="22"/>
  <c r="E114" i="22"/>
  <c r="F114" i="22"/>
  <c r="I114" i="22"/>
  <c r="G114" i="22"/>
  <c r="D146" i="22"/>
  <c r="F146" i="22"/>
  <c r="G146" i="22"/>
  <c r="I146" i="22"/>
  <c r="D178" i="22"/>
  <c r="E178" i="22"/>
  <c r="F178" i="22"/>
  <c r="G178" i="22"/>
  <c r="H178" i="22"/>
  <c r="C210" i="22"/>
  <c r="D242" i="22"/>
  <c r="E242" i="22"/>
  <c r="F242" i="22"/>
  <c r="G242" i="22"/>
  <c r="I242" i="22"/>
  <c r="D274" i="22"/>
  <c r="E274" i="22"/>
  <c r="I274" i="22"/>
  <c r="C338" i="22"/>
  <c r="D338" i="22"/>
  <c r="E338" i="22"/>
  <c r="F338" i="22"/>
  <c r="G338" i="22"/>
  <c r="H338" i="22"/>
  <c r="I338" i="22"/>
  <c r="E306" i="22"/>
  <c r="F306" i="22"/>
  <c r="H306" i="22"/>
  <c r="I306" i="22"/>
  <c r="C370" i="22"/>
  <c r="D370" i="22"/>
  <c r="D210" i="22"/>
  <c r="E210" i="22"/>
  <c r="G210" i="22"/>
  <c r="H144" i="22"/>
  <c r="G80" i="22"/>
  <c r="G238" i="22"/>
  <c r="G302" i="22"/>
  <c r="H46" i="22"/>
  <c r="I110" i="22"/>
  <c r="F142" i="22"/>
  <c r="F144" i="22"/>
  <c r="H302" i="22"/>
  <c r="F274" i="22"/>
  <c r="G274" i="22"/>
  <c r="G82" i="22"/>
  <c r="H82" i="22"/>
  <c r="D19" i="22"/>
  <c r="D179" i="22"/>
  <c r="H51" i="22"/>
  <c r="E51" i="22"/>
  <c r="F51" i="22"/>
  <c r="D147" i="22"/>
  <c r="E179" i="22"/>
  <c r="F179" i="22"/>
  <c r="H179" i="22"/>
  <c r="C211" i="22"/>
  <c r="F243" i="22"/>
  <c r="H339" i="22"/>
  <c r="F307" i="22"/>
  <c r="D211" i="22"/>
  <c r="F147" i="22"/>
  <c r="G244" i="22"/>
  <c r="H244" i="22"/>
  <c r="G276" i="22"/>
  <c r="H212" i="22"/>
  <c r="G212" i="22"/>
  <c r="E212" i="22"/>
  <c r="D212" i="22"/>
  <c r="C372" i="22"/>
  <c r="I308" i="22"/>
  <c r="H308" i="22"/>
  <c r="G308" i="22"/>
  <c r="F308" i="22"/>
  <c r="H340" i="22"/>
  <c r="G340" i="22"/>
  <c r="F340" i="22"/>
  <c r="C340" i="22"/>
  <c r="H276" i="22"/>
  <c r="F276" i="22"/>
  <c r="E276" i="22"/>
  <c r="D276" i="22"/>
  <c r="I244" i="22"/>
  <c r="F244" i="22"/>
  <c r="E244" i="22"/>
  <c r="D244" i="22"/>
  <c r="C212" i="22"/>
  <c r="H180" i="22"/>
  <c r="G180" i="22"/>
  <c r="F180" i="22"/>
  <c r="E180" i="22"/>
  <c r="D180" i="22"/>
  <c r="I148" i="22"/>
  <c r="G148" i="22"/>
  <c r="F148" i="22"/>
  <c r="D148" i="22"/>
  <c r="I116" i="22"/>
  <c r="H116" i="22"/>
  <c r="F116" i="22"/>
  <c r="D116" i="22"/>
  <c r="C116" i="22"/>
  <c r="F84" i="22"/>
  <c r="E84" i="22"/>
  <c r="I84" i="22"/>
  <c r="H84" i="22"/>
  <c r="D84" i="22"/>
  <c r="C84" i="22"/>
  <c r="I52" i="22"/>
  <c r="H52" i="22"/>
  <c r="G52" i="22"/>
  <c r="F52" i="22"/>
  <c r="E52" i="22"/>
  <c r="D52" i="22"/>
  <c r="C52" i="22"/>
  <c r="I20" i="22"/>
  <c r="H20" i="22"/>
  <c r="G20" i="22"/>
  <c r="F20" i="22"/>
  <c r="E20" i="22"/>
  <c r="E148" i="22"/>
  <c r="D308" i="22"/>
  <c r="E340" i="22"/>
  <c r="H148" i="22"/>
  <c r="D372" i="22"/>
  <c r="D20" i="22"/>
  <c r="E217" i="22"/>
  <c r="D217" i="22"/>
  <c r="E216" i="22"/>
  <c r="D216" i="22"/>
  <c r="C217" i="22"/>
  <c r="C216" i="22"/>
  <c r="H185" i="22"/>
  <c r="F185" i="22"/>
  <c r="E185" i="22"/>
  <c r="I184" i="22"/>
  <c r="H184" i="22"/>
  <c r="G184" i="22"/>
  <c r="E184" i="22"/>
  <c r="F153" i="22"/>
  <c r="D153" i="22"/>
  <c r="F152" i="22"/>
  <c r="D152" i="22"/>
  <c r="I121" i="22"/>
  <c r="I89" i="22"/>
  <c r="G57" i="22"/>
  <c r="F57" i="22"/>
  <c r="E57" i="22"/>
  <c r="D57" i="22"/>
  <c r="G56" i="22"/>
  <c r="F56" i="22"/>
  <c r="E56" i="22"/>
  <c r="I25" i="22"/>
  <c r="H25" i="22"/>
  <c r="I24" i="22"/>
  <c r="H24" i="22"/>
  <c r="G152" i="22"/>
  <c r="F184" i="22"/>
  <c r="I120" i="22"/>
  <c r="E121" i="22"/>
  <c r="F120" i="22"/>
  <c r="E120" i="22"/>
  <c r="C120" i="22"/>
  <c r="I88" i="22"/>
  <c r="F88" i="22"/>
  <c r="D89" i="22"/>
  <c r="D88" i="22"/>
  <c r="C89" i="22"/>
  <c r="C88" i="22"/>
  <c r="H152" i="22"/>
  <c r="H89" i="22"/>
  <c r="H88" i="22"/>
  <c r="F121" i="22"/>
  <c r="C121" i="22"/>
  <c r="G121" i="22"/>
  <c r="D185" i="22"/>
  <c r="D184" i="22"/>
  <c r="G25" i="22"/>
  <c r="G24" i="22"/>
  <c r="I153" i="22"/>
  <c r="H121" i="22"/>
  <c r="D24" i="22"/>
  <c r="D25" i="22"/>
  <c r="H233" i="22"/>
  <c r="H124" i="22"/>
  <c r="F203" i="22"/>
  <c r="I176" i="22"/>
  <c r="I178" i="22"/>
  <c r="I180" i="22"/>
  <c r="G84" i="22"/>
  <c r="I185" i="22"/>
  <c r="D380" i="22"/>
  <c r="E287" i="22"/>
  <c r="I60" i="22"/>
  <c r="G124" i="22"/>
  <c r="E156" i="22"/>
  <c r="D284" i="22"/>
  <c r="G284" i="22"/>
  <c r="G316" i="22"/>
  <c r="H61" i="22"/>
  <c r="I61" i="22"/>
  <c r="H63" i="22"/>
  <c r="E157" i="22"/>
  <c r="I284" i="22"/>
  <c r="I201" i="22"/>
  <c r="D124" i="22"/>
  <c r="C156" i="22"/>
  <c r="F208" i="22"/>
  <c r="C304" i="22"/>
  <c r="C144" i="22"/>
  <c r="I48" i="22"/>
  <c r="E144" i="22"/>
  <c r="E143" i="22"/>
  <c r="I45" i="22"/>
  <c r="I47" i="22"/>
  <c r="D109" i="22"/>
  <c r="E82" i="22"/>
  <c r="D112" i="22"/>
  <c r="E141" i="22"/>
  <c r="E146" i="22"/>
  <c r="I275" i="22"/>
  <c r="I276" i="22"/>
  <c r="H56" i="22"/>
  <c r="G153" i="22"/>
  <c r="I56" i="22"/>
  <c r="H57" i="22"/>
  <c r="C316" i="22"/>
  <c r="I220" i="22"/>
  <c r="E28" i="22"/>
  <c r="C139" i="22"/>
  <c r="C148" i="22"/>
  <c r="C153" i="22"/>
  <c r="G43" i="22"/>
  <c r="E75" i="22"/>
  <c r="G171" i="22"/>
  <c r="F267" i="22"/>
  <c r="I235" i="22"/>
  <c r="H235" i="22"/>
  <c r="E270" i="22"/>
  <c r="E15" i="22"/>
  <c r="G46" i="22"/>
  <c r="D47" i="22"/>
  <c r="G173" i="22"/>
  <c r="G174" i="22"/>
  <c r="G175" i="22"/>
  <c r="F269" i="22"/>
  <c r="D334" i="22"/>
  <c r="E238" i="22"/>
  <c r="E243" i="22"/>
  <c r="E275" i="22"/>
  <c r="G179" i="22"/>
  <c r="G51" i="22"/>
  <c r="G211" i="22"/>
  <c r="G185" i="22"/>
  <c r="D56" i="22"/>
  <c r="G120" i="22"/>
  <c r="C184" i="22"/>
  <c r="I152" i="22"/>
  <c r="H120" i="22"/>
  <c r="H240" i="22"/>
  <c r="G334" i="22"/>
  <c r="E25" i="22"/>
  <c r="E152" i="22"/>
  <c r="E88" i="22"/>
  <c r="D120" i="22"/>
  <c r="E89" i="22"/>
  <c r="D121" i="22"/>
  <c r="G88" i="22"/>
  <c r="E153" i="22"/>
  <c r="C152" i="22"/>
  <c r="E24" i="22"/>
  <c r="C10" i="22"/>
  <c r="C127" i="22"/>
  <c r="H159" i="22"/>
  <c r="G73" i="22"/>
  <c r="G10" i="22"/>
  <c r="G11" i="22"/>
  <c r="C74" i="22"/>
  <c r="D74" i="22"/>
  <c r="H10" i="22"/>
  <c r="I10" i="22"/>
  <c r="H11" i="22"/>
  <c r="I11" i="22"/>
  <c r="D42" i="22"/>
  <c r="C75" i="22"/>
  <c r="G74" i="22"/>
  <c r="F107" i="22"/>
  <c r="C107" i="22"/>
  <c r="C106" i="22"/>
  <c r="I74" i="22"/>
  <c r="F106" i="22"/>
  <c r="F74" i="22"/>
  <c r="E74" i="22"/>
  <c r="C105" i="22"/>
  <c r="G106" i="22"/>
  <c r="G107" i="22"/>
  <c r="H107" i="22"/>
  <c r="H106" i="22"/>
  <c r="H138" i="22"/>
  <c r="H139" i="22"/>
  <c r="E202" i="22"/>
  <c r="G139" i="22"/>
  <c r="G138" i="22"/>
  <c r="C171" i="22"/>
  <c r="I139" i="22"/>
  <c r="I138" i="22"/>
  <c r="C170" i="22"/>
  <c r="C137" i="22"/>
  <c r="H202" i="22"/>
  <c r="H203" i="22"/>
  <c r="G267" i="22"/>
  <c r="G266" i="22"/>
  <c r="D330" i="22"/>
  <c r="D234" i="22"/>
  <c r="D235" i="22"/>
  <c r="D298" i="22"/>
  <c r="F266" i="22"/>
  <c r="I331" i="22"/>
  <c r="E299" i="22"/>
  <c r="E330" i="22"/>
  <c r="I330" i="22"/>
  <c r="H298" i="22"/>
  <c r="I298" i="22"/>
  <c r="C362" i="22"/>
  <c r="C330" i="22"/>
  <c r="I299" i="22"/>
  <c r="G234" i="22"/>
  <c r="I234" i="22"/>
  <c r="G14" i="22"/>
  <c r="C174" i="22"/>
  <c r="I173" i="22"/>
  <c r="H78" i="22"/>
  <c r="C366" i="22"/>
  <c r="H14" i="22"/>
  <c r="I14" i="22"/>
  <c r="D45" i="22"/>
  <c r="I79" i="22"/>
  <c r="C110" i="22"/>
  <c r="C111" i="22"/>
  <c r="E110" i="22"/>
  <c r="F111" i="22"/>
  <c r="H143" i="22"/>
  <c r="I175" i="22"/>
  <c r="D239" i="22"/>
  <c r="G271" i="22"/>
  <c r="F334" i="22"/>
  <c r="I302" i="22"/>
  <c r="E206" i="22"/>
  <c r="F210" i="22"/>
  <c r="C178" i="22"/>
  <c r="D114" i="22"/>
  <c r="C306" i="22"/>
  <c r="I82" i="22"/>
  <c r="G306" i="22"/>
  <c r="I142" i="22"/>
  <c r="H142" i="22"/>
  <c r="G270" i="22"/>
  <c r="D302" i="22"/>
  <c r="H206" i="22"/>
  <c r="F78" i="22"/>
  <c r="F110" i="22"/>
  <c r="H270" i="22"/>
  <c r="E302" i="22"/>
  <c r="C78" i="22"/>
  <c r="D78" i="22"/>
  <c r="I78" i="22"/>
  <c r="H141" i="22"/>
  <c r="G142" i="22"/>
  <c r="D270" i="22"/>
  <c r="C334" i="22"/>
  <c r="E334" i="22"/>
  <c r="G19" i="22"/>
  <c r="I147" i="22"/>
  <c r="C179" i="22"/>
  <c r="C275" i="22"/>
  <c r="H115" i="22"/>
  <c r="G243" i="22"/>
  <c r="H19" i="22"/>
  <c r="I19" i="22"/>
  <c r="D83" i="22"/>
  <c r="H83" i="22"/>
  <c r="F83" i="22"/>
  <c r="E115" i="22"/>
  <c r="I115" i="22"/>
  <c r="C339" i="22"/>
  <c r="F339" i="22"/>
  <c r="H307" i="22"/>
  <c r="I307" i="22"/>
  <c r="C371" i="22"/>
  <c r="E211" i="22"/>
  <c r="H211" i="22"/>
  <c r="G275" i="22"/>
  <c r="I243" i="22"/>
  <c r="G115" i="22"/>
  <c r="D307" i="22"/>
  <c r="E307" i="22"/>
  <c r="G307" i="22"/>
  <c r="H275" i="22"/>
  <c r="I339" i="22"/>
  <c r="C115" i="22"/>
  <c r="F115" i="22"/>
  <c r="D275" i="22"/>
  <c r="E339" i="22"/>
  <c r="C83" i="22"/>
  <c r="I83" i="22"/>
  <c r="G147" i="22"/>
  <c r="F212" i="22"/>
  <c r="E308" i="22"/>
  <c r="I340" i="22"/>
  <c r="C180" i="22"/>
  <c r="G116" i="22"/>
  <c r="D340" i="22"/>
  <c r="F89" i="22"/>
  <c r="C185" i="22"/>
  <c r="E31" i="22"/>
  <c r="I170" i="22"/>
  <c r="I171" i="22"/>
  <c r="I169" i="22"/>
  <c r="I174" i="22"/>
  <c r="I179" i="22"/>
  <c r="I43" i="22"/>
  <c r="E138" i="22"/>
  <c r="F205" i="22"/>
  <c r="D111" i="22"/>
  <c r="C303" i="22"/>
  <c r="F206" i="22"/>
  <c r="I46" i="22"/>
  <c r="F211" i="22"/>
  <c r="I51" i="22"/>
  <c r="I57" i="22"/>
  <c r="G89" i="22"/>
  <c r="F216" i="22"/>
  <c r="C147" i="22"/>
  <c r="D43" i="22"/>
  <c r="G75" i="22"/>
  <c r="D331" i="22"/>
  <c r="G331" i="22"/>
  <c r="D46" i="22"/>
  <c r="H110" i="22"/>
  <c r="G110" i="22"/>
  <c r="H238" i="22"/>
  <c r="D238" i="22"/>
  <c r="I238" i="22"/>
  <c r="F270" i="22"/>
  <c r="I334" i="22"/>
  <c r="D339" i="22"/>
  <c r="D243" i="22"/>
  <c r="D51" i="22"/>
  <c r="H243" i="22"/>
  <c r="F275" i="22"/>
  <c r="G83" i="22"/>
  <c r="E11" i="22"/>
  <c r="H239" i="22"/>
  <c r="E14" i="22"/>
  <c r="G339" i="22"/>
  <c r="E19" i="22"/>
  <c r="E139" i="22"/>
  <c r="C299" i="22"/>
  <c r="E78" i="22"/>
  <c r="G78" i="22"/>
  <c r="D110" i="22"/>
  <c r="E142" i="22"/>
  <c r="C302" i="22"/>
  <c r="E83" i="22"/>
  <c r="D115" i="22"/>
  <c r="E147" i="22"/>
  <c r="D107" i="22"/>
  <c r="C301" i="22"/>
  <c r="C142" i="22"/>
  <c r="F32" i="22"/>
  <c r="F224" i="22"/>
  <c r="F28" i="22"/>
  <c r="F29" i="22"/>
  <c r="E32" i="22"/>
  <c r="C60" i="22"/>
  <c r="C61" i="22"/>
  <c r="C64" i="22"/>
  <c r="D128" i="22"/>
  <c r="F9" i="22"/>
  <c r="C42" i="22"/>
  <c r="C43" i="22"/>
  <c r="E106" i="22"/>
  <c r="G202" i="22"/>
  <c r="C234" i="22"/>
  <c r="C235" i="22"/>
  <c r="G15" i="22"/>
  <c r="F16" i="22"/>
  <c r="C45" i="22"/>
  <c r="C46" i="22"/>
  <c r="C48" i="22"/>
  <c r="F13" i="22"/>
  <c r="G206" i="22"/>
  <c r="G207" i="22"/>
  <c r="F18" i="22"/>
  <c r="C50" i="22"/>
  <c r="C51" i="22"/>
  <c r="D371" i="22"/>
  <c r="E116" i="22"/>
  <c r="C57" i="22"/>
  <c r="C56" i="22"/>
  <c r="F24" i="22"/>
  <c r="H153" i="22"/>
  <c r="E16" i="22"/>
  <c r="C18" i="22"/>
  <c r="C16" i="22"/>
  <c r="E29" i="22"/>
  <c r="I64" i="22"/>
  <c r="E9" i="22"/>
  <c r="C138" i="22"/>
  <c r="C24" i="22"/>
  <c r="F10" i="22"/>
  <c r="F11" i="22"/>
  <c r="H74" i="22"/>
  <c r="C298" i="22"/>
  <c r="G330" i="22"/>
  <c r="H266" i="22"/>
  <c r="E298" i="22"/>
  <c r="D266" i="22"/>
  <c r="F330" i="22"/>
  <c r="G298" i="22"/>
  <c r="H234" i="22"/>
  <c r="F14" i="22"/>
  <c r="H147" i="22"/>
  <c r="F19" i="22"/>
  <c r="F25" i="22"/>
  <c r="E371" i="22"/>
  <c r="E10" i="22"/>
  <c r="F202" i="22"/>
  <c r="C11" i="22"/>
  <c r="C13" i="22"/>
  <c r="C14" i="22"/>
  <c r="I42" i="22"/>
  <c r="I202" i="22"/>
  <c r="F217" i="22"/>
  <c r="D106" i="22"/>
  <c r="C308" i="22"/>
  <c r="I203" i="22"/>
  <c r="C307" i="22"/>
  <c r="C19" i="22"/>
  <c r="C240" i="22"/>
  <c r="C238" i="22"/>
  <c r="C237" i="22"/>
  <c r="C242" i="22"/>
  <c r="C243" i="22"/>
  <c r="C244" i="22"/>
  <c r="I205" i="22"/>
  <c r="I208" i="22"/>
  <c r="I210" i="22"/>
  <c r="I212" i="22"/>
  <c r="I211" i="22"/>
  <c r="I206" i="22"/>
  <c r="CE60" i="3"/>
  <c r="H612" i="3" s="1"/>
  <c r="CE61" i="3"/>
  <c r="AZ48" i="3" s="1"/>
  <c r="AZ62" i="3" s="1"/>
  <c r="C236" i="22" s="1"/>
  <c r="CE65" i="3"/>
  <c r="C431" i="3" s="1"/>
  <c r="CE63" i="3"/>
  <c r="I365" i="22" s="1"/>
  <c r="CE66" i="3"/>
  <c r="I368" i="22" s="1"/>
  <c r="CE68" i="3"/>
  <c r="D75" i="3"/>
  <c r="AR75" i="3"/>
  <c r="I186" i="22" s="1"/>
  <c r="AS75" i="3"/>
  <c r="AT75" i="3"/>
  <c r="AU75" i="3"/>
  <c r="AQ75" i="3"/>
  <c r="H186" i="22" s="1"/>
  <c r="AO75" i="3"/>
  <c r="AN75" i="3"/>
  <c r="AM75" i="3"/>
  <c r="AI75" i="3"/>
  <c r="G154" i="22" s="1"/>
  <c r="AH75" i="3"/>
  <c r="F154" i="22" s="1"/>
  <c r="AF75" i="3"/>
  <c r="D154" i="22" s="1"/>
  <c r="AD75" i="3"/>
  <c r="AA75" i="3"/>
  <c r="F122" i="22" s="1"/>
  <c r="Z75" i="3"/>
  <c r="E122" i="22" s="1"/>
  <c r="X75" i="3"/>
  <c r="C122" i="22" s="1"/>
  <c r="W75" i="3"/>
  <c r="V75" i="3"/>
  <c r="H90" i="22" s="1"/>
  <c r="T75" i="3"/>
  <c r="R75" i="3"/>
  <c r="Q75" i="3"/>
  <c r="C90" i="22" s="1"/>
  <c r="P75" i="3"/>
  <c r="I58" i="22" s="1"/>
  <c r="O75" i="3"/>
  <c r="N75" i="3"/>
  <c r="G58" i="22" s="1"/>
  <c r="M75" i="3"/>
  <c r="F58" i="22" s="1"/>
  <c r="L75" i="3"/>
  <c r="I75" i="3"/>
  <c r="I26" i="22" s="1"/>
  <c r="H75" i="3"/>
  <c r="H26" i="22" s="1"/>
  <c r="G75" i="3"/>
  <c r="F75" i="3"/>
  <c r="F26" i="22" s="1"/>
  <c r="AV75" i="3"/>
  <c r="AP75" i="3"/>
  <c r="AJ75" i="3"/>
  <c r="AL75" i="3"/>
  <c r="C186" i="22" s="1"/>
  <c r="AK75" i="3"/>
  <c r="I154" i="22" s="1"/>
  <c r="AG75" i="3"/>
  <c r="AE75" i="3"/>
  <c r="AC75" i="3"/>
  <c r="H122" i="22" s="1"/>
  <c r="AB75" i="3"/>
  <c r="Y75" i="3"/>
  <c r="D122" i="22" s="1"/>
  <c r="U75" i="3"/>
  <c r="G90" i="22" s="1"/>
  <c r="S75" i="3"/>
  <c r="E90" i="22" s="1"/>
  <c r="K75" i="3"/>
  <c r="J75" i="3"/>
  <c r="E75" i="3"/>
  <c r="CE73" i="3"/>
  <c r="CE74" i="3"/>
  <c r="I377" i="22" s="1"/>
  <c r="C75" i="3"/>
  <c r="C26" i="22" s="1"/>
  <c r="CE80" i="3"/>
  <c r="CE69" i="3"/>
  <c r="I371" i="22" s="1"/>
  <c r="D361" i="3"/>
  <c r="C112" i="21" s="1"/>
  <c r="D372" i="3"/>
  <c r="C125" i="21" s="1"/>
  <c r="D260" i="3"/>
  <c r="C16" i="21" s="1"/>
  <c r="D265" i="3"/>
  <c r="D275" i="3"/>
  <c r="B476" i="3" s="1"/>
  <c r="D290" i="3"/>
  <c r="C49" i="21" s="1"/>
  <c r="D314" i="3"/>
  <c r="C68" i="21" s="1"/>
  <c r="D319" i="3"/>
  <c r="C74" i="21" s="1"/>
  <c r="D328" i="3"/>
  <c r="C84" i="21" s="1"/>
  <c r="D329" i="3"/>
  <c r="C85" i="21" s="1"/>
  <c r="D229" i="3"/>
  <c r="D13" i="20" s="1"/>
  <c r="D236" i="3"/>
  <c r="D240" i="3"/>
  <c r="B447" i="3" s="1"/>
  <c r="E209" i="3"/>
  <c r="F24" i="19" s="1"/>
  <c r="E210" i="3"/>
  <c r="F25" i="19" s="1"/>
  <c r="E211" i="3"/>
  <c r="F26" i="19" s="1"/>
  <c r="E212" i="3"/>
  <c r="F27" i="19" s="1"/>
  <c r="E213" i="3"/>
  <c r="F28" i="19" s="1"/>
  <c r="E214" i="3"/>
  <c r="F29" i="19" s="1"/>
  <c r="E215" i="3"/>
  <c r="F30" i="19" s="1"/>
  <c r="E216" i="3"/>
  <c r="F31" i="19" s="1"/>
  <c r="D217" i="3"/>
  <c r="E32" i="19" s="1"/>
  <c r="C217" i="3"/>
  <c r="D32" i="19" s="1"/>
  <c r="E196" i="3"/>
  <c r="C469" i="3" s="1"/>
  <c r="E197" i="3"/>
  <c r="F9" i="19" s="1"/>
  <c r="E198" i="3"/>
  <c r="E199" i="3"/>
  <c r="C472" i="3" s="1"/>
  <c r="E200" i="3"/>
  <c r="F12" i="19" s="1"/>
  <c r="E201" i="3"/>
  <c r="F13" i="19" s="1"/>
  <c r="E202" i="3"/>
  <c r="C474" i="3" s="1"/>
  <c r="E203" i="3"/>
  <c r="C475" i="3" s="1"/>
  <c r="D204" i="3"/>
  <c r="E16" i="19" s="1"/>
  <c r="B204" i="3"/>
  <c r="C16" i="19" s="1"/>
  <c r="D190" i="3"/>
  <c r="D437" i="3" s="1"/>
  <c r="D186" i="3"/>
  <c r="D436" i="3" s="1"/>
  <c r="D181" i="3"/>
  <c r="C27" i="18" s="1"/>
  <c r="D177" i="3"/>
  <c r="C20" i="18" s="1"/>
  <c r="E154" i="3"/>
  <c r="E153" i="3"/>
  <c r="E152" i="3"/>
  <c r="D28" i="17" s="1"/>
  <c r="E151" i="3"/>
  <c r="C28" i="17" s="1"/>
  <c r="E150" i="3"/>
  <c r="E148" i="3"/>
  <c r="E147" i="3"/>
  <c r="E19" i="17" s="1"/>
  <c r="E146" i="3"/>
  <c r="D19" i="17" s="1"/>
  <c r="E145" i="3"/>
  <c r="C19" i="17" s="1"/>
  <c r="E144" i="3"/>
  <c r="E141" i="3"/>
  <c r="E10" i="17" s="1"/>
  <c r="E140" i="3"/>
  <c r="D10" i="17" s="1"/>
  <c r="E139" i="3"/>
  <c r="C415" i="3" s="1"/>
  <c r="E127" i="3"/>
  <c r="CF79" i="3"/>
  <c r="B53" i="3"/>
  <c r="CE51" i="3"/>
  <c r="B49" i="3"/>
  <c r="A412" i="3"/>
  <c r="G493" i="3"/>
  <c r="E493" i="3"/>
  <c r="C493" i="3"/>
  <c r="E550" i="3"/>
  <c r="E546" i="3"/>
  <c r="E545" i="3"/>
  <c r="E544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7" i="3"/>
  <c r="E526" i="3"/>
  <c r="E525" i="3"/>
  <c r="E524" i="3"/>
  <c r="E523" i="3"/>
  <c r="E522" i="3"/>
  <c r="E520" i="3"/>
  <c r="E518" i="3"/>
  <c r="E517" i="3"/>
  <c r="E516" i="3"/>
  <c r="E514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B478" i="3"/>
  <c r="B475" i="3"/>
  <c r="B474" i="3"/>
  <c r="B473" i="3"/>
  <c r="B472" i="3"/>
  <c r="B471" i="3"/>
  <c r="C470" i="3"/>
  <c r="B470" i="3"/>
  <c r="B469" i="3"/>
  <c r="B468" i="3"/>
  <c r="B464" i="3"/>
  <c r="B463" i="3"/>
  <c r="C459" i="3"/>
  <c r="B459" i="3"/>
  <c r="B458" i="3"/>
  <c r="B455" i="3"/>
  <c r="B454" i="3"/>
  <c r="B453" i="3"/>
  <c r="C447" i="3"/>
  <c r="C446" i="3"/>
  <c r="C445" i="3"/>
  <c r="B438" i="3"/>
  <c r="B439" i="3"/>
  <c r="C439" i="3"/>
  <c r="C438" i="3"/>
  <c r="B437" i="3"/>
  <c r="B436" i="3"/>
  <c r="B435" i="3"/>
  <c r="B434" i="3"/>
  <c r="D433" i="3"/>
  <c r="B433" i="3"/>
  <c r="B432" i="3"/>
  <c r="B431" i="3"/>
  <c r="B430" i="3"/>
  <c r="B429" i="3"/>
  <c r="B428" i="3"/>
  <c r="B427" i="3"/>
  <c r="D424" i="3"/>
  <c r="B424" i="3"/>
  <c r="B423" i="3"/>
  <c r="D421" i="3"/>
  <c r="B421" i="3"/>
  <c r="B420" i="3"/>
  <c r="D418" i="3"/>
  <c r="B418" i="3"/>
  <c r="C417" i="3"/>
  <c r="B417" i="3"/>
  <c r="D415" i="3"/>
  <c r="B415" i="3"/>
  <c r="B414" i="3"/>
  <c r="C3" i="21"/>
  <c r="A3" i="21"/>
  <c r="C149" i="21"/>
  <c r="C148" i="21"/>
  <c r="C144" i="21"/>
  <c r="C139" i="21"/>
  <c r="C138" i="21"/>
  <c r="C137" i="21"/>
  <c r="C136" i="21"/>
  <c r="C135" i="21"/>
  <c r="C134" i="21"/>
  <c r="C133" i="21"/>
  <c r="C132" i="21"/>
  <c r="C131" i="21"/>
  <c r="C130" i="21"/>
  <c r="C129" i="21"/>
  <c r="C124" i="21"/>
  <c r="C123" i="21"/>
  <c r="C118" i="21"/>
  <c r="C117" i="21"/>
  <c r="C116" i="21"/>
  <c r="C111" i="21"/>
  <c r="C110" i="21"/>
  <c r="C107" i="21"/>
  <c r="A107" i="21"/>
  <c r="C88" i="21"/>
  <c r="C83" i="21"/>
  <c r="C82" i="21"/>
  <c r="C81" i="21"/>
  <c r="C80" i="21"/>
  <c r="C79" i="21"/>
  <c r="C78" i="21"/>
  <c r="C77" i="21"/>
  <c r="C73" i="21"/>
  <c r="C72" i="21"/>
  <c r="C71" i="21"/>
  <c r="C67" i="21"/>
  <c r="C66" i="21"/>
  <c r="C65" i="21"/>
  <c r="C64" i="21"/>
  <c r="C63" i="21"/>
  <c r="C62" i="21"/>
  <c r="C61" i="21"/>
  <c r="C60" i="21"/>
  <c r="C59" i="21"/>
  <c r="C58" i="21"/>
  <c r="A55" i="21"/>
  <c r="C55" i="21"/>
  <c r="C48" i="21"/>
  <c r="C47" i="21"/>
  <c r="C46" i="21"/>
  <c r="C45" i="21"/>
  <c r="C41" i="21"/>
  <c r="C39" i="21"/>
  <c r="C38" i="21"/>
  <c r="C34" i="21"/>
  <c r="C32" i="21"/>
  <c r="C31" i="21"/>
  <c r="C30" i="21"/>
  <c r="C29" i="21"/>
  <c r="C28" i="21"/>
  <c r="C27" i="21"/>
  <c r="C26" i="21"/>
  <c r="C25" i="21"/>
  <c r="C22" i="21"/>
  <c r="C21" i="21"/>
  <c r="C20" i="21"/>
  <c r="C19" i="21"/>
  <c r="C15" i="21"/>
  <c r="C14" i="21"/>
  <c r="C13" i="21"/>
  <c r="C12" i="21"/>
  <c r="C11" i="21"/>
  <c r="C10" i="21"/>
  <c r="C9" i="21"/>
  <c r="C8" i="21"/>
  <c r="C7" i="21"/>
  <c r="C6" i="21"/>
  <c r="G31" i="16"/>
  <c r="B4" i="16"/>
  <c r="G37" i="16"/>
  <c r="G36" i="16"/>
  <c r="G34" i="16"/>
  <c r="G33" i="16"/>
  <c r="G32" i="16"/>
  <c r="G30" i="16"/>
  <c r="D40" i="16"/>
  <c r="D36" i="16"/>
  <c r="D35" i="16"/>
  <c r="D34" i="16"/>
  <c r="D33" i="16"/>
  <c r="D32" i="16"/>
  <c r="D31" i="16"/>
  <c r="D30" i="16"/>
  <c r="G26" i="16"/>
  <c r="G25" i="16"/>
  <c r="G24" i="16"/>
  <c r="G23" i="16"/>
  <c r="F26" i="16"/>
  <c r="F25" i="16"/>
  <c r="F24" i="16"/>
  <c r="F23" i="16"/>
  <c r="E18" i="16"/>
  <c r="E17" i="16"/>
  <c r="E16" i="16"/>
  <c r="C17" i="16"/>
  <c r="C16" i="16"/>
  <c r="A19" i="16"/>
  <c r="A17" i="16"/>
  <c r="A16" i="16"/>
  <c r="D11" i="16"/>
  <c r="D10" i="16"/>
  <c r="D9" i="16"/>
  <c r="D8" i="16"/>
  <c r="D7" i="16"/>
  <c r="D6" i="16"/>
  <c r="D5" i="16"/>
  <c r="F4" i="16"/>
  <c r="G3" i="17"/>
  <c r="C33" i="17"/>
  <c r="C32" i="17"/>
  <c r="G27" i="17"/>
  <c r="G26" i="17"/>
  <c r="G25" i="17"/>
  <c r="F27" i="17"/>
  <c r="F26" i="17"/>
  <c r="F25" i="17"/>
  <c r="E28" i="17"/>
  <c r="E27" i="17"/>
  <c r="E26" i="17"/>
  <c r="E25" i="17"/>
  <c r="D27" i="17"/>
  <c r="D26" i="17"/>
  <c r="D25" i="17"/>
  <c r="C27" i="17"/>
  <c r="C26" i="17"/>
  <c r="C25" i="17"/>
  <c r="B27" i="17"/>
  <c r="B26" i="17"/>
  <c r="B25" i="17"/>
  <c r="G18" i="17"/>
  <c r="G17" i="17"/>
  <c r="G16" i="17"/>
  <c r="F18" i="17"/>
  <c r="F17" i="17"/>
  <c r="F16" i="17"/>
  <c r="E18" i="17"/>
  <c r="E17" i="17"/>
  <c r="E16" i="17"/>
  <c r="D18" i="17"/>
  <c r="D17" i="17"/>
  <c r="D16" i="17"/>
  <c r="C18" i="17"/>
  <c r="C17" i="17"/>
  <c r="C16" i="17"/>
  <c r="B19" i="17"/>
  <c r="B18" i="17"/>
  <c r="B17" i="17"/>
  <c r="B16" i="17"/>
  <c r="A2" i="17"/>
  <c r="G8" i="17"/>
  <c r="G7" i="17"/>
  <c r="F8" i="17"/>
  <c r="F7" i="17"/>
  <c r="E9" i="17"/>
  <c r="E8" i="17"/>
  <c r="E7" i="17"/>
  <c r="D9" i="17"/>
  <c r="D8" i="17"/>
  <c r="D7" i="17"/>
  <c r="C9" i="17"/>
  <c r="C8" i="17"/>
  <c r="C7" i="17"/>
  <c r="B9" i="17"/>
  <c r="B8" i="17"/>
  <c r="B7" i="17"/>
  <c r="C3" i="18"/>
  <c r="A3" i="18"/>
  <c r="C39" i="18"/>
  <c r="C38" i="18"/>
  <c r="C33" i="18"/>
  <c r="C32" i="18"/>
  <c r="C31" i="18"/>
  <c r="C26" i="18"/>
  <c r="C25" i="18"/>
  <c r="C19" i="18"/>
  <c r="C18" i="18"/>
  <c r="C13" i="18"/>
  <c r="C12" i="18"/>
  <c r="C11" i="18"/>
  <c r="C10" i="18"/>
  <c r="C8" i="18"/>
  <c r="C7" i="18"/>
  <c r="C6" i="18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F15" i="19"/>
  <c r="E15" i="19"/>
  <c r="D15" i="19"/>
  <c r="E14" i="19"/>
  <c r="D14" i="19"/>
  <c r="E13" i="19"/>
  <c r="D13" i="19"/>
  <c r="E12" i="19"/>
  <c r="F11" i="19"/>
  <c r="E11" i="19"/>
  <c r="D11" i="19"/>
  <c r="E10" i="19"/>
  <c r="D10" i="19"/>
  <c r="E9" i="19"/>
  <c r="D9" i="19"/>
  <c r="E8" i="19"/>
  <c r="D8" i="19"/>
  <c r="E7" i="19"/>
  <c r="D7" i="19"/>
  <c r="C31" i="19"/>
  <c r="C30" i="19"/>
  <c r="C29" i="19"/>
  <c r="C27" i="19"/>
  <c r="C26" i="19"/>
  <c r="C25" i="19"/>
  <c r="C24" i="19"/>
  <c r="C15" i="19"/>
  <c r="C14" i="19"/>
  <c r="C13" i="19"/>
  <c r="C12" i="19"/>
  <c r="C11" i="19"/>
  <c r="C10" i="19"/>
  <c r="C9" i="19"/>
  <c r="C8" i="19"/>
  <c r="C7" i="19"/>
  <c r="F3" i="19"/>
  <c r="A3" i="19"/>
  <c r="D16" i="20"/>
  <c r="D2" i="20"/>
  <c r="A2" i="20"/>
  <c r="D26" i="20"/>
  <c r="D24" i="20"/>
  <c r="D19" i="20"/>
  <c r="D18" i="20"/>
  <c r="D12" i="20"/>
  <c r="D11" i="20"/>
  <c r="D10" i="20"/>
  <c r="D9" i="20"/>
  <c r="D8" i="20"/>
  <c r="D7" i="20"/>
  <c r="B28" i="15"/>
  <c r="E21" i="15"/>
  <c r="E18" i="15"/>
  <c r="E17" i="15"/>
  <c r="D366" i="22"/>
  <c r="CE64" i="3"/>
  <c r="F612" i="3" s="1"/>
  <c r="D368" i="22"/>
  <c r="C276" i="22"/>
  <c r="CE70" i="3"/>
  <c r="C458" i="3" s="1"/>
  <c r="CE76" i="3"/>
  <c r="CE77" i="3"/>
  <c r="I29" i="22"/>
  <c r="C95" i="22"/>
  <c r="CE79" i="3"/>
  <c r="J612" i="3" s="1"/>
  <c r="E142" i="3"/>
  <c r="F10" i="17" s="1"/>
  <c r="G9" i="17"/>
  <c r="F9" i="17"/>
  <c r="E138" i="3"/>
  <c r="C414" i="3" s="1"/>
  <c r="C204" i="3"/>
  <c r="D16" i="19" s="1"/>
  <c r="E195" i="3"/>
  <c r="C28" i="19"/>
  <c r="B217" i="3"/>
  <c r="C32" i="19" s="1"/>
  <c r="C140" i="21"/>
  <c r="D390" i="3"/>
  <c r="D283" i="3"/>
  <c r="C42" i="21" s="1"/>
  <c r="C40" i="21"/>
  <c r="E515" i="3"/>
  <c r="H73" i="22"/>
  <c r="E105" i="22"/>
  <c r="E519" i="3"/>
  <c r="E528" i="3"/>
  <c r="G137" i="22"/>
  <c r="C9" i="18"/>
  <c r="D173" i="3"/>
  <c r="D428" i="3" s="1"/>
  <c r="CD71" i="3"/>
  <c r="E373" i="22" s="1"/>
  <c r="C615" i="3"/>
  <c r="E372" i="22"/>
  <c r="F499" i="3"/>
  <c r="H505" i="3"/>
  <c r="F505" i="3"/>
  <c r="H501" i="3"/>
  <c r="F501" i="3"/>
  <c r="H499" i="3"/>
  <c r="C34" i="18" l="1"/>
  <c r="C10" i="17"/>
  <c r="C434" i="3"/>
  <c r="BV48" i="3"/>
  <c r="BV62" i="3" s="1"/>
  <c r="C430" i="3"/>
  <c r="D5" i="20"/>
  <c r="G122" i="22"/>
  <c r="C218" i="22"/>
  <c r="C440" i="3"/>
  <c r="C464" i="3"/>
  <c r="I370" i="22"/>
  <c r="D435" i="3"/>
  <c r="G10" i="17"/>
  <c r="F8" i="19"/>
  <c r="C429" i="3"/>
  <c r="G28" i="17"/>
  <c r="G612" i="3"/>
  <c r="D612" i="3"/>
  <c r="I372" i="22"/>
  <c r="C575" i="3"/>
  <c r="B10" i="17"/>
  <c r="C14" i="18"/>
  <c r="I380" i="22"/>
  <c r="C473" i="3"/>
  <c r="D186" i="22"/>
  <c r="I362" i="22"/>
  <c r="B445" i="3"/>
  <c r="C421" i="3"/>
  <c r="D463" i="3"/>
  <c r="D330" i="3"/>
  <c r="C86" i="21" s="1"/>
  <c r="B440" i="3"/>
  <c r="C448" i="3"/>
  <c r="D368" i="3"/>
  <c r="C120" i="21" s="1"/>
  <c r="C33" i="21"/>
  <c r="D277" i="3"/>
  <c r="C35" i="21" s="1"/>
  <c r="CF76" i="3"/>
  <c r="BS52" i="3" s="1"/>
  <c r="BS67" i="3" s="1"/>
  <c r="E26" i="22"/>
  <c r="E154" i="22"/>
  <c r="E58" i="22"/>
  <c r="I366" i="22"/>
  <c r="BK48" i="3"/>
  <c r="BK62" i="3" s="1"/>
  <c r="W48" i="3"/>
  <c r="W62" i="3" s="1"/>
  <c r="AB48" i="3"/>
  <c r="AB62" i="3" s="1"/>
  <c r="D48" i="3"/>
  <c r="D62" i="3" s="1"/>
  <c r="BS48" i="3"/>
  <c r="BS62" i="3" s="1"/>
  <c r="BA48" i="3"/>
  <c r="BA62" i="3" s="1"/>
  <c r="U48" i="3"/>
  <c r="U62" i="3" s="1"/>
  <c r="BU48" i="3"/>
  <c r="BU62" i="3" s="1"/>
  <c r="BE48" i="3"/>
  <c r="BE62" i="3" s="1"/>
  <c r="AO48" i="3"/>
  <c r="AO62" i="3" s="1"/>
  <c r="CC48" i="3"/>
  <c r="CC62" i="3" s="1"/>
  <c r="BO48" i="3"/>
  <c r="BO62" i="3" s="1"/>
  <c r="AA48" i="3"/>
  <c r="AA62" i="3" s="1"/>
  <c r="F108" i="22" s="1"/>
  <c r="C48" i="3"/>
  <c r="BX48" i="3"/>
  <c r="BX62" i="3" s="1"/>
  <c r="BN48" i="3"/>
  <c r="BN62" i="3" s="1"/>
  <c r="BH48" i="3"/>
  <c r="BH62" i="3" s="1"/>
  <c r="AX48" i="3"/>
  <c r="AX62" i="3" s="1"/>
  <c r="AR48" i="3"/>
  <c r="AR62" i="3" s="1"/>
  <c r="AH48" i="3"/>
  <c r="AH62" i="3" s="1"/>
  <c r="Z48" i="3"/>
  <c r="Z62" i="3" s="1"/>
  <c r="F48" i="3"/>
  <c r="F62" i="3" s="1"/>
  <c r="F12" i="22" s="1"/>
  <c r="I363" i="22"/>
  <c r="T48" i="3"/>
  <c r="T62" i="3" s="1"/>
  <c r="H48" i="3"/>
  <c r="H62" i="3" s="1"/>
  <c r="G48" i="3"/>
  <c r="G62" i="3" s="1"/>
  <c r="G12" i="22" s="1"/>
  <c r="O48" i="3"/>
  <c r="O62" i="3" s="1"/>
  <c r="BI48" i="3"/>
  <c r="BI62" i="3" s="1"/>
  <c r="BQ48" i="3"/>
  <c r="BQ62" i="3" s="1"/>
  <c r="AW48" i="3"/>
  <c r="AW62" i="3" s="1"/>
  <c r="G204" i="22" s="1"/>
  <c r="AG48" i="3"/>
  <c r="AG62" i="3" s="1"/>
  <c r="Q48" i="3"/>
  <c r="Q62" i="3" s="1"/>
  <c r="AY48" i="3"/>
  <c r="AY62" i="3" s="1"/>
  <c r="K48" i="3"/>
  <c r="K62" i="3" s="1"/>
  <c r="BY48" i="3"/>
  <c r="BY62" i="3" s="1"/>
  <c r="BT48" i="3"/>
  <c r="BT62" i="3" s="1"/>
  <c r="BJ48" i="3"/>
  <c r="BJ62" i="3" s="1"/>
  <c r="BD48" i="3"/>
  <c r="BD62" i="3" s="1"/>
  <c r="AT48" i="3"/>
  <c r="AT62" i="3" s="1"/>
  <c r="D204" i="22" s="1"/>
  <c r="AN48" i="3"/>
  <c r="AN62" i="3" s="1"/>
  <c r="AD48" i="3"/>
  <c r="AD62" i="3" s="1"/>
  <c r="R48" i="3"/>
  <c r="R62" i="3" s="1"/>
  <c r="P48" i="3"/>
  <c r="P62" i="3" s="1"/>
  <c r="BZ48" i="3"/>
  <c r="BZ62" i="3" s="1"/>
  <c r="M48" i="3"/>
  <c r="M62" i="3" s="1"/>
  <c r="AM48" i="3"/>
  <c r="AM62" i="3" s="1"/>
  <c r="AK48" i="3"/>
  <c r="AK62" i="3" s="1"/>
  <c r="BM48" i="3"/>
  <c r="BM62" i="3" s="1"/>
  <c r="I48" i="3"/>
  <c r="I62" i="3" s="1"/>
  <c r="BG48" i="3"/>
  <c r="BG62" i="3" s="1"/>
  <c r="BL48" i="3"/>
  <c r="BL62" i="3" s="1"/>
  <c r="BB48" i="3"/>
  <c r="BB62" i="3" s="1"/>
  <c r="E236" i="22" s="1"/>
  <c r="AF48" i="3"/>
  <c r="AF62" i="3" s="1"/>
  <c r="N48" i="3"/>
  <c r="N62" i="3" s="1"/>
  <c r="G44" i="22" s="1"/>
  <c r="X48" i="3"/>
  <c r="X62" i="3" s="1"/>
  <c r="AU48" i="3"/>
  <c r="AU62" i="3" s="1"/>
  <c r="S48" i="3"/>
  <c r="S62" i="3" s="1"/>
  <c r="CB48" i="3"/>
  <c r="CB62" i="3" s="1"/>
  <c r="C364" i="22" s="1"/>
  <c r="BP48" i="3"/>
  <c r="BP62" i="3" s="1"/>
  <c r="BF48" i="3"/>
  <c r="BF62" i="3" s="1"/>
  <c r="AJ48" i="3"/>
  <c r="AJ62" i="3" s="1"/>
  <c r="V48" i="3"/>
  <c r="V62" i="3" s="1"/>
  <c r="AL48" i="3"/>
  <c r="AL62" i="3" s="1"/>
  <c r="C172" i="22" s="1"/>
  <c r="CA48" i="3"/>
  <c r="CA62" i="3" s="1"/>
  <c r="AI48" i="3"/>
  <c r="AI62" i="3" s="1"/>
  <c r="L48" i="3"/>
  <c r="L62" i="3" s="1"/>
  <c r="AS48" i="3"/>
  <c r="AS62" i="3" s="1"/>
  <c r="H58" i="22"/>
  <c r="E218" i="22"/>
  <c r="J48" i="3"/>
  <c r="J62" i="3" s="1"/>
  <c r="Y48" i="3"/>
  <c r="Y62" i="3" s="1"/>
  <c r="C432" i="3"/>
  <c r="AV48" i="3"/>
  <c r="AV62" i="3" s="1"/>
  <c r="BR48" i="3"/>
  <c r="BR62" i="3" s="1"/>
  <c r="G300" i="22" s="1"/>
  <c r="BW48" i="3"/>
  <c r="BW62" i="3" s="1"/>
  <c r="C427" i="3"/>
  <c r="AC48" i="3"/>
  <c r="AC62" i="3" s="1"/>
  <c r="H108" i="22" s="1"/>
  <c r="I122" i="22"/>
  <c r="E48" i="3"/>
  <c r="E62" i="3" s="1"/>
  <c r="E12" i="22" s="1"/>
  <c r="BC48" i="3"/>
  <c r="BC62" i="3" s="1"/>
  <c r="G186" i="22"/>
  <c r="AP48" i="3"/>
  <c r="AP62" i="3" s="1"/>
  <c r="AQ48" i="3"/>
  <c r="AQ62" i="3" s="1"/>
  <c r="AE48" i="3"/>
  <c r="AE62" i="3" s="1"/>
  <c r="F28" i="17"/>
  <c r="B441" i="3"/>
  <c r="C141" i="21"/>
  <c r="C154" i="22"/>
  <c r="F90" i="22"/>
  <c r="CF77" i="3"/>
  <c r="I381" i="22"/>
  <c r="G19" i="17"/>
  <c r="F19" i="17"/>
  <c r="B465" i="3"/>
  <c r="I90" i="22"/>
  <c r="E186" i="22"/>
  <c r="D218" i="22"/>
  <c r="D332" i="22"/>
  <c r="B446" i="3"/>
  <c r="D242" i="3"/>
  <c r="C418" i="3"/>
  <c r="D438" i="3"/>
  <c r="F14" i="19"/>
  <c r="C471" i="3"/>
  <c r="F10" i="19"/>
  <c r="D26" i="22"/>
  <c r="CE75" i="3"/>
  <c r="F7" i="19"/>
  <c r="E204" i="3"/>
  <c r="C468" i="3"/>
  <c r="I383" i="22"/>
  <c r="D22" i="20"/>
  <c r="C40" i="18"/>
  <c r="C420" i="3"/>
  <c r="B28" i="17"/>
  <c r="F186" i="22"/>
  <c r="I376" i="22"/>
  <c r="C463" i="3"/>
  <c r="D58" i="22"/>
  <c r="G26" i="22"/>
  <c r="E217" i="3"/>
  <c r="I384" i="22"/>
  <c r="L612" i="3"/>
  <c r="F218" i="22"/>
  <c r="D90" i="22"/>
  <c r="D464" i="3"/>
  <c r="H154" i="22"/>
  <c r="I367" i="22"/>
  <c r="D434" i="3"/>
  <c r="C58" i="22"/>
  <c r="AX52" i="3" l="1"/>
  <c r="AX67" i="3" s="1"/>
  <c r="AX71" i="3" s="1"/>
  <c r="H213" i="22" s="1"/>
  <c r="D339" i="3"/>
  <c r="BF52" i="3"/>
  <c r="BF67" i="3" s="1"/>
  <c r="BF71" i="3" s="1"/>
  <c r="C629" i="3" s="1"/>
  <c r="Y52" i="3"/>
  <c r="Y67" i="3" s="1"/>
  <c r="BX52" i="3"/>
  <c r="BX67" i="3" s="1"/>
  <c r="BH52" i="3"/>
  <c r="BH67" i="3" s="1"/>
  <c r="D273" i="22" s="1"/>
  <c r="R52" i="3"/>
  <c r="R67" i="3" s="1"/>
  <c r="D81" i="22" s="1"/>
  <c r="CC52" i="3"/>
  <c r="CC67" i="3" s="1"/>
  <c r="D369" i="22" s="1"/>
  <c r="BV52" i="3"/>
  <c r="BV67" i="3" s="1"/>
  <c r="BV71" i="3" s="1"/>
  <c r="C567" i="3" s="1"/>
  <c r="AD52" i="3"/>
  <c r="AD67" i="3" s="1"/>
  <c r="AD71" i="3" s="1"/>
  <c r="C695" i="3" s="1"/>
  <c r="BU52" i="3"/>
  <c r="BU67" i="3" s="1"/>
  <c r="C337" i="22" s="1"/>
  <c r="T52" i="3"/>
  <c r="T67" i="3" s="1"/>
  <c r="T71" i="3" s="1"/>
  <c r="AY52" i="3"/>
  <c r="AY67" i="3" s="1"/>
  <c r="I209" i="22" s="1"/>
  <c r="AL52" i="3"/>
  <c r="AL67" i="3" s="1"/>
  <c r="AU52" i="3"/>
  <c r="AU67" i="3" s="1"/>
  <c r="AU71" i="3" s="1"/>
  <c r="E213" i="22" s="1"/>
  <c r="H52" i="3"/>
  <c r="H67" i="3" s="1"/>
  <c r="H71" i="3" s="1"/>
  <c r="C501" i="3" s="1"/>
  <c r="G501" i="3" s="1"/>
  <c r="BP52" i="3"/>
  <c r="BP67" i="3" s="1"/>
  <c r="E305" i="22" s="1"/>
  <c r="AI52" i="3"/>
  <c r="AI67" i="3" s="1"/>
  <c r="I52" i="3"/>
  <c r="I67" i="3" s="1"/>
  <c r="AH52" i="3"/>
  <c r="AH67" i="3" s="1"/>
  <c r="AH71" i="3" s="1"/>
  <c r="C699" i="3" s="1"/>
  <c r="AK52" i="3"/>
  <c r="AK67" i="3" s="1"/>
  <c r="I145" i="22" s="1"/>
  <c r="BY52" i="3"/>
  <c r="BY67" i="3" s="1"/>
  <c r="E52" i="3"/>
  <c r="E67" i="3" s="1"/>
  <c r="AB52" i="3"/>
  <c r="AB67" i="3" s="1"/>
  <c r="BI52" i="3"/>
  <c r="BI67" i="3" s="1"/>
  <c r="E273" i="22" s="1"/>
  <c r="S52" i="3"/>
  <c r="S67" i="3" s="1"/>
  <c r="E81" i="22" s="1"/>
  <c r="AF52" i="3"/>
  <c r="AF67" i="3" s="1"/>
  <c r="AJ52" i="3"/>
  <c r="AJ67" i="3" s="1"/>
  <c r="AZ52" i="3"/>
  <c r="AZ67" i="3" s="1"/>
  <c r="C241" i="22" s="1"/>
  <c r="AR52" i="3"/>
  <c r="AR67" i="3" s="1"/>
  <c r="BR52" i="3"/>
  <c r="BR67" i="3" s="1"/>
  <c r="BR71" i="3" s="1"/>
  <c r="C563" i="3" s="1"/>
  <c r="AA52" i="3"/>
  <c r="AA67" i="3" s="1"/>
  <c r="F113" i="22" s="1"/>
  <c r="M52" i="3"/>
  <c r="M67" i="3" s="1"/>
  <c r="CB52" i="3"/>
  <c r="CB67" i="3" s="1"/>
  <c r="CB71" i="3" s="1"/>
  <c r="C373" i="22" s="1"/>
  <c r="F52" i="3"/>
  <c r="F67" i="3" s="1"/>
  <c r="F17" i="22" s="1"/>
  <c r="BD52" i="3"/>
  <c r="BD67" i="3" s="1"/>
  <c r="BD71" i="3" s="1"/>
  <c r="H305" i="22"/>
  <c r="J52" i="3"/>
  <c r="J67" i="3" s="1"/>
  <c r="L52" i="3"/>
  <c r="L67" i="3" s="1"/>
  <c r="E49" i="22" s="1"/>
  <c r="W52" i="3"/>
  <c r="W67" i="3" s="1"/>
  <c r="W71" i="3" s="1"/>
  <c r="C516" i="3" s="1"/>
  <c r="G516" i="3" s="1"/>
  <c r="AV52" i="3"/>
  <c r="AV67" i="3" s="1"/>
  <c r="C52" i="3"/>
  <c r="AE52" i="3"/>
  <c r="AE67" i="3" s="1"/>
  <c r="C145" i="22" s="1"/>
  <c r="K52" i="3"/>
  <c r="K67" i="3" s="1"/>
  <c r="K71" i="3" s="1"/>
  <c r="BJ52" i="3"/>
  <c r="BJ67" i="3" s="1"/>
  <c r="AO52" i="3"/>
  <c r="AO67" i="3" s="1"/>
  <c r="F177" i="22" s="1"/>
  <c r="U52" i="3"/>
  <c r="U67" i="3" s="1"/>
  <c r="G81" i="22" s="1"/>
  <c r="AQ52" i="3"/>
  <c r="AQ67" i="3" s="1"/>
  <c r="H177" i="22" s="1"/>
  <c r="AP52" i="3"/>
  <c r="AP67" i="3" s="1"/>
  <c r="AP71" i="3" s="1"/>
  <c r="C535" i="3" s="1"/>
  <c r="G535" i="3" s="1"/>
  <c r="BG52" i="3"/>
  <c r="BG67" i="3" s="1"/>
  <c r="BG71" i="3" s="1"/>
  <c r="CA52" i="3"/>
  <c r="CA67" i="3" s="1"/>
  <c r="BB52" i="3"/>
  <c r="BB67" i="3" s="1"/>
  <c r="E241" i="22" s="1"/>
  <c r="BE52" i="3"/>
  <c r="BE67" i="3" s="1"/>
  <c r="BE71" i="3" s="1"/>
  <c r="AW52" i="3"/>
  <c r="AW67" i="3" s="1"/>
  <c r="AM52" i="3"/>
  <c r="AM67" i="3" s="1"/>
  <c r="AM71" i="3" s="1"/>
  <c r="AC52" i="3"/>
  <c r="AC67" i="3" s="1"/>
  <c r="AC71" i="3" s="1"/>
  <c r="C522" i="3" s="1"/>
  <c r="G522" i="3" s="1"/>
  <c r="BW52" i="3"/>
  <c r="BW67" i="3" s="1"/>
  <c r="AT52" i="3"/>
  <c r="AT67" i="3" s="1"/>
  <c r="AT71" i="3" s="1"/>
  <c r="C539" i="3" s="1"/>
  <c r="G539" i="3" s="1"/>
  <c r="BC52" i="3"/>
  <c r="BC67" i="3" s="1"/>
  <c r="O52" i="3"/>
  <c r="O67" i="3" s="1"/>
  <c r="BK52" i="3"/>
  <c r="BK67" i="3" s="1"/>
  <c r="G273" i="22" s="1"/>
  <c r="G52" i="3"/>
  <c r="G67" i="3" s="1"/>
  <c r="G71" i="3" s="1"/>
  <c r="C500" i="3" s="1"/>
  <c r="G500" i="3" s="1"/>
  <c r="D52" i="3"/>
  <c r="D67" i="3" s="1"/>
  <c r="D71" i="3" s="1"/>
  <c r="BN52" i="3"/>
  <c r="BN67" i="3" s="1"/>
  <c r="BM52" i="3"/>
  <c r="BM67" i="3" s="1"/>
  <c r="BQ52" i="3"/>
  <c r="BQ67" i="3" s="1"/>
  <c r="AS52" i="3"/>
  <c r="AS67" i="3" s="1"/>
  <c r="Q52" i="3"/>
  <c r="Q67" i="3" s="1"/>
  <c r="N52" i="3"/>
  <c r="N67" i="3" s="1"/>
  <c r="AN52" i="3"/>
  <c r="AN67" i="3" s="1"/>
  <c r="BO52" i="3"/>
  <c r="BO67" i="3" s="1"/>
  <c r="BO71" i="3" s="1"/>
  <c r="C560" i="3" s="1"/>
  <c r="BT52" i="3"/>
  <c r="BT67" i="3" s="1"/>
  <c r="BL52" i="3"/>
  <c r="BL67" i="3" s="1"/>
  <c r="X52" i="3"/>
  <c r="X67" i="3" s="1"/>
  <c r="BZ52" i="3"/>
  <c r="BZ67" i="3" s="1"/>
  <c r="H337" i="22" s="1"/>
  <c r="AG52" i="3"/>
  <c r="AG67" i="3" s="1"/>
  <c r="Z52" i="3"/>
  <c r="Z67" i="3" s="1"/>
  <c r="E113" i="22" s="1"/>
  <c r="V52" i="3"/>
  <c r="V67" i="3" s="1"/>
  <c r="P52" i="3"/>
  <c r="P67" i="3" s="1"/>
  <c r="I49" i="22" s="1"/>
  <c r="BA52" i="3"/>
  <c r="BA67" i="3" s="1"/>
  <c r="D241" i="22" s="1"/>
  <c r="D465" i="3"/>
  <c r="D292" i="3"/>
  <c r="D341" i="3" s="1"/>
  <c r="C481" i="3" s="1"/>
  <c r="D373" i="3"/>
  <c r="C126" i="21" s="1"/>
  <c r="H76" i="22"/>
  <c r="I76" i="22"/>
  <c r="E332" i="22"/>
  <c r="H204" i="22"/>
  <c r="E204" i="22"/>
  <c r="I236" i="22"/>
  <c r="C300" i="22"/>
  <c r="D12" i="22"/>
  <c r="H44" i="22"/>
  <c r="F140" i="22"/>
  <c r="G332" i="22"/>
  <c r="C108" i="22"/>
  <c r="G140" i="22"/>
  <c r="G172" i="22"/>
  <c r="H172" i="22"/>
  <c r="F44" i="22"/>
  <c r="F268" i="22"/>
  <c r="D364" i="22"/>
  <c r="D108" i="22"/>
  <c r="I108" i="22"/>
  <c r="I332" i="22"/>
  <c r="C268" i="22"/>
  <c r="D172" i="22"/>
  <c r="D76" i="22"/>
  <c r="G236" i="22"/>
  <c r="D44" i="22"/>
  <c r="C62" i="3"/>
  <c r="CE48" i="3"/>
  <c r="F172" i="22"/>
  <c r="D236" i="22"/>
  <c r="F204" i="22"/>
  <c r="C204" i="22"/>
  <c r="E76" i="22"/>
  <c r="I12" i="22"/>
  <c r="H12" i="22"/>
  <c r="D268" i="22"/>
  <c r="H236" i="22"/>
  <c r="G268" i="22"/>
  <c r="I204" i="22"/>
  <c r="F337" i="22"/>
  <c r="E44" i="22"/>
  <c r="I268" i="22"/>
  <c r="H332" i="22"/>
  <c r="E172" i="22"/>
  <c r="I300" i="22"/>
  <c r="C76" i="22"/>
  <c r="E268" i="22"/>
  <c r="F76" i="22"/>
  <c r="D300" i="22"/>
  <c r="C332" i="22"/>
  <c r="H140" i="22"/>
  <c r="D140" i="22"/>
  <c r="F300" i="22"/>
  <c r="E108" i="22"/>
  <c r="H300" i="22"/>
  <c r="BS71" i="3"/>
  <c r="C140" i="22"/>
  <c r="F236" i="22"/>
  <c r="C44" i="22"/>
  <c r="E300" i="22"/>
  <c r="H268" i="22"/>
  <c r="I140" i="22"/>
  <c r="I44" i="22"/>
  <c r="E140" i="22"/>
  <c r="I172" i="22"/>
  <c r="F332" i="22"/>
  <c r="G76" i="22"/>
  <c r="G108" i="22"/>
  <c r="D27" i="20"/>
  <c r="B448" i="3"/>
  <c r="F544" i="3"/>
  <c r="H536" i="3"/>
  <c r="F536" i="3"/>
  <c r="F528" i="3"/>
  <c r="F520" i="3"/>
  <c r="I378" i="22"/>
  <c r="K612" i="3"/>
  <c r="C465" i="3"/>
  <c r="F32" i="19"/>
  <c r="C478" i="3"/>
  <c r="C102" i="21"/>
  <c r="C482" i="3"/>
  <c r="F498" i="3"/>
  <c r="C476" i="3"/>
  <c r="F16" i="19"/>
  <c r="F516" i="3"/>
  <c r="F540" i="3"/>
  <c r="H540" i="3"/>
  <c r="F532" i="3"/>
  <c r="H532" i="3"/>
  <c r="F524" i="3"/>
  <c r="F550" i="3"/>
  <c r="H209" i="22" l="1"/>
  <c r="D341" i="22"/>
  <c r="I241" i="22"/>
  <c r="BX71" i="3"/>
  <c r="D113" i="22"/>
  <c r="AL71" i="3"/>
  <c r="C531" i="3" s="1"/>
  <c r="G531" i="3" s="1"/>
  <c r="I113" i="22"/>
  <c r="AI71" i="3"/>
  <c r="G149" i="22" s="1"/>
  <c r="BH71" i="3"/>
  <c r="D277" i="22" s="1"/>
  <c r="AY71" i="3"/>
  <c r="C625" i="3" s="1"/>
  <c r="E30" i="22"/>
  <c r="I62" i="22"/>
  <c r="D30" i="22"/>
  <c r="C190" i="22"/>
  <c r="H62" i="22"/>
  <c r="H318" i="22"/>
  <c r="C62" i="22"/>
  <c r="F222" i="22"/>
  <c r="G30" i="22"/>
  <c r="H94" i="22"/>
  <c r="E62" i="22"/>
  <c r="F190" i="22"/>
  <c r="G94" i="22"/>
  <c r="F94" i="22"/>
  <c r="C94" i="22"/>
  <c r="D94" i="22"/>
  <c r="D350" i="22"/>
  <c r="F62" i="22"/>
  <c r="G190" i="22"/>
  <c r="E94" i="22"/>
  <c r="E350" i="22"/>
  <c r="G62" i="22"/>
  <c r="H190" i="22"/>
  <c r="F350" i="22"/>
  <c r="H30" i="22"/>
  <c r="I158" i="22"/>
  <c r="D62" i="22"/>
  <c r="G222" i="22"/>
  <c r="D286" i="22"/>
  <c r="I30" i="22"/>
  <c r="D190" i="22"/>
  <c r="R71" i="3"/>
  <c r="C511" i="3" s="1"/>
  <c r="C30" i="22"/>
  <c r="I126" i="22"/>
  <c r="H126" i="22"/>
  <c r="E126" i="22"/>
  <c r="C222" i="22"/>
  <c r="I318" i="22"/>
  <c r="H158" i="22"/>
  <c r="D254" i="22"/>
  <c r="I94" i="22"/>
  <c r="H350" i="22"/>
  <c r="F126" i="22"/>
  <c r="D222" i="22"/>
  <c r="C126" i="22"/>
  <c r="I350" i="22"/>
  <c r="G126" i="22"/>
  <c r="E222" i="22"/>
  <c r="D126" i="22"/>
  <c r="I190" i="22"/>
  <c r="G350" i="22"/>
  <c r="D158" i="22"/>
  <c r="E254" i="22"/>
  <c r="C382" i="22"/>
  <c r="E190" i="22"/>
  <c r="C350" i="22"/>
  <c r="C158" i="22"/>
  <c r="H286" i="22"/>
  <c r="F158" i="22"/>
  <c r="F254" i="22"/>
  <c r="E158" i="22"/>
  <c r="F30" i="22"/>
  <c r="G158" i="22"/>
  <c r="E286" i="22"/>
  <c r="BT71" i="3"/>
  <c r="I309" i="22" s="1"/>
  <c r="Y71" i="3"/>
  <c r="D117" i="22" s="1"/>
  <c r="CC71" i="3"/>
  <c r="D373" i="22" s="1"/>
  <c r="D305" i="22"/>
  <c r="AB71" i="3"/>
  <c r="C693" i="3" s="1"/>
  <c r="P71" i="3"/>
  <c r="C509" i="3" s="1"/>
  <c r="G509" i="3" s="1"/>
  <c r="C642" i="3"/>
  <c r="BP71" i="3"/>
  <c r="C621" i="3" s="1"/>
  <c r="D337" i="22"/>
  <c r="BN71" i="3"/>
  <c r="C619" i="3" s="1"/>
  <c r="AF71" i="3"/>
  <c r="C697" i="3" s="1"/>
  <c r="BU71" i="3"/>
  <c r="C566" i="3" s="1"/>
  <c r="E17" i="22"/>
  <c r="C305" i="22"/>
  <c r="I81" i="22"/>
  <c r="H49" i="22"/>
  <c r="G241" i="22"/>
  <c r="F81" i="22"/>
  <c r="H145" i="22"/>
  <c r="AJ71" i="3"/>
  <c r="C701" i="3" s="1"/>
  <c r="C209" i="22"/>
  <c r="H113" i="22"/>
  <c r="G113" i="22"/>
  <c r="AQ71" i="3"/>
  <c r="C536" i="3" s="1"/>
  <c r="G536" i="3" s="1"/>
  <c r="BZ71" i="3"/>
  <c r="C571" i="3" s="1"/>
  <c r="AA71" i="3"/>
  <c r="C520" i="3" s="1"/>
  <c r="G520" i="3" s="1"/>
  <c r="AS71" i="3"/>
  <c r="C213" i="22" s="1"/>
  <c r="BB71" i="3"/>
  <c r="C632" i="3" s="1"/>
  <c r="O71" i="3"/>
  <c r="C508" i="3" s="1"/>
  <c r="G508" i="3" s="1"/>
  <c r="H17" i="22"/>
  <c r="D49" i="22"/>
  <c r="C177" i="22"/>
  <c r="G145" i="22"/>
  <c r="F241" i="22"/>
  <c r="X71" i="3"/>
  <c r="C689" i="3" s="1"/>
  <c r="I17" i="22"/>
  <c r="E209" i="22"/>
  <c r="F71" i="3"/>
  <c r="F21" i="22" s="1"/>
  <c r="D145" i="22"/>
  <c r="I71" i="3"/>
  <c r="C674" i="3" s="1"/>
  <c r="G209" i="22"/>
  <c r="C113" i="22"/>
  <c r="AR71" i="3"/>
  <c r="C537" i="3" s="1"/>
  <c r="G537" i="3" s="1"/>
  <c r="BY71" i="3"/>
  <c r="C645" i="3" s="1"/>
  <c r="E177" i="22"/>
  <c r="BQ71" i="3"/>
  <c r="C562" i="3" s="1"/>
  <c r="AW71" i="3"/>
  <c r="C542" i="3" s="1"/>
  <c r="H241" i="22"/>
  <c r="F209" i="22"/>
  <c r="BI71" i="3"/>
  <c r="E277" i="22" s="1"/>
  <c r="F273" i="22"/>
  <c r="AV71" i="3"/>
  <c r="C541" i="3" s="1"/>
  <c r="C369" i="22"/>
  <c r="G337" i="22"/>
  <c r="S71" i="3"/>
  <c r="C512" i="3" s="1"/>
  <c r="G512" i="3" s="1"/>
  <c r="AO71" i="3"/>
  <c r="F181" i="22" s="1"/>
  <c r="G17" i="22"/>
  <c r="BL71" i="3"/>
  <c r="C557" i="3" s="1"/>
  <c r="Z71" i="3"/>
  <c r="C519" i="3" s="1"/>
  <c r="G519" i="3" s="1"/>
  <c r="D209" i="22"/>
  <c r="C49" i="22"/>
  <c r="F305" i="22"/>
  <c r="J71" i="3"/>
  <c r="C53" i="22" s="1"/>
  <c r="F49" i="22"/>
  <c r="I273" i="22"/>
  <c r="AK71" i="3"/>
  <c r="C530" i="3" s="1"/>
  <c r="G530" i="3" s="1"/>
  <c r="BM71" i="3"/>
  <c r="C558" i="3" s="1"/>
  <c r="BA71" i="3"/>
  <c r="D245" i="22" s="1"/>
  <c r="M71" i="3"/>
  <c r="C506" i="3" s="1"/>
  <c r="G506" i="3" s="1"/>
  <c r="Q71" i="3"/>
  <c r="C510" i="3" s="1"/>
  <c r="C540" i="3"/>
  <c r="G540" i="3" s="1"/>
  <c r="C81" i="22"/>
  <c r="E337" i="22"/>
  <c r="I305" i="22"/>
  <c r="AG71" i="3"/>
  <c r="C526" i="3" s="1"/>
  <c r="G526" i="3" s="1"/>
  <c r="BK71" i="3"/>
  <c r="G277" i="22" s="1"/>
  <c r="BJ71" i="3"/>
  <c r="C617" i="3" s="1"/>
  <c r="AZ71" i="3"/>
  <c r="C245" i="22" s="1"/>
  <c r="BW71" i="3"/>
  <c r="E145" i="22"/>
  <c r="I177" i="22"/>
  <c r="N71" i="3"/>
  <c r="G53" i="22" s="1"/>
  <c r="G49" i="22"/>
  <c r="H273" i="22"/>
  <c r="D21" i="22"/>
  <c r="C669" i="3"/>
  <c r="C497" i="3"/>
  <c r="G497" i="3" s="1"/>
  <c r="H497" i="3" s="1"/>
  <c r="C627" i="3"/>
  <c r="AN71" i="3"/>
  <c r="C533" i="3" s="1"/>
  <c r="G533" i="3" s="1"/>
  <c r="E71" i="3"/>
  <c r="C498" i="3" s="1"/>
  <c r="G498" i="3" s="1"/>
  <c r="I337" i="22"/>
  <c r="C273" i="22"/>
  <c r="C67" i="3"/>
  <c r="C71" i="3" s="1"/>
  <c r="CE52" i="3"/>
  <c r="H81" i="22"/>
  <c r="G305" i="22"/>
  <c r="D177" i="22"/>
  <c r="U71" i="3"/>
  <c r="C686" i="3" s="1"/>
  <c r="BC71" i="3"/>
  <c r="F245" i="22" s="1"/>
  <c r="AE71" i="3"/>
  <c r="C149" i="22" s="1"/>
  <c r="CA71" i="3"/>
  <c r="I341" i="22" s="1"/>
  <c r="G177" i="22"/>
  <c r="D17" i="22"/>
  <c r="L71" i="3"/>
  <c r="C505" i="3" s="1"/>
  <c r="G505" i="3" s="1"/>
  <c r="V71" i="3"/>
  <c r="H85" i="22" s="1"/>
  <c r="F145" i="22"/>
  <c r="C712" i="3"/>
  <c r="C50" i="21"/>
  <c r="D391" i="3"/>
  <c r="C142" i="21" s="1"/>
  <c r="D309" i="22"/>
  <c r="C527" i="3"/>
  <c r="G527" i="3" s="1"/>
  <c r="C543" i="3"/>
  <c r="F149" i="22"/>
  <c r="C616" i="3"/>
  <c r="C551" i="3"/>
  <c r="I245" i="22"/>
  <c r="C672" i="3"/>
  <c r="G21" i="22"/>
  <c r="C688" i="3"/>
  <c r="C622" i="3"/>
  <c r="C573" i="3"/>
  <c r="I85" i="22"/>
  <c r="C694" i="3"/>
  <c r="H117" i="22"/>
  <c r="G181" i="22"/>
  <c r="C626" i="3"/>
  <c r="D213" i="22"/>
  <c r="C711" i="3"/>
  <c r="C707" i="3"/>
  <c r="H21" i="22"/>
  <c r="G309" i="22"/>
  <c r="C523" i="3"/>
  <c r="G523" i="3" s="1"/>
  <c r="C703" i="3"/>
  <c r="I117" i="22"/>
  <c r="C181" i="22"/>
  <c r="H516" i="3"/>
  <c r="C673" i="3"/>
  <c r="C644" i="3"/>
  <c r="C569" i="3"/>
  <c r="F341" i="22"/>
  <c r="H245" i="22"/>
  <c r="C614" i="3"/>
  <c r="C550" i="3"/>
  <c r="CE62" i="3"/>
  <c r="C12" i="22"/>
  <c r="C532" i="3"/>
  <c r="G532" i="3" s="1"/>
  <c r="D181" i="22"/>
  <c r="C704" i="3"/>
  <c r="C639" i="3"/>
  <c r="C564" i="3"/>
  <c r="H309" i="22"/>
  <c r="C685" i="3"/>
  <c r="F85" i="22"/>
  <c r="C513" i="3"/>
  <c r="G513" i="3" s="1"/>
  <c r="D53" i="22"/>
  <c r="C504" i="3"/>
  <c r="G504" i="3" s="1"/>
  <c r="C676" i="3"/>
  <c r="C618" i="3"/>
  <c r="C552" i="3"/>
  <c r="C277" i="22"/>
  <c r="G245" i="22"/>
  <c r="C549" i="3"/>
  <c r="C624" i="3"/>
  <c r="F522" i="3"/>
  <c r="H522" i="3" s="1"/>
  <c r="F510" i="3"/>
  <c r="F513" i="3"/>
  <c r="F538" i="3"/>
  <c r="H538" i="3"/>
  <c r="F496" i="3"/>
  <c r="F534" i="3"/>
  <c r="H534" i="3"/>
  <c r="H502" i="3"/>
  <c r="F502" i="3"/>
  <c r="H504" i="3"/>
  <c r="F504" i="3"/>
  <c r="F530" i="3"/>
  <c r="F512" i="3"/>
  <c r="F526" i="3"/>
  <c r="F503" i="3"/>
  <c r="H503" i="3"/>
  <c r="F508" i="3"/>
  <c r="F514" i="3"/>
  <c r="H507" i="3"/>
  <c r="F507" i="3"/>
  <c r="F518" i="3"/>
  <c r="F546" i="3"/>
  <c r="F506" i="3"/>
  <c r="H506" i="3"/>
  <c r="H500" i="3"/>
  <c r="F500" i="3"/>
  <c r="F509" i="3"/>
  <c r="C553" i="3" l="1"/>
  <c r="C640" i="3"/>
  <c r="I213" i="22"/>
  <c r="C544" i="3"/>
  <c r="G544" i="3" s="1"/>
  <c r="C636" i="3"/>
  <c r="C565" i="3"/>
  <c r="C681" i="3"/>
  <c r="C528" i="3"/>
  <c r="G528" i="3" s="1"/>
  <c r="C341" i="22"/>
  <c r="E85" i="22"/>
  <c r="C700" i="3"/>
  <c r="C641" i="3"/>
  <c r="I53" i="22"/>
  <c r="C713" i="3"/>
  <c r="C646" i="3"/>
  <c r="C518" i="3"/>
  <c r="G518" i="3" s="1"/>
  <c r="C690" i="3"/>
  <c r="C309" i="22"/>
  <c r="C559" i="3"/>
  <c r="D85" i="22"/>
  <c r="C538" i="3"/>
  <c r="G538" i="3" s="1"/>
  <c r="C683" i="3"/>
  <c r="H181" i="22"/>
  <c r="G117" i="22"/>
  <c r="C521" i="3"/>
  <c r="G521" i="3" s="1"/>
  <c r="C620" i="3"/>
  <c r="C525" i="3"/>
  <c r="G525" i="3" s="1"/>
  <c r="C574" i="3"/>
  <c r="CE78" i="3"/>
  <c r="G286" i="22"/>
  <c r="E309" i="22"/>
  <c r="C692" i="3"/>
  <c r="C547" i="3"/>
  <c r="C561" i="3"/>
  <c r="C529" i="3"/>
  <c r="G529" i="3" s="1"/>
  <c r="H520" i="3"/>
  <c r="D149" i="22"/>
  <c r="C708" i="3"/>
  <c r="C710" i="3"/>
  <c r="C546" i="3"/>
  <c r="G546" i="3" s="1"/>
  <c r="I21" i="22"/>
  <c r="H149" i="22"/>
  <c r="F117" i="22"/>
  <c r="C680" i="3"/>
  <c r="H508" i="3"/>
  <c r="G341" i="22"/>
  <c r="E245" i="22"/>
  <c r="H341" i="22"/>
  <c r="C517" i="3"/>
  <c r="G517" i="3" s="1"/>
  <c r="C117" i="22"/>
  <c r="H53" i="22"/>
  <c r="G213" i="22"/>
  <c r="C502" i="3"/>
  <c r="G502" i="3" s="1"/>
  <c r="C682" i="3"/>
  <c r="F213" i="22"/>
  <c r="C637" i="3"/>
  <c r="C499" i="3"/>
  <c r="G499" i="3" s="1"/>
  <c r="C671" i="3"/>
  <c r="C691" i="3"/>
  <c r="C670" i="3"/>
  <c r="C678" i="3"/>
  <c r="C638" i="3"/>
  <c r="E117" i="22"/>
  <c r="I181" i="22"/>
  <c r="F309" i="22"/>
  <c r="C556" i="3"/>
  <c r="E149" i="22"/>
  <c r="C534" i="3"/>
  <c r="G534" i="3" s="1"/>
  <c r="I149" i="22"/>
  <c r="C687" i="3"/>
  <c r="C633" i="3"/>
  <c r="C709" i="3"/>
  <c r="C635" i="3"/>
  <c r="C503" i="3"/>
  <c r="G503" i="3" s="1"/>
  <c r="C706" i="3"/>
  <c r="I277" i="22"/>
  <c r="C623" i="3"/>
  <c r="C631" i="3"/>
  <c r="C570" i="3"/>
  <c r="C524" i="3"/>
  <c r="G524" i="3" s="1"/>
  <c r="H524" i="3" s="1"/>
  <c r="C545" i="3"/>
  <c r="G545" i="3" s="1"/>
  <c r="C696" i="3"/>
  <c r="G85" i="22"/>
  <c r="F53" i="22"/>
  <c r="C548" i="3"/>
  <c r="E181" i="22"/>
  <c r="C675" i="3"/>
  <c r="C634" i="3"/>
  <c r="C630" i="3"/>
  <c r="C554" i="3"/>
  <c r="C705" i="3"/>
  <c r="G510" i="3"/>
  <c r="H510" i="3"/>
  <c r="H277" i="22"/>
  <c r="C698" i="3"/>
  <c r="C85" i="22"/>
  <c r="C702" i="3"/>
  <c r="C572" i="3"/>
  <c r="E53" i="22"/>
  <c r="C684" i="3"/>
  <c r="H498" i="3"/>
  <c r="E21" i="22"/>
  <c r="F277" i="22"/>
  <c r="C555" i="3"/>
  <c r="C628" i="3"/>
  <c r="C643" i="3"/>
  <c r="C568" i="3"/>
  <c r="E341" i="22"/>
  <c r="C679" i="3"/>
  <c r="C507" i="3"/>
  <c r="G507" i="3" s="1"/>
  <c r="C647" i="3"/>
  <c r="C677" i="3"/>
  <c r="C515" i="3"/>
  <c r="G515" i="3" s="1"/>
  <c r="C514" i="3"/>
  <c r="G514" i="3" s="1"/>
  <c r="C17" i="22"/>
  <c r="CE67" i="3"/>
  <c r="CE71" i="3" s="1"/>
  <c r="D393" i="3"/>
  <c r="C146" i="21" s="1"/>
  <c r="H544" i="3"/>
  <c r="H530" i="3"/>
  <c r="H526" i="3"/>
  <c r="H512" i="3"/>
  <c r="H513" i="3"/>
  <c r="H509" i="3"/>
  <c r="G511" i="3"/>
  <c r="H511" i="3" s="1"/>
  <c r="C496" i="3"/>
  <c r="C668" i="3"/>
  <c r="C21" i="22"/>
  <c r="G550" i="3"/>
  <c r="H550" i="3" s="1"/>
  <c r="I364" i="22"/>
  <c r="C428" i="3"/>
  <c r="D615" i="3"/>
  <c r="H545" i="3"/>
  <c r="F545" i="3"/>
  <c r="H525" i="3"/>
  <c r="F525" i="3"/>
  <c r="H529" i="3"/>
  <c r="F529" i="3"/>
  <c r="F521" i="3"/>
  <c r="H535" i="3"/>
  <c r="F535" i="3"/>
  <c r="F533" i="3"/>
  <c r="H533" i="3" s="1"/>
  <c r="H527" i="3"/>
  <c r="F527" i="3"/>
  <c r="F539" i="3"/>
  <c r="H539" i="3"/>
  <c r="F519" i="3"/>
  <c r="H519" i="3"/>
  <c r="F523" i="3"/>
  <c r="H523" i="3"/>
  <c r="F537" i="3"/>
  <c r="H537" i="3"/>
  <c r="F531" i="3"/>
  <c r="H531" i="3" s="1"/>
  <c r="H528" i="3" l="1"/>
  <c r="H518" i="3"/>
  <c r="H521" i="3"/>
  <c r="I286" i="22"/>
  <c r="I382" i="22"/>
  <c r="I612" i="3"/>
  <c r="H546" i="3"/>
  <c r="H517" i="3"/>
  <c r="H514" i="3"/>
  <c r="C648" i="3"/>
  <c r="M716" i="3" s="1"/>
  <c r="H515" i="3"/>
  <c r="I369" i="22"/>
  <c r="C433" i="3"/>
  <c r="C441" i="3" s="1"/>
  <c r="D396" i="3"/>
  <c r="C151" i="21" s="1"/>
  <c r="C715" i="3"/>
  <c r="C716" i="3"/>
  <c r="I373" i="22"/>
  <c r="G496" i="3"/>
  <c r="H496" i="3" s="1"/>
  <c r="D684" i="3"/>
  <c r="D632" i="3"/>
  <c r="D642" i="3"/>
  <c r="D617" i="3"/>
  <c r="D674" i="3"/>
  <c r="D697" i="3"/>
  <c r="D716" i="3"/>
  <c r="D685" i="3"/>
  <c r="D709" i="3"/>
  <c r="D690" i="3"/>
  <c r="D636" i="3"/>
  <c r="D707" i="3"/>
  <c r="D702" i="3"/>
  <c r="D637" i="3"/>
  <c r="D713" i="3"/>
  <c r="D694" i="3"/>
  <c r="D698" i="3"/>
  <c r="D647" i="3"/>
  <c r="D616" i="3"/>
  <c r="D635" i="3"/>
  <c r="D624" i="3"/>
  <c r="D629" i="3"/>
  <c r="D671" i="3"/>
  <c r="D620" i="3"/>
  <c r="D634" i="3"/>
  <c r="D669" i="3"/>
  <c r="D638" i="3"/>
  <c r="D691" i="3"/>
  <c r="D703" i="3"/>
  <c r="D673" i="3"/>
  <c r="D670" i="3"/>
  <c r="D677" i="3"/>
  <c r="D627" i="3"/>
  <c r="D640" i="3"/>
  <c r="D621" i="3"/>
  <c r="D689" i="3"/>
  <c r="D712" i="3"/>
  <c r="D701" i="3"/>
  <c r="D678" i="3"/>
  <c r="D696" i="3"/>
  <c r="D672" i="3"/>
  <c r="D710" i="3"/>
  <c r="D626" i="3"/>
  <c r="D668" i="3"/>
  <c r="D641" i="3"/>
  <c r="D680" i="3"/>
  <c r="D633" i="3"/>
  <c r="D643" i="3"/>
  <c r="D646" i="3"/>
  <c r="D619" i="3"/>
  <c r="D708" i="3"/>
  <c r="D695" i="3"/>
  <c r="D683" i="3"/>
  <c r="D679" i="3"/>
  <c r="D693" i="3"/>
  <c r="D625" i="3"/>
  <c r="D618" i="3"/>
  <c r="D681" i="3"/>
  <c r="D687" i="3"/>
  <c r="D644" i="3"/>
  <c r="D692" i="3"/>
  <c r="D645" i="3"/>
  <c r="D622" i="3"/>
  <c r="D704" i="3"/>
  <c r="D700" i="3"/>
  <c r="D639" i="3"/>
  <c r="D623" i="3"/>
  <c r="D628" i="3"/>
  <c r="D686" i="3"/>
  <c r="D705" i="3"/>
  <c r="D699" i="3"/>
  <c r="D711" i="3"/>
  <c r="D675" i="3"/>
  <c r="D631" i="3"/>
  <c r="D630" i="3"/>
  <c r="D706" i="3"/>
  <c r="D682" i="3"/>
  <c r="D676" i="3"/>
  <c r="D688" i="3"/>
  <c r="E623" i="3" l="1"/>
  <c r="E716" i="3" s="1"/>
  <c r="E612" i="3"/>
  <c r="D715" i="3"/>
  <c r="E629" i="3" l="1"/>
  <c r="E694" i="3"/>
  <c r="E627" i="3"/>
  <c r="E647" i="3"/>
  <c r="E637" i="3"/>
  <c r="E711" i="3"/>
  <c r="E641" i="3"/>
  <c r="E702" i="3"/>
  <c r="E699" i="3"/>
  <c r="E712" i="3"/>
  <c r="E705" i="3"/>
  <c r="E703" i="3"/>
  <c r="E706" i="3"/>
  <c r="E640" i="3"/>
  <c r="E681" i="3"/>
  <c r="E639" i="3"/>
  <c r="E700" i="3"/>
  <c r="E701" i="3"/>
  <c r="E710" i="3"/>
  <c r="E687" i="3"/>
  <c r="E685" i="3"/>
  <c r="E670" i="3"/>
  <c r="E646" i="3"/>
  <c r="E688" i="3"/>
  <c r="E690" i="3"/>
  <c r="E679" i="3"/>
  <c r="E697" i="3"/>
  <c r="E684" i="3"/>
  <c r="E686" i="3"/>
  <c r="E625" i="3"/>
  <c r="E677" i="3"/>
  <c r="E624" i="3"/>
  <c r="F624" i="3" s="1"/>
  <c r="E713" i="3"/>
  <c r="E628" i="3"/>
  <c r="E638" i="3"/>
  <c r="E635" i="3"/>
  <c r="E683" i="3"/>
  <c r="E644" i="3"/>
  <c r="E680" i="3"/>
  <c r="E678" i="3"/>
  <c r="E636" i="3"/>
  <c r="E698" i="3"/>
  <c r="E634" i="3"/>
  <c r="E695" i="3"/>
  <c r="E630" i="3"/>
  <c r="E692" i="3"/>
  <c r="E691" i="3"/>
  <c r="E689" i="3"/>
  <c r="E668" i="3"/>
  <c r="E707" i="3"/>
  <c r="E671" i="3"/>
  <c r="E708" i="3"/>
  <c r="E704" i="3"/>
  <c r="E645" i="3"/>
  <c r="E633" i="3"/>
  <c r="E669" i="3"/>
  <c r="E672" i="3"/>
  <c r="E709" i="3"/>
  <c r="E642" i="3"/>
  <c r="E626" i="3"/>
  <c r="E693" i="3"/>
  <c r="E674" i="3"/>
  <c r="E643" i="3"/>
  <c r="E696" i="3"/>
  <c r="E632" i="3"/>
  <c r="E676" i="3"/>
  <c r="E631" i="3"/>
  <c r="E673" i="3"/>
  <c r="E675" i="3"/>
  <c r="E682" i="3"/>
  <c r="F700" i="3" l="1"/>
  <c r="F647" i="3"/>
  <c r="F694" i="3"/>
  <c r="F678" i="3"/>
  <c r="F706" i="3"/>
  <c r="F691" i="3"/>
  <c r="F698" i="3"/>
  <c r="F686" i="3"/>
  <c r="F707" i="3"/>
  <c r="F682" i="3"/>
  <c r="F669" i="3"/>
  <c r="F680" i="3"/>
  <c r="F627" i="3"/>
  <c r="F674" i="3"/>
  <c r="F708" i="3"/>
  <c r="F668" i="3"/>
  <c r="F632" i="3"/>
  <c r="F631" i="3"/>
  <c r="F640" i="3"/>
  <c r="F643" i="3"/>
  <c r="F710" i="3"/>
  <c r="F675" i="3"/>
  <c r="F704" i="3"/>
  <c r="F636" i="3"/>
  <c r="F685" i="3"/>
  <c r="F693" i="3"/>
  <c r="F638" i="3"/>
  <c r="F642" i="3"/>
  <c r="F634" i="3"/>
  <c r="F712" i="3"/>
  <c r="F641" i="3"/>
  <c r="F705" i="3"/>
  <c r="F672" i="3"/>
  <c r="F644" i="3"/>
  <c r="F696" i="3"/>
  <c r="F703" i="3"/>
  <c r="F690" i="3"/>
  <c r="F683" i="3"/>
  <c r="F676" i="3"/>
  <c r="F628" i="3"/>
  <c r="F695" i="3"/>
  <c r="F625" i="3"/>
  <c r="G625" i="3" s="1"/>
  <c r="F629" i="3"/>
  <c r="F645" i="3"/>
  <c r="F687" i="3"/>
  <c r="F684" i="3"/>
  <c r="F671" i="3"/>
  <c r="F688" i="3"/>
  <c r="F713" i="3"/>
  <c r="F633" i="3"/>
  <c r="F716" i="3"/>
  <c r="F701" i="3"/>
  <c r="F673" i="3"/>
  <c r="F679" i="3"/>
  <c r="F699" i="3"/>
  <c r="F709" i="3"/>
  <c r="F637" i="3"/>
  <c r="F646" i="3"/>
  <c r="F681" i="3"/>
  <c r="F702" i="3"/>
  <c r="F630" i="3"/>
  <c r="F639" i="3"/>
  <c r="F711" i="3"/>
  <c r="F635" i="3"/>
  <c r="F677" i="3"/>
  <c r="F689" i="3"/>
  <c r="F626" i="3"/>
  <c r="F692" i="3"/>
  <c r="F697" i="3"/>
  <c r="F670" i="3"/>
  <c r="E715" i="3"/>
  <c r="G680" i="3" l="1"/>
  <c r="G698" i="3"/>
  <c r="G703" i="3"/>
  <c r="G627" i="3"/>
  <c r="G684" i="3"/>
  <c r="G678" i="3"/>
  <c r="G716" i="3"/>
  <c r="G697" i="3"/>
  <c r="G644" i="3"/>
  <c r="G702" i="3"/>
  <c r="G645" i="3"/>
  <c r="G626" i="3"/>
  <c r="G628" i="3"/>
  <c r="G696" i="3"/>
  <c r="G705" i="3"/>
  <c r="G671" i="3"/>
  <c r="G681" i="3"/>
  <c r="G669" i="3"/>
  <c r="G629" i="3"/>
  <c r="G712" i="3"/>
  <c r="G693" i="3"/>
  <c r="G691" i="3"/>
  <c r="G692" i="3"/>
  <c r="G683" i="3"/>
  <c r="G675" i="3"/>
  <c r="G635" i="3"/>
  <c r="G643" i="3"/>
  <c r="G708" i="3"/>
  <c r="G711" i="3"/>
  <c r="G695" i="3"/>
  <c r="G646" i="3"/>
  <c r="G634" i="3"/>
  <c r="G707" i="3"/>
  <c r="G709" i="3"/>
  <c r="G687" i="3"/>
  <c r="G682" i="3"/>
  <c r="G672" i="3"/>
  <c r="G670" i="3"/>
  <c r="G640" i="3"/>
  <c r="G632" i="3"/>
  <c r="G679" i="3"/>
  <c r="G631" i="3"/>
  <c r="G701" i="3"/>
  <c r="G647" i="3"/>
  <c r="G637" i="3"/>
  <c r="G685" i="3"/>
  <c r="G633" i="3"/>
  <c r="G699" i="3"/>
  <c r="G638" i="3"/>
  <c r="G674" i="3"/>
  <c r="G642" i="3"/>
  <c r="G630" i="3"/>
  <c r="G673" i="3"/>
  <c r="G677" i="3"/>
  <c r="G668" i="3"/>
  <c r="G704" i="3"/>
  <c r="G713" i="3"/>
  <c r="G641" i="3"/>
  <c r="G688" i="3"/>
  <c r="G690" i="3"/>
  <c r="G710" i="3"/>
  <c r="G636" i="3"/>
  <c r="G706" i="3"/>
  <c r="G676" i="3"/>
  <c r="G639" i="3"/>
  <c r="G700" i="3"/>
  <c r="G694" i="3"/>
  <c r="G689" i="3"/>
  <c r="G686" i="3"/>
  <c r="F715" i="3"/>
  <c r="H628" i="3" l="1"/>
  <c r="H669" i="3" s="1"/>
  <c r="G715" i="3"/>
  <c r="H643" i="3" l="1"/>
  <c r="H701" i="3"/>
  <c r="H698" i="3"/>
  <c r="H634" i="3"/>
  <c r="H681" i="3"/>
  <c r="H685" i="3"/>
  <c r="H670" i="3"/>
  <c r="H689" i="3"/>
  <c r="H641" i="3"/>
  <c r="H677" i="3"/>
  <c r="H695" i="3"/>
  <c r="H709" i="3"/>
  <c r="H708" i="3"/>
  <c r="H637" i="3"/>
  <c r="H682" i="3"/>
  <c r="H703" i="3"/>
  <c r="H692" i="3"/>
  <c r="H705" i="3"/>
  <c r="H690" i="3"/>
  <c r="H633" i="3"/>
  <c r="H713" i="3"/>
  <c r="H697" i="3"/>
  <c r="H687" i="3"/>
  <c r="H694" i="3"/>
  <c r="H706" i="3"/>
  <c r="H699" i="3"/>
  <c r="H636" i="3"/>
  <c r="H707" i="3"/>
  <c r="H683" i="3"/>
  <c r="H684" i="3"/>
  <c r="H710" i="3"/>
  <c r="H678" i="3"/>
  <c r="H691" i="3"/>
  <c r="H646" i="3"/>
  <c r="H680" i="3"/>
  <c r="H639" i="3"/>
  <c r="H702" i="3"/>
  <c r="H693" i="3"/>
  <c r="H671" i="3"/>
  <c r="H716" i="3"/>
  <c r="H640" i="3"/>
  <c r="H629" i="3"/>
  <c r="I629" i="3" s="1"/>
  <c r="H676" i="3"/>
  <c r="H704" i="3"/>
  <c r="H644" i="3"/>
  <c r="H635" i="3"/>
  <c r="H630" i="3"/>
  <c r="H673" i="3"/>
  <c r="H645" i="3"/>
  <c r="H675" i="3"/>
  <c r="H638" i="3"/>
  <c r="H712" i="3"/>
  <c r="H696" i="3"/>
  <c r="H672" i="3"/>
  <c r="H631" i="3"/>
  <c r="H647" i="3"/>
  <c r="H688" i="3"/>
  <c r="H711" i="3"/>
  <c r="H700" i="3"/>
  <c r="H642" i="3"/>
  <c r="H679" i="3"/>
  <c r="H686" i="3"/>
  <c r="H632" i="3"/>
  <c r="H674" i="3"/>
  <c r="H668" i="3"/>
  <c r="I712" i="3" l="1"/>
  <c r="I686" i="3"/>
  <c r="I682" i="3"/>
  <c r="I700" i="3"/>
  <c r="I707" i="3"/>
  <c r="I709" i="3"/>
  <c r="I694" i="3"/>
  <c r="I679" i="3"/>
  <c r="I681" i="3"/>
  <c r="I716" i="3"/>
  <c r="I699" i="3"/>
  <c r="I671" i="3"/>
  <c r="I630" i="3"/>
  <c r="I633" i="3"/>
  <c r="I643" i="3"/>
  <c r="I693" i="3"/>
  <c r="I636" i="3"/>
  <c r="I644" i="3"/>
  <c r="I631" i="3"/>
  <c r="I674" i="3"/>
  <c r="I690" i="3"/>
  <c r="I637" i="3"/>
  <c r="I687" i="3"/>
  <c r="I710" i="3"/>
  <c r="I680" i="3"/>
  <c r="I711" i="3"/>
  <c r="I689" i="3"/>
  <c r="I698" i="3"/>
  <c r="I692" i="3"/>
  <c r="I705" i="3"/>
  <c r="I691" i="3"/>
  <c r="I645" i="3"/>
  <c r="I696" i="3"/>
  <c r="I677" i="3"/>
  <c r="I646" i="3"/>
  <c r="I635" i="3"/>
  <c r="I704" i="3"/>
  <c r="I701" i="3"/>
  <c r="I647" i="3"/>
  <c r="I669" i="3"/>
  <c r="I685" i="3"/>
  <c r="I668" i="3"/>
  <c r="I634" i="3"/>
  <c r="I702" i="3"/>
  <c r="I638" i="3"/>
  <c r="I676" i="3"/>
  <c r="I641" i="3"/>
  <c r="I639" i="3"/>
  <c r="I642" i="3"/>
  <c r="I697" i="3"/>
  <c r="I675" i="3"/>
  <c r="I713" i="3"/>
  <c r="I673" i="3"/>
  <c r="I703" i="3"/>
  <c r="I672" i="3"/>
  <c r="I683" i="3"/>
  <c r="I688" i="3"/>
  <c r="I670" i="3"/>
  <c r="I678" i="3"/>
  <c r="I706" i="3"/>
  <c r="I695" i="3"/>
  <c r="I640" i="3"/>
  <c r="I708" i="3"/>
  <c r="I632" i="3"/>
  <c r="I684" i="3"/>
  <c r="H715" i="3"/>
  <c r="I715" i="3" l="1"/>
  <c r="J630" i="3"/>
  <c r="J713" i="3" l="1"/>
  <c r="J703" i="3"/>
  <c r="J635" i="3"/>
  <c r="J637" i="3"/>
  <c r="J683" i="3"/>
  <c r="J689" i="3"/>
  <c r="J679" i="3"/>
  <c r="J677" i="3"/>
  <c r="J698" i="3"/>
  <c r="J699" i="3"/>
  <c r="J682" i="3"/>
  <c r="J688" i="3"/>
  <c r="J692" i="3"/>
  <c r="J680" i="3"/>
  <c r="J712" i="3"/>
  <c r="J681" i="3"/>
  <c r="J708" i="3"/>
  <c r="J710" i="3"/>
  <c r="J640" i="3"/>
  <c r="J697" i="3"/>
  <c r="J645" i="3"/>
  <c r="J672" i="3"/>
  <c r="J639" i="3"/>
  <c r="J642" i="3"/>
  <c r="J638" i="3"/>
  <c r="J684" i="3"/>
  <c r="J673" i="3"/>
  <c r="J647" i="3"/>
  <c r="J674" i="3"/>
  <c r="J633" i="3"/>
  <c r="J641" i="3"/>
  <c r="J631" i="3"/>
  <c r="J701" i="3"/>
  <c r="J685" i="3"/>
  <c r="J675" i="3"/>
  <c r="J694" i="3"/>
  <c r="J670" i="3"/>
  <c r="J669" i="3"/>
  <c r="J678" i="3"/>
  <c r="J706" i="3"/>
  <c r="J686" i="3"/>
  <c r="J671" i="3"/>
  <c r="J711" i="3"/>
  <c r="J702" i="3"/>
  <c r="J695" i="3"/>
  <c r="J693" i="3"/>
  <c r="J707" i="3"/>
  <c r="J634" i="3"/>
  <c r="J704" i="3"/>
  <c r="J709" i="3"/>
  <c r="J691" i="3"/>
  <c r="J705" i="3"/>
  <c r="J646" i="3"/>
  <c r="J668" i="3"/>
  <c r="J632" i="3"/>
  <c r="J690" i="3"/>
  <c r="J644" i="3"/>
  <c r="J687" i="3"/>
  <c r="J700" i="3"/>
  <c r="J716" i="3"/>
  <c r="J696" i="3"/>
  <c r="J643" i="3"/>
  <c r="J636" i="3"/>
  <c r="J676" i="3"/>
  <c r="K644" i="3" l="1"/>
  <c r="L647" i="3"/>
  <c r="J715" i="3"/>
  <c r="K702" i="3" l="1"/>
  <c r="K673" i="3"/>
  <c r="K684" i="3"/>
  <c r="K678" i="3"/>
  <c r="K674" i="3"/>
  <c r="K695" i="3"/>
  <c r="K709" i="3"/>
  <c r="K686" i="3"/>
  <c r="K680" i="3"/>
  <c r="K704" i="3"/>
  <c r="K711" i="3"/>
  <c r="K681" i="3"/>
  <c r="K700" i="3"/>
  <c r="K696" i="3"/>
  <c r="K668" i="3"/>
  <c r="K685" i="3"/>
  <c r="K697" i="3"/>
  <c r="K701" i="3"/>
  <c r="K712" i="3"/>
  <c r="K708" i="3"/>
  <c r="K672" i="3"/>
  <c r="K677" i="3"/>
  <c r="K671" i="3"/>
  <c r="K699" i="3"/>
  <c r="K669" i="3"/>
  <c r="K688" i="3"/>
  <c r="K706" i="3"/>
  <c r="K679" i="3"/>
  <c r="K703" i="3"/>
  <c r="K675" i="3"/>
  <c r="K687" i="3"/>
  <c r="K716" i="3"/>
  <c r="K698" i="3"/>
  <c r="K705" i="3"/>
  <c r="K691" i="3"/>
  <c r="K707" i="3"/>
  <c r="K670" i="3"/>
  <c r="K682" i="3"/>
  <c r="K694" i="3"/>
  <c r="K692" i="3"/>
  <c r="K690" i="3"/>
  <c r="K676" i="3"/>
  <c r="K693" i="3"/>
  <c r="K689" i="3"/>
  <c r="K710" i="3"/>
  <c r="K713" i="3"/>
  <c r="K683" i="3"/>
  <c r="L707" i="3"/>
  <c r="L688" i="3"/>
  <c r="L689" i="3"/>
  <c r="L701" i="3"/>
  <c r="L692" i="3"/>
  <c r="L672" i="3"/>
  <c r="M672" i="3" s="1"/>
  <c r="L681" i="3"/>
  <c r="L697" i="3"/>
  <c r="L706" i="3"/>
  <c r="L708" i="3"/>
  <c r="L682" i="3"/>
  <c r="L687" i="3"/>
  <c r="L684" i="3"/>
  <c r="L693" i="3"/>
  <c r="L670" i="3"/>
  <c r="L700" i="3"/>
  <c r="L716" i="3"/>
  <c r="L698" i="3"/>
  <c r="M698" i="3" s="1"/>
  <c r="L703" i="3"/>
  <c r="L674" i="3"/>
  <c r="L690" i="3"/>
  <c r="L710" i="3"/>
  <c r="M710" i="3" s="1"/>
  <c r="L677" i="3"/>
  <c r="L699" i="3"/>
  <c r="L691" i="3"/>
  <c r="L713" i="3"/>
  <c r="L680" i="3"/>
  <c r="L705" i="3"/>
  <c r="L683" i="3"/>
  <c r="L669" i="3"/>
  <c r="M669" i="3" s="1"/>
  <c r="L702" i="3"/>
  <c r="L673" i="3"/>
  <c r="L685" i="3"/>
  <c r="L709" i="3"/>
  <c r="L676" i="3"/>
  <c r="M676" i="3" s="1"/>
  <c r="L696" i="3"/>
  <c r="L686" i="3"/>
  <c r="L712" i="3"/>
  <c r="L671" i="3"/>
  <c r="L668" i="3"/>
  <c r="L675" i="3"/>
  <c r="L704" i="3"/>
  <c r="L678" i="3"/>
  <c r="L695" i="3"/>
  <c r="L694" i="3"/>
  <c r="L679" i="3"/>
  <c r="L711" i="3"/>
  <c r="M692" i="3" l="1"/>
  <c r="M686" i="3"/>
  <c r="M678" i="3"/>
  <c r="F55" i="22" s="1"/>
  <c r="L715" i="3"/>
  <c r="M709" i="3"/>
  <c r="I183" i="22" s="1"/>
  <c r="M674" i="3"/>
  <c r="M702" i="3"/>
  <c r="M673" i="3"/>
  <c r="H23" i="22" s="1"/>
  <c r="M711" i="3"/>
  <c r="D215" i="22" s="1"/>
  <c r="M671" i="3"/>
  <c r="M670" i="3"/>
  <c r="F119" i="22"/>
  <c r="M707" i="3"/>
  <c r="M685" i="3"/>
  <c r="M699" i="3"/>
  <c r="M683" i="3"/>
  <c r="M693" i="3"/>
  <c r="M694" i="3"/>
  <c r="M691" i="3"/>
  <c r="M687" i="3"/>
  <c r="M706" i="3"/>
  <c r="M712" i="3"/>
  <c r="K715" i="3"/>
  <c r="M668" i="3"/>
  <c r="M684" i="3"/>
  <c r="D55" i="22"/>
  <c r="M681" i="3"/>
  <c r="M689" i="3"/>
  <c r="M713" i="3"/>
  <c r="M682" i="3"/>
  <c r="M705" i="3"/>
  <c r="M675" i="3"/>
  <c r="M688" i="3"/>
  <c r="M677" i="3"/>
  <c r="M701" i="3"/>
  <c r="M696" i="3"/>
  <c r="M704" i="3"/>
  <c r="M695" i="3"/>
  <c r="G87" i="22"/>
  <c r="M679" i="3"/>
  <c r="D23" i="22"/>
  <c r="C215" i="22"/>
  <c r="E151" i="22"/>
  <c r="M708" i="3"/>
  <c r="G23" i="22"/>
  <c r="M690" i="3"/>
  <c r="M703" i="3"/>
  <c r="M697" i="3"/>
  <c r="M700" i="3"/>
  <c r="M680" i="3"/>
  <c r="I23" i="22" l="1"/>
  <c r="I151" i="22"/>
  <c r="F23" i="22"/>
  <c r="E23" i="22"/>
  <c r="D151" i="22"/>
  <c r="E183" i="22"/>
  <c r="E215" i="22"/>
  <c r="H119" i="22"/>
  <c r="F87" i="22"/>
  <c r="C183" i="22"/>
  <c r="H183" i="22"/>
  <c r="I119" i="22"/>
  <c r="E55" i="22"/>
  <c r="C87" i="22"/>
  <c r="E87" i="22"/>
  <c r="F183" i="22"/>
  <c r="G119" i="22"/>
  <c r="F151" i="22"/>
  <c r="G183" i="22"/>
  <c r="I55" i="22"/>
  <c r="H55" i="22"/>
  <c r="D119" i="22"/>
  <c r="G55" i="22"/>
  <c r="D183" i="22"/>
  <c r="I87" i="22"/>
  <c r="F215" i="22"/>
  <c r="M715" i="3"/>
  <c r="C23" i="22"/>
  <c r="H87" i="22"/>
  <c r="D87" i="22"/>
  <c r="H151" i="22"/>
  <c r="G151" i="22"/>
  <c r="C151" i="22"/>
  <c r="C55" i="22"/>
  <c r="C119" i="22"/>
  <c r="E119" i="22"/>
</calcChain>
</file>

<file path=xl/comments1.xml><?xml version="1.0" encoding="utf-8"?>
<comments xmlns="http://schemas.openxmlformats.org/spreadsheetml/2006/main">
  <authors>
    <author>simpsoa</author>
  </authors>
  <commentList>
    <comment ref="AN56" authorId="0" shapeId="0">
      <text>
        <r>
          <rPr>
            <b/>
            <sz val="9"/>
            <color indexed="81"/>
            <rFont val="Tahoma"/>
            <family val="2"/>
          </rPr>
          <t>ECHO (711150)</t>
        </r>
      </text>
    </comment>
  </commentList>
</comments>
</file>

<file path=xl/sharedStrings.xml><?xml version="1.0" encoding="utf-8"?>
<sst xmlns="http://schemas.openxmlformats.org/spreadsheetml/2006/main" count="5020" uniqueCount="1374">
  <si>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</si>
  <si>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</si>
  <si>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</si>
  <si>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</si>
  <si>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</si>
  <si>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</si>
  <si>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</si>
  <si>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</si>
  <si>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</si>
  <si>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</si>
  <si>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</si>
  <si>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</si>
  <si>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</si>
  <si>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</si>
  <si>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</si>
  <si>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</si>
  <si>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</si>
  <si>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</si>
  <si>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</si>
  <si>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</si>
  <si>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</si>
  <si>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</si>
  <si>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</si>
  <si>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</si>
  <si>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</si>
  <si>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</si>
  <si>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</si>
  <si>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</si>
  <si>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</si>
  <si>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</si>
  <si>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</si>
  <si>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</si>
  <si>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</si>
  <si>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</si>
  <si>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</si>
  <si>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</si>
  <si>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</si>
  <si>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</si>
  <si>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</si>
  <si>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</si>
  <si>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</si>
  <si>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</si>
  <si>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</si>
  <si>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</si>
  <si>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</si>
  <si>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</si>
  <si>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</si>
  <si>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</si>
  <si>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</si>
  <si>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</si>
  <si>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</si>
  <si>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</si>
  <si>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</si>
  <si>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</si>
  <si>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</si>
  <si>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</si>
  <si>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</si>
  <si>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</si>
  <si>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</si>
  <si>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</si>
  <si>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</si>
  <si>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</si>
  <si>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</si>
  <si>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</si>
  <si>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</si>
  <si>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</si>
  <si>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</si>
  <si>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</si>
  <si>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</si>
  <si>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</si>
  <si>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</si>
  <si>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</si>
  <si>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</si>
  <si>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</si>
  <si>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</si>
  <si>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</si>
  <si>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</si>
  <si>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</si>
  <si>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</si>
  <si>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</si>
  <si>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</si>
  <si>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</si>
  <si>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</si>
  <si>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</si>
  <si>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</si>
  <si>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</si>
  <si>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</si>
  <si>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</si>
  <si>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</si>
  <si>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</si>
  <si>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</si>
  <si>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</si>
  <si>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</si>
  <si>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</si>
  <si>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</si>
  <si>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</si>
  <si>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</si>
  <si>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</si>
  <si>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</si>
  <si>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</si>
  <si>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</si>
  <si>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</si>
  <si>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</si>
  <si>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</si>
  <si>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</si>
  <si>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</si>
  <si>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</si>
  <si>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</si>
  <si>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</si>
  <si>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</si>
  <si>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</si>
  <si>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</si>
  <si>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</si>
  <si>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</si>
  <si>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</si>
  <si>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</si>
  <si>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</si>
  <si>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</si>
  <si>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</si>
  <si>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</si>
  <si>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</si>
  <si>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</si>
  <si>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</si>
  <si>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</si>
  <si>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</si>
  <si>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</si>
  <si>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</si>
  <si>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</si>
  <si>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</si>
  <si>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</si>
  <si>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</si>
  <si>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</si>
  <si>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</si>
  <si>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</si>
  <si>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</si>
  <si>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</si>
  <si>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</si>
  <si>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</si>
  <si>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</si>
  <si>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</si>
  <si>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</si>
  <si>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</si>
  <si>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</si>
  <si>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</si>
  <si>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</si>
  <si>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</si>
  <si>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</si>
  <si>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</si>
  <si>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</si>
  <si>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</si>
  <si>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</si>
  <si>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</si>
  <si>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</si>
  <si>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</si>
  <si>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</si>
  <si>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</si>
  <si>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</si>
  <si>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</si>
  <si>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</si>
  <si>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</si>
  <si>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</si>
  <si>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</si>
  <si>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</si>
  <si>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</si>
  <si>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</si>
  <si>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</si>
  <si>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</si>
  <si>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</si>
  <si>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</si>
  <si>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</si>
  <si>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</si>
  <si>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</si>
  <si>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</si>
  <si>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</si>
  <si>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</si>
  <si>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</si>
  <si>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</si>
  <si>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</si>
  <si>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</si>
  <si>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</si>
  <si>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</si>
  <si>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</si>
  <si>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</si>
  <si>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</si>
  <si>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</si>
  <si>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</si>
  <si>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</si>
  <si>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</si>
  <si>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</si>
  <si>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</si>
  <si>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</si>
  <si>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</si>
  <si>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</si>
  <si>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</si>
  <si>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</si>
  <si>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</si>
  <si>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</si>
  <si>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</si>
  <si>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</si>
  <si>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</si>
  <si>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</si>
  <si>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</si>
  <si>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</si>
  <si>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</si>
  <si>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</si>
  <si>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</si>
  <si>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</si>
  <si>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</si>
  <si>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</si>
  <si>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</si>
  <si>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</si>
  <si>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</si>
  <si>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</si>
  <si>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</si>
  <si>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</si>
  <si>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</si>
  <si>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</si>
  <si>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</si>
  <si>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</si>
  <si>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</si>
  <si>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</si>
  <si>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</si>
  <si>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</si>
  <si>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</si>
  <si>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</si>
  <si>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</si>
  <si>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</si>
  <si>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</si>
  <si>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</si>
  <si>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</si>
  <si>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</si>
  <si>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</si>
  <si>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</si>
  <si>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</si>
  <si>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</si>
  <si>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</si>
  <si>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</si>
  <si>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</si>
  <si>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</si>
  <si>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</si>
  <si>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</si>
  <si>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</si>
  <si>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</si>
  <si>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</si>
  <si>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</si>
  <si>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</si>
  <si>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</si>
  <si>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</si>
  <si>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</si>
  <si>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</si>
  <si>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</si>
  <si>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</si>
  <si>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</si>
  <si>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</si>
  <si>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</si>
  <si>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</si>
  <si>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</si>
  <si>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</si>
  <si>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</si>
  <si>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</si>
  <si>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</si>
  <si>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</si>
  <si>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</si>
  <si>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</si>
  <si>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</si>
  <si>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</si>
  <si>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</si>
  <si>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</si>
  <si>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</si>
  <si>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</si>
  <si>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</si>
  <si>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</si>
  <si>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</si>
  <si>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</si>
  <si>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</si>
  <si>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</si>
  <si>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</si>
  <si>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</si>
  <si>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</si>
  <si>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</si>
  <si>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</si>
  <si>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</si>
  <si>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</si>
  <si>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</si>
  <si>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</si>
  <si>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</si>
  <si>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</si>
  <si>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</si>
  <si>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</si>
  <si>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</si>
  <si>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</si>
  <si>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</si>
  <si>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</si>
  <si>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</si>
  <si>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</si>
  <si>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</si>
  <si>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</si>
  <si>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</si>
  <si>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</si>
  <si>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</si>
  <si>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</si>
  <si>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</si>
  <si>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</si>
  <si>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</si>
  <si>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</si>
  <si>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</si>
  <si>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</si>
  <si>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</si>
  <si>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</si>
  <si>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</si>
  <si>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</si>
  <si>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</si>
  <si>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</si>
  <si>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</si>
  <si>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</si>
  <si>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</si>
  <si>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</si>
  <si>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</si>
  <si>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</si>
  <si>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</si>
  <si>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</si>
  <si>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</si>
  <si>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</si>
  <si>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</si>
  <si>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</si>
  <si>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</si>
  <si>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</si>
  <si>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</si>
  <si>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</si>
  <si>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</si>
  <si>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</si>
  <si>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</si>
  <si>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</si>
  <si>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</si>
  <si>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</si>
  <si>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</si>
  <si>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</si>
  <si>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</si>
  <si>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</si>
  <si>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</si>
  <si>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</si>
  <si>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</si>
  <si>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</si>
  <si>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</si>
  <si>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</si>
  <si>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</si>
  <si>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</si>
  <si>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</si>
  <si>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</si>
  <si>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</si>
  <si>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</si>
  <si>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</si>
  <si>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</si>
  <si>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</si>
  <si>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</si>
  <si>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</si>
  <si>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</si>
  <si>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</si>
  <si>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</si>
  <si>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</si>
  <si>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</si>
  <si>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</si>
  <si>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</si>
  <si>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</si>
  <si>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</si>
  <si>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</si>
  <si>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</si>
  <si>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</si>
  <si>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</si>
  <si>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</si>
  <si>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</si>
  <si>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</si>
  <si>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</si>
  <si>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</si>
  <si>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</si>
  <si>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</si>
  <si>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</si>
  <si>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</si>
  <si>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</si>
  <si>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</si>
  <si>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</si>
  <si>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</si>
  <si>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</si>
  <si>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</si>
  <si>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</si>
  <si>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</si>
  <si>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</si>
  <si>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</si>
  <si>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</si>
  <si>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</si>
  <si>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</si>
  <si>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</si>
  <si>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</si>
  <si>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</si>
  <si>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</si>
  <si>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</si>
  <si>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</si>
  <si>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</si>
  <si>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</si>
  <si>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</si>
  <si>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</si>
  <si>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</si>
  <si>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</si>
  <si>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</si>
  <si>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</si>
  <si>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</si>
  <si>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</si>
  <si>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</si>
  <si>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</si>
  <si>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</si>
  <si>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</si>
  <si>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</si>
  <si>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</si>
  <si>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</si>
  <si>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</si>
  <si>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</si>
  <si>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</si>
  <si>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</si>
  <si>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</si>
  <si>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</si>
  <si>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</si>
  <si>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</si>
  <si>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</si>
  <si>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</si>
  <si>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</si>
  <si>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</si>
  <si>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</si>
  <si>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</si>
  <si>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</si>
  <si>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</si>
  <si>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</si>
  <si>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</si>
  <si>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</si>
  <si>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</si>
  <si>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</si>
  <si>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</si>
  <si>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</si>
  <si>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</si>
  <si>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</si>
  <si>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</si>
  <si>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</si>
  <si>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</si>
  <si>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</si>
  <si>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</si>
  <si>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</si>
  <si>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</si>
  <si>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</si>
  <si>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</si>
  <si>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</si>
  <si>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</si>
  <si>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</si>
  <si>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</si>
  <si>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</si>
  <si>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</si>
  <si>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</si>
  <si>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</si>
  <si>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</si>
  <si>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</si>
  <si>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</si>
  <si>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</si>
  <si>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</si>
  <si>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</si>
  <si>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</si>
  <si>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</si>
  <si>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</si>
  <si>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</si>
  <si>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</si>
  <si>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</si>
  <si>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</si>
  <si>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</si>
  <si>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</si>
  <si>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</si>
  <si>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</si>
  <si>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</si>
  <si>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</si>
  <si>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</si>
  <si>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</si>
  <si>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</si>
  <si>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</si>
  <si>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</si>
  <si>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</si>
  <si>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</si>
  <si>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</si>
  <si>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</si>
  <si>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</si>
  <si>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</si>
  <si>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</si>
  <si>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</si>
  <si>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</si>
  <si>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</si>
  <si>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</si>
  <si>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</si>
  <si>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</si>
  <si>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</si>
  <si>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</si>
  <si>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</si>
  <si>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</si>
  <si>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</si>
  <si>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</si>
  <si>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</si>
  <si>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</si>
  <si>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</si>
  <si>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</si>
  <si>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</si>
  <si>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</si>
  <si>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</si>
  <si>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</si>
  <si>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</si>
  <si>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</si>
  <si>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</si>
  <si>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</si>
  <si>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</si>
  <si>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</si>
  <si>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</si>
  <si>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</si>
  <si>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</si>
  <si>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</si>
  <si>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</si>
  <si>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</si>
  <si>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</si>
  <si>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</si>
  <si>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</si>
  <si>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</si>
  <si>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</si>
  <si>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</si>
  <si>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</si>
  <si>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</si>
  <si>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</si>
  <si>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</si>
  <si>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</si>
  <si>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</si>
  <si>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</si>
  <si>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</si>
  <si>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</si>
  <si>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</si>
  <si>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</si>
  <si>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</si>
  <si>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</si>
  <si>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</si>
  <si>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</si>
  <si>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</si>
  <si>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</si>
  <si>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</si>
  <si>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</si>
  <si>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</si>
  <si>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</si>
  <si>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</si>
  <si>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</si>
  <si>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</si>
  <si>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</si>
  <si>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</si>
  <si>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</si>
  <si>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</si>
  <si>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</si>
  <si>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</si>
  <si>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</si>
  <si>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</si>
  <si>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</si>
  <si>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</si>
  <si>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</si>
  <si>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</si>
  <si>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</si>
  <si>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</si>
  <si>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</si>
  <si>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</si>
  <si>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</si>
  <si>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</si>
  <si>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</si>
  <si>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</si>
  <si>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</si>
  <si>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</si>
  <si>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</si>
  <si>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</si>
  <si>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</si>
  <si>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</si>
  <si>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</si>
  <si>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</si>
  <si>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</si>
  <si>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</si>
  <si>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</si>
  <si>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</si>
  <si>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</si>
  <si>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</si>
  <si>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</si>
  <si>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</si>
  <si>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</si>
  <si>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</si>
  <si>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</si>
  <si>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</si>
  <si>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</si>
  <si>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</si>
  <si>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</si>
  <si>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</si>
  <si>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</si>
  <si>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</si>
  <si>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</si>
  <si>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</si>
  <si>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</si>
  <si>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</si>
  <si>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</si>
  <si>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</si>
  <si>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</si>
  <si>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</si>
  <si>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</si>
  <si>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</si>
  <si>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</si>
  <si>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</si>
  <si>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</si>
  <si>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</si>
  <si>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</si>
  <si>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</si>
  <si>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</si>
  <si>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</si>
  <si>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</si>
  <si>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</si>
  <si>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</si>
  <si>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</si>
  <si>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</si>
  <si>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</si>
  <si>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</si>
  <si>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</si>
  <si>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</si>
  <si>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</si>
  <si>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</si>
  <si>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</si>
  <si>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</si>
  <si>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</si>
  <si>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</si>
  <si>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</si>
  <si>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</si>
  <si>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</si>
  <si>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</si>
  <si>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</si>
  <si>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</si>
  <si>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</si>
  <si>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</si>
  <si>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</si>
  <si>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</si>
  <si>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</si>
  <si>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</si>
  <si>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</si>
  <si>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</si>
  <si>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</si>
  <si>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</si>
  <si>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</si>
  <si>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</si>
  <si>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</si>
  <si>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</si>
  <si>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</si>
  <si>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</si>
  <si>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</si>
  <si>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</si>
  <si>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</si>
  <si>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</si>
  <si>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</si>
  <si>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</si>
  <si>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</si>
  <si>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</si>
  <si>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</si>
  <si>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</si>
  <si>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</si>
  <si>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</si>
  <si>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</si>
  <si>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</si>
  <si>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</si>
  <si>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</si>
  <si>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</si>
  <si>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</si>
  <si>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</si>
  <si>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</si>
  <si>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</si>
  <si>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</si>
  <si>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</si>
  <si>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</si>
  <si>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</si>
  <si>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</si>
  <si>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</si>
  <si>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</si>
  <si>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</si>
  <si>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</si>
  <si>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</si>
  <si>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</si>
  <si>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</si>
  <si>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</si>
  <si>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</si>
  <si>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</si>
  <si>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</si>
  <si>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</si>
  <si>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</si>
  <si>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</si>
  <si>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</si>
  <si>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</si>
  <si>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</si>
  <si>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</si>
  <si>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</si>
  <si>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</si>
  <si>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</si>
  <si>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</si>
  <si>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</si>
  <si>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</si>
  <si>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</si>
  <si>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</si>
  <si>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</si>
  <si>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</si>
  <si>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</si>
  <si>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</si>
  <si>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</si>
  <si>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</si>
  <si>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</si>
  <si>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</si>
  <si>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</si>
  <si>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</si>
  <si>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</si>
  <si>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</si>
  <si>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</si>
  <si>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</si>
  <si>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</si>
  <si>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</si>
  <si>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</si>
  <si>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</si>
  <si>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</si>
  <si>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</si>
  <si>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</si>
  <si>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</si>
  <si>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</si>
  <si>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</si>
  <si>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</si>
  <si>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</si>
  <si>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</si>
  <si>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</si>
  <si>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</si>
  <si>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</si>
  <si>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</si>
  <si>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</si>
  <si>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</si>
  <si>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</si>
  <si>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</si>
  <si>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</si>
  <si>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</si>
  <si>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</si>
  <si>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</si>
  <si>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</si>
  <si>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</si>
  <si>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</si>
  <si>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</si>
  <si>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</si>
  <si>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</si>
  <si>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</si>
  <si>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</si>
  <si>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</si>
  <si>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</si>
  <si>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</si>
  <si>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</si>
  <si>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</si>
  <si>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</si>
  <si>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</si>
  <si>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</si>
  <si>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</si>
  <si>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</si>
  <si>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</si>
  <si>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</si>
  <si>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</si>
  <si>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</si>
  <si>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</si>
  <si>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</si>
  <si>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</si>
  <si>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</si>
  <si>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</si>
  <si>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</si>
  <si>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</si>
  <si>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</si>
  <si>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</si>
  <si>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</si>
  <si>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</si>
  <si>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</si>
  <si>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</si>
  <si>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</si>
  <si>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</si>
  <si>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</si>
  <si>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</si>
  <si>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</si>
  <si>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</si>
  <si>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</si>
  <si>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</si>
  <si>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</si>
  <si>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</si>
  <si>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</si>
  <si>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</si>
  <si>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</si>
  <si>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</si>
  <si>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</si>
  <si>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</si>
  <si>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</si>
  <si>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</si>
  <si>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</si>
  <si>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</si>
  <si>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</si>
  <si>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</si>
  <si>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</si>
  <si>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</si>
  <si>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</si>
  <si>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</si>
  <si>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</si>
  <si>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</si>
  <si>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</si>
  <si>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</si>
  <si>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</si>
  <si>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</si>
  <si>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</si>
  <si>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</si>
  <si>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</si>
  <si>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</si>
  <si>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</si>
  <si>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</si>
  <si>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</si>
  <si>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</si>
  <si>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</si>
  <si>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</si>
  <si>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</si>
  <si>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</si>
  <si>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</si>
  <si>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</si>
  <si>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</si>
  <si>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</si>
  <si>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</si>
  <si>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</si>
  <si>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</si>
  <si>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</si>
  <si>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</si>
  <si>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</si>
  <si>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</si>
  <si>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</si>
  <si>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</si>
  <si>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</si>
  <si>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</si>
  <si>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</si>
  <si>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</si>
  <si>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</si>
  <si>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</si>
  <si>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</si>
  <si>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</si>
  <si>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</si>
  <si>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</si>
  <si>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</si>
  <si>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</si>
  <si>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</si>
  <si>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</si>
  <si>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</si>
  <si>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</si>
  <si>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</si>
  <si>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</si>
  <si>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</si>
  <si>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</si>
  <si>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</si>
  <si>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</si>
  <si>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</si>
  <si>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</si>
  <si>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</si>
  <si>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</si>
  <si>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</si>
  <si>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</si>
  <si>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</si>
  <si>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</si>
  <si>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</si>
  <si>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</si>
  <si>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</si>
  <si>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</si>
  <si>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</si>
  <si>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</si>
  <si>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</si>
  <si>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</si>
  <si>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</si>
  <si>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</si>
  <si>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</si>
  <si>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</si>
  <si>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</si>
  <si>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</si>
  <si>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</si>
  <si>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</si>
  <si>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</si>
  <si>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</si>
  <si>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</si>
  <si>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</si>
  <si>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</si>
  <si>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</si>
  <si>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</si>
  <si>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</si>
  <si>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</si>
  <si>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</si>
  <si>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</si>
  <si>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</si>
  <si>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</si>
  <si>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</si>
  <si>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</si>
  <si>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</si>
  <si>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</si>
  <si>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</si>
  <si>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</si>
  <si>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</si>
  <si>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</si>
  <si>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</si>
  <si>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</si>
  <si>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</si>
  <si>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</si>
  <si>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</si>
  <si>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</si>
  <si>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</si>
  <si>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</si>
  <si>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</si>
  <si>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</si>
  <si>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</si>
  <si>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</si>
  <si>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</si>
  <si>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</si>
  <si>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</si>
  <si>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</si>
  <si>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</si>
  <si>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</si>
  <si>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</si>
  <si>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</si>
  <si>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</si>
  <si>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</si>
  <si>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</si>
  <si>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</si>
  <si>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</si>
  <si>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</si>
  <si>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</si>
  <si>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</si>
  <si>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</si>
  <si>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</si>
  <si>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</si>
  <si>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</si>
  <si>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</si>
  <si>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</si>
  <si>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</si>
  <si>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</si>
  <si>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</si>
  <si>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</si>
  <si>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</si>
  <si>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</si>
  <si>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</si>
  <si>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</si>
  <si>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</si>
  <si>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</si>
  <si>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</si>
  <si>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</si>
  <si>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</si>
  <si>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</si>
  <si>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</si>
  <si>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</si>
  <si>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</si>
  <si>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</si>
  <si>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</si>
  <si>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</si>
  <si>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</si>
  <si>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</si>
  <si>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</si>
  <si>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</si>
  <si>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</si>
  <si>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</si>
  <si>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</si>
  <si>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</si>
  <si>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</si>
  <si>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</si>
  <si>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</si>
  <si>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</si>
  <si>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</si>
  <si>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</si>
  <si>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</si>
  <si>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</si>
  <si>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</si>
  <si>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</si>
  <si>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</si>
  <si>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</si>
  <si>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</si>
  <si>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</si>
  <si>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</si>
  <si>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</si>
  <si>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</si>
  <si>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</si>
  <si>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</si>
  <si>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</si>
  <si>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</si>
  <si>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</si>
  <si>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</si>
  <si>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</si>
  <si>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</si>
  <si>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</si>
  <si>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</si>
  <si>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</si>
  <si>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</si>
  <si>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</si>
  <si>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</si>
  <si>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</si>
  <si>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</si>
  <si>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</si>
  <si>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</si>
  <si>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</si>
  <si>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</si>
  <si>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</si>
  <si>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</si>
  <si>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</si>
  <si>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</si>
  <si>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</si>
  <si>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</si>
  <si>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</si>
  <si>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</si>
  <si>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</si>
  <si>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</si>
  <si>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</si>
  <si>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</si>
  <si>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</si>
  <si>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</si>
  <si>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</si>
  <si>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</si>
  <si>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</si>
  <si>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</si>
  <si>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</si>
  <si>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</si>
  <si>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</si>
  <si>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</si>
  <si>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</si>
  <si>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</si>
  <si>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</si>
  <si>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</si>
  <si>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</si>
  <si>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</si>
  <si>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</si>
  <si>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</si>
  <si>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</si>
  <si>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</si>
  <si>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</si>
  <si>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</si>
  <si>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</si>
  <si>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</si>
  <si>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</si>
  <si>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</si>
  <si>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</si>
  <si>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</si>
  <si>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</si>
  <si>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</si>
  <si>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</si>
  <si>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</si>
  <si>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</si>
  <si>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</si>
  <si>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</si>
  <si>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</si>
  <si>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</si>
  <si>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</si>
  <si>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</si>
  <si>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</si>
  <si>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</si>
  <si>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</si>
  <si>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</si>
  <si>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</si>
  <si>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</si>
  <si>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</si>
  <si>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</si>
  <si>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</si>
  <si>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</si>
  <si>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</si>
  <si>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</si>
  <si>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</si>
  <si>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</si>
  <si>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</si>
  <si>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</si>
  <si>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</si>
  <si>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</si>
  <si>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</si>
  <si>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</si>
  <si>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</si>
  <si>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</si>
  <si>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</si>
  <si>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</si>
  <si>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</si>
  <si>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</si>
  <si>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</si>
  <si>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</si>
  <si>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</si>
  <si>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</si>
  <si>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</si>
  <si>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</si>
  <si>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</si>
  <si>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</si>
  <si>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</si>
  <si>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</si>
  <si>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</si>
  <si>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</si>
  <si>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</si>
  <si>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</si>
  <si>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</si>
  <si>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</si>
  <si>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</si>
  <si>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</si>
  <si>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</si>
  <si>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</si>
  <si>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</si>
  <si>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</si>
  <si>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</si>
  <si>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</si>
  <si>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</si>
  <si>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</si>
  <si>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</si>
  <si>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</si>
  <si>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</si>
  <si>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</si>
  <si>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</si>
  <si>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</si>
  <si>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</si>
  <si>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</si>
  <si>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</si>
  <si>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</si>
  <si>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</si>
  <si>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</si>
  <si>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</si>
  <si>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</si>
  <si>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</si>
  <si>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</si>
  <si>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</si>
  <si>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</si>
  <si>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</si>
  <si>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</si>
  <si>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</si>
  <si>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</si>
  <si>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</si>
  <si>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</si>
  <si>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</si>
  <si>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</si>
  <si>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</si>
  <si>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</si>
  <si>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</si>
  <si>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</si>
  <si>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</si>
  <si>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</si>
  <si>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</si>
  <si>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</si>
  <si>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</si>
  <si>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</si>
  <si>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</si>
  <si>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</si>
  <si>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</si>
  <si>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</si>
  <si>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</si>
  <si>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</si>
  <si>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</si>
  <si>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</si>
  <si>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</si>
  <si>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</si>
  <si>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</si>
  <si>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</si>
  <si>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</si>
  <si>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</si>
  <si>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</si>
  <si>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</si>
  <si>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</si>
  <si>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</si>
  <si>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</si>
  <si>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</si>
  <si>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</si>
  <si>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</si>
  <si>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</si>
  <si>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</si>
  <si>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</si>
  <si>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</si>
  <si>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</si>
  <si>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</si>
  <si>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</si>
  <si>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</si>
  <si>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</si>
  <si>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</si>
  <si>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</si>
  <si>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</si>
  <si>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</si>
  <si>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</si>
  <si>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</si>
  <si>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</si>
  <si>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</si>
  <si>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</si>
  <si>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</si>
  <si>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</si>
  <si>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</si>
  <si>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</si>
  <si>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</si>
  <si>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</si>
  <si>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</si>
  <si>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</si>
  <si>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</si>
  <si>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</si>
  <si>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</si>
  <si>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</si>
  <si>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</si>
  <si>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</si>
  <si>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</si>
  <si>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</si>
  <si>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</si>
  <si>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</si>
  <si>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</si>
  <si>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</si>
  <si>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</si>
  <si>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</si>
  <si>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</si>
  <si>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</si>
  <si>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</si>
  <si>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</si>
  <si>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</si>
  <si>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</si>
  <si>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</si>
  <si>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</si>
  <si>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</si>
  <si>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</si>
  <si>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</si>
  <si>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</si>
  <si>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</si>
  <si>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</si>
  <si>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</si>
  <si>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</si>
  <si>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</si>
  <si>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</si>
  <si>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</si>
  <si>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</si>
  <si>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</si>
  <si>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</si>
  <si>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</si>
  <si>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</si>
  <si>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</si>
  <si>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</si>
  <si>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</si>
  <si>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</si>
  <si>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</si>
  <si>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</si>
  <si>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</si>
  <si>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</si>
  <si>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</si>
  <si>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</si>
  <si>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</si>
  <si>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</si>
  <si>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</si>
  <si>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</si>
  <si>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</si>
  <si>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</si>
  <si>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</si>
  <si>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</si>
  <si>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</si>
  <si>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</si>
  <si>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</si>
  <si>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</si>
  <si>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</si>
  <si>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</si>
  <si>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</si>
  <si>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</si>
  <si>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</si>
  <si>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</si>
  <si>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</si>
  <si>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</si>
  <si>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</si>
  <si>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</si>
  <si>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</si>
  <si>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</si>
  <si>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</si>
  <si>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</si>
  <si>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</si>
  <si>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</si>
  <si>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</si>
  <si>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</si>
  <si>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</si>
  <si>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</si>
  <si>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</si>
  <si>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</si>
  <si>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If you have any questions or concerns please call Randy Huyck at 360-236-4210 or send an e-mail to</t>
  </si>
  <si>
    <t/>
  </si>
  <si>
    <t>037</t>
  </si>
  <si>
    <t>Deaconess Hospital - Rockwood Health System</t>
  </si>
  <si>
    <t>800 W. 5th Avenue</t>
  </si>
  <si>
    <t>PO Box 248</t>
  </si>
  <si>
    <t>Spokane, WA  99210</t>
  </si>
  <si>
    <t>Spokane</t>
  </si>
  <si>
    <t>Maurine Cate</t>
  </si>
  <si>
    <t>Brian Russo</t>
  </si>
  <si>
    <t>Tim Lawlor</t>
  </si>
  <si>
    <t>509-458-5800</t>
  </si>
  <si>
    <t>509-473-7306</t>
  </si>
  <si>
    <t>Deaconess Hospital - MultiCare Health Systems</t>
  </si>
  <si>
    <t>Laureen Driscoll</t>
  </si>
  <si>
    <t>WA_DOH_Dept</t>
  </si>
  <si>
    <t>WA_DOH_Dept_Name</t>
  </si>
  <si>
    <t>Magnetic Res Imaging</t>
  </si>
  <si>
    <t>Research/Education Costs</t>
  </si>
  <si>
    <t>Utilization Management</t>
  </si>
  <si>
    <t>Other Admin Services</t>
  </si>
  <si>
    <t>OrthoGeneral Surgical Care DH</t>
  </si>
  <si>
    <t>Post Anesthesia Care DHS</t>
  </si>
  <si>
    <t>Constant Observer DHS</t>
  </si>
  <si>
    <t>Jason Hotchkiss</t>
  </si>
  <si>
    <t>Cardiovascular ICU DHS</t>
  </si>
  <si>
    <t>Ambulatory Surg Ctr DHS</t>
  </si>
  <si>
    <t>Pre Anesthesia Clinic DHS</t>
  </si>
  <si>
    <t>Imaging DHEC DHS</t>
  </si>
  <si>
    <t>Imaging Northpointe DHS</t>
  </si>
  <si>
    <t>Imaging Coeur D'Alene DHS</t>
  </si>
  <si>
    <t>Neurodiagnostic Svcs DHS</t>
  </si>
  <si>
    <t>Electrophysiology DHS</t>
  </si>
  <si>
    <t>Breast Surgery DHS</t>
  </si>
  <si>
    <t>OTN SOR Grant</t>
  </si>
  <si>
    <t>Printing Services DHS</t>
  </si>
  <si>
    <t>Clinical Engineering DHS</t>
  </si>
  <si>
    <t>Environmental Services DHS</t>
  </si>
  <si>
    <t>Patient Financial Services DHS</t>
  </si>
  <si>
    <t>CDM &amp; Charge Capture DHS</t>
  </si>
  <si>
    <t>Information Services DHS</t>
  </si>
  <si>
    <t>Marketing DHS</t>
  </si>
  <si>
    <t>Human Resources DHS</t>
  </si>
  <si>
    <t>Employee Health DHS</t>
  </si>
  <si>
    <t>Chaplaincy DHS</t>
  </si>
  <si>
    <t>Health Information Mgmt DHS</t>
  </si>
  <si>
    <t>Pat Nav &amp; Care Coord Admin DHS</t>
  </si>
  <si>
    <t>Central Telemetry DHS</t>
  </si>
  <si>
    <t>Education Services DHS</t>
  </si>
  <si>
    <t>HB Interface</t>
  </si>
  <si>
    <t>Tab</t>
  </si>
  <si>
    <t>Line</t>
  </si>
  <si>
    <t>Employee benefits by DOH category</t>
  </si>
  <si>
    <t>Units of measure</t>
  </si>
  <si>
    <t>FTEs</t>
  </si>
  <si>
    <t>61--75</t>
  </si>
  <si>
    <t>Expenses</t>
  </si>
  <si>
    <t>Utilities</t>
  </si>
  <si>
    <t>Admits and patient days</t>
  </si>
  <si>
    <t>141 and 142</t>
  </si>
  <si>
    <t>3rd party payors AR</t>
  </si>
  <si>
    <t>Other accrued liabilites</t>
  </si>
  <si>
    <t>Non-current liabilities</t>
  </si>
  <si>
    <t>Licenses and taxes</t>
  </si>
  <si>
    <t>Category</t>
  </si>
  <si>
    <t>Payables to 3rd party payors</t>
  </si>
  <si>
    <t>Updated</t>
  </si>
  <si>
    <t>Note</t>
  </si>
  <si>
    <t>Dept Description</t>
  </si>
  <si>
    <t>Revised Mapping Based on Notes</t>
  </si>
  <si>
    <t>Notes</t>
  </si>
  <si>
    <t>This department is actually a Progressive Care Unit, or step down., not an ICU.  It is appropriate to be grouped with: 603 Semi-Intensive Care</t>
  </si>
  <si>
    <t>This is a nursing unit, not part of surgical services and is appropriate to be grouped with 6070 Acute Care</t>
  </si>
  <si>
    <t>This department is Pre-Op and Phase 2 Post OP recovery and is appropriately grouped with 7020 Surgical Services</t>
  </si>
  <si>
    <t>This department is a collection of staff that float to different nursing floors to watch patients who have unusual risks.  This is appropriate to be grouped with 8730 Nursing Float Personnel</t>
  </si>
  <si>
    <t>This is also known as PACU and is appropriately grouped with 7030 Recovery Room</t>
  </si>
  <si>
    <t xml:space="preserve">This dept is a radiology/x-ray clinic under Pulse and is appropriate to group as a clinic 7260.  </t>
  </si>
  <si>
    <t>This is also known as EEG and is appropriate to group as 7340 Electromyogray</t>
  </si>
  <si>
    <t>This is also known as the EP lab. Deaconess places these services within the cath lab so it is appropriate to group as radiology diagnostic 7140.</t>
  </si>
  <si>
    <t>This is a clinic, not a surgery area to itself. It is appropriate to group as 7260 clinics.</t>
  </si>
  <si>
    <r>
      <t xml:space="preserve">This is a 3 year program within our Emergency Room space which stands for </t>
    </r>
    <r>
      <rPr>
        <u/>
        <sz val="11"/>
        <rFont val="New times roman"/>
      </rPr>
      <t>S</t>
    </r>
    <r>
      <rPr>
        <sz val="11"/>
        <rFont val="New times roman"/>
      </rPr>
      <t xml:space="preserve">tate </t>
    </r>
    <r>
      <rPr>
        <u/>
        <sz val="11"/>
        <rFont val="New times roman"/>
      </rPr>
      <t>O</t>
    </r>
    <r>
      <rPr>
        <sz val="11"/>
        <rFont val="New times roman"/>
      </rPr>
      <t xml:space="preserve">piod </t>
    </r>
    <r>
      <rPr>
        <u/>
        <sz val="11"/>
        <rFont val="New times roman"/>
      </rPr>
      <t>R</t>
    </r>
    <r>
      <rPr>
        <sz val="11"/>
        <rFont val="New times roman"/>
      </rPr>
      <t xml:space="preserve">esponse.  It is appropriate to group as 7230 Emergency. </t>
    </r>
  </si>
  <si>
    <t>Reclassed to 8310 Printing and Duplication</t>
  </si>
  <si>
    <t>This is also known as bio-med and is appropriately part of Plant 8430.</t>
  </si>
  <si>
    <t>Reclassed to 8460 Housekeeping</t>
  </si>
  <si>
    <t>Reclassed to 8530 Patient Accounts.</t>
  </si>
  <si>
    <t>This staff is an extension of PFS and is appropriately grouped as 8530 Patient Accounts</t>
  </si>
  <si>
    <t>Reclassed to 8480 Data Processing.</t>
  </si>
  <si>
    <t xml:space="preserve">Reclassed to 8630 Public Relations. </t>
  </si>
  <si>
    <t xml:space="preserve">Reclassed to 8650 Personnel. </t>
  </si>
  <si>
    <t>Reclassed to 8670.</t>
  </si>
  <si>
    <t>Reclassed to 8690 Medical Records.</t>
  </si>
  <si>
    <t>This department is comprosed of house supervisors that oversee nursing activities throughout the facility and is appropriately grouped as Nursing Administration 8720</t>
  </si>
  <si>
    <t>This department is a nursing function which monitors the status of patients heart rates, breathing, oxygen, etc from a central spot. It has appropriately been grouped in 6400 Other Daily Services.</t>
  </si>
  <si>
    <t>Reclassed to 8740 Inservice Education.</t>
  </si>
  <si>
    <t xml:space="preserve">Reclassed to 8480 Data Processing. </t>
  </si>
  <si>
    <t>See DOH Category Updates (below)</t>
  </si>
  <si>
    <t>Reclass from Line 69 to 65</t>
  </si>
  <si>
    <t>Updates for 8420, 8790, 7490</t>
  </si>
  <si>
    <t>Reclassed to line 255</t>
  </si>
  <si>
    <t>Reclass from other non-current liabilities</t>
  </si>
  <si>
    <t>Reclass from other LT liabilities</t>
  </si>
  <si>
    <t>Reclasses to 307 &amp; 309</t>
  </si>
  <si>
    <t>Reclass from line 389</t>
  </si>
  <si>
    <t>Detail provided</t>
  </si>
  <si>
    <t>DOH Category Updates</t>
  </si>
  <si>
    <t>IP and OP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</si>
</sst>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_);\(#,##0.0\)"/>
    <numFmt numFmtId="168" formatCode="#0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Segoe UI"/>
      <family val="2"/>
    </font>
    <font>
      <b/>
      <sz val="11"/>
      <color rgb="FF000000"/>
      <name val="Segoe UI"/>
      <family val="2"/>
    </font>
    <font>
      <b/>
      <sz val="11"/>
      <name val="New times roman"/>
    </font>
    <font>
      <sz val="11"/>
      <name val="New times roman"/>
    </font>
    <font>
      <sz val="11"/>
      <color theme="1"/>
      <name val="New times roman"/>
    </font>
    <font>
      <u/>
      <sz val="11"/>
      <name val="New times roman"/>
    </font>
    <font>
      <sz val="8"/>
      <name val="New times roman"/>
    </font>
    <font>
      <b/>
      <sz val="26"/>
      <color theme="3"/>
      <name val="Cambria"/>
      <family val="2"/>
      <scheme val="major"/>
    </font>
    <font>
      <b/>
      <sz val="10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897762993255407E-2"/>
        <bgColor indexed="15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3"/>
        <bgColor indexed="1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  <border>
      <left/>
      <right/>
      <top/>
      <bottom style="medium">
        <color rgb="FF1F497D"/>
      </bottom>
      <diagonal/>
    </border>
    <border>
      <left/>
      <right/>
      <top style="thick">
        <color theme="0" tint="-0.49989318521683401"/>
      </top>
      <bottom style="thick">
        <color theme="0" tint="-0.49989318521683401"/>
      </bottom>
      <diagonal/>
    </border>
    <border>
      <left/>
      <right/>
      <top style="medium">
        <color theme="0" tint="-0.49989318521683401"/>
      </top>
      <bottom style="double">
        <color theme="0" tint="-0.499893185216834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29">
    <xf numFmtId="37" fontId="0" fillId="0" borderId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37" fontId="11" fillId="0" borderId="0"/>
    <xf numFmtId="37" fontId="10" fillId="4" borderId="0" applyFill="0"/>
    <xf numFmtId="0" fontId="5" fillId="0" borderId="0"/>
    <xf numFmtId="43" fontId="5" fillId="0" borderId="0" applyFont="0" applyFill="0" applyBorder="0" applyAlignment="0" applyProtection="0"/>
    <xf numFmtId="0" fontId="20" fillId="10" borderId="33">
      <alignment vertical="center"/>
    </xf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37" fontId="29" fillId="12" borderId="35" applyNumberFormat="0">
      <alignment vertical="center"/>
      <protection locked="0"/>
    </xf>
    <xf numFmtId="37" fontId="21" fillId="11" borderId="0">
      <alignment horizontal="left" vertical="center"/>
    </xf>
    <xf numFmtId="0" fontId="30" fillId="14" borderId="0">
      <alignment horizontal="right" vertical="center"/>
    </xf>
    <xf numFmtId="0" fontId="21" fillId="15" borderId="37">
      <alignment horizontal="left" vertical="center"/>
    </xf>
    <xf numFmtId="38" fontId="22" fillId="16" borderId="38">
      <alignment vertical="center"/>
    </xf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0" fillId="13" borderId="36">
      <alignment vertical="center"/>
    </xf>
    <xf numFmtId="0" fontId="6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6">
    <xf numFmtId="37" fontId="0" fillId="0" borderId="0" xfId="0"/>
    <xf numFmtId="37" fontId="8" fillId="0" borderId="0" xfId="0" applyFont="1" applyBorder="1"/>
    <xf numFmtId="37" fontId="8" fillId="0" borderId="0" xfId="0" applyFont="1"/>
    <xf numFmtId="37" fontId="7" fillId="0" borderId="0" xfId="0" applyFont="1" applyFill="1" applyBorder="1"/>
    <xf numFmtId="37" fontId="9" fillId="0" borderId="0" xfId="0" applyNumberFormat="1" applyFont="1" applyFill="1" applyBorder="1" applyAlignment="1" applyProtection="1">
      <alignment horizontal="centerContinuous"/>
    </xf>
    <xf numFmtId="37" fontId="10" fillId="0" borderId="0" xfId="0" applyFont="1" applyBorder="1" applyAlignment="1">
      <alignment horizontal="centerContinuous"/>
    </xf>
    <xf numFmtId="37" fontId="10" fillId="0" borderId="0" xfId="0" applyFont="1" applyAlignment="1">
      <alignment horizontal="centerContinuous"/>
    </xf>
    <xf numFmtId="37" fontId="10" fillId="0" borderId="0" xfId="0" applyFont="1"/>
    <xf numFmtId="37" fontId="10" fillId="0" borderId="0" xfId="0" applyFont="1" applyBorder="1"/>
    <xf numFmtId="37" fontId="9" fillId="0" borderId="0" xfId="0" applyNumberFormat="1" applyFont="1" applyFill="1" applyBorder="1" applyAlignment="1" applyProtection="1">
      <alignment horizontal="center"/>
    </xf>
    <xf numFmtId="37" fontId="10" fillId="0" borderId="0" xfId="0" quotePrefix="1" applyNumberFormat="1" applyFont="1" applyBorder="1" applyAlignment="1" applyProtection="1">
      <alignment horizontal="left"/>
    </xf>
    <xf numFmtId="37" fontId="11" fillId="0" borderId="0" xfId="0" applyFont="1"/>
    <xf numFmtId="37" fontId="10" fillId="0" borderId="0" xfId="0" quotePrefix="1" applyNumberFormat="1" applyFont="1" applyBorder="1" applyAlignment="1" applyProtection="1">
      <alignment horizontal="center"/>
    </xf>
    <xf numFmtId="37" fontId="9" fillId="0" borderId="1" xfId="0" applyNumberFormat="1" applyFont="1" applyFill="1" applyBorder="1" applyProtection="1"/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alignment horizontal="center"/>
    </xf>
    <xf numFmtId="37" fontId="9" fillId="0" borderId="3" xfId="0" applyNumberFormat="1" applyFont="1" applyFill="1" applyBorder="1" applyProtection="1"/>
    <xf numFmtId="37" fontId="9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center"/>
    </xf>
    <xf numFmtId="37" fontId="9" fillId="0" borderId="3" xfId="0" applyFont="1" applyFill="1" applyBorder="1"/>
    <xf numFmtId="37" fontId="9" fillId="0" borderId="4" xfId="0" applyFont="1" applyFill="1" applyBorder="1"/>
    <xf numFmtId="37" fontId="9" fillId="0" borderId="2" xfId="0" applyNumberFormat="1" applyFont="1" applyFill="1" applyBorder="1" applyProtection="1"/>
    <xf numFmtId="37" fontId="9" fillId="0" borderId="2" xfId="0" quotePrefix="1" applyNumberFormat="1" applyFont="1" applyFill="1" applyBorder="1" applyAlignment="1" applyProtection="1">
      <alignment horizontal="left"/>
    </xf>
    <xf numFmtId="37" fontId="9" fillId="0" borderId="1" xfId="0" applyNumberFormat="1" applyFont="1" applyFill="1" applyBorder="1" applyAlignment="1" applyProtection="1"/>
    <xf numFmtId="37" fontId="9" fillId="0" borderId="2" xfId="0" applyFont="1" applyFill="1" applyBorder="1"/>
    <xf numFmtId="37" fontId="9" fillId="0" borderId="4" xfId="0" applyFont="1" applyFill="1" applyBorder="1" applyAlignment="1">
      <alignment horizontal="center"/>
    </xf>
    <xf numFmtId="39" fontId="9" fillId="0" borderId="2" xfId="0" applyNumberFormat="1" applyFont="1" applyFill="1" applyBorder="1" applyAlignment="1" applyProtection="1"/>
    <xf numFmtId="37" fontId="10" fillId="0" borderId="2" xfId="0" applyFont="1" applyBorder="1"/>
    <xf numFmtId="37" fontId="10" fillId="0" borderId="4" xfId="0" applyFont="1" applyBorder="1"/>
    <xf numFmtId="37" fontId="9" fillId="0" borderId="0" xfId="0" quotePrefix="1" applyNumberFormat="1" applyFont="1" applyFill="1" applyBorder="1" applyAlignment="1" applyProtection="1">
      <alignment horizontal="left"/>
    </xf>
    <xf numFmtId="37" fontId="9" fillId="0" borderId="0" xfId="0" applyFont="1" applyFill="1" applyBorder="1"/>
    <xf numFmtId="37" fontId="9" fillId="0" borderId="0" xfId="0" quotePrefix="1" applyNumberFormat="1" applyFont="1" applyFill="1" applyBorder="1" applyAlignment="1" applyProtection="1">
      <alignment horizontal="center"/>
    </xf>
    <xf numFmtId="37" fontId="9" fillId="0" borderId="5" xfId="0" applyFont="1" applyFill="1" applyBorder="1"/>
    <xf numFmtId="37" fontId="9" fillId="0" borderId="6" xfId="0" quotePrefix="1" applyNumberFormat="1" applyFont="1" applyFill="1" applyBorder="1" applyAlignment="1" applyProtection="1">
      <alignment horizontal="centerContinuous"/>
    </xf>
    <xf numFmtId="37" fontId="9" fillId="0" borderId="7" xfId="0" applyFont="1" applyFill="1" applyBorder="1" applyAlignment="1">
      <alignment horizontal="centerContinuous"/>
    </xf>
    <xf numFmtId="37" fontId="9" fillId="0" borderId="2" xfId="0" applyNumberFormat="1" applyFont="1" applyFill="1" applyBorder="1" applyAlignment="1" applyProtection="1">
      <alignment horizontal="centerContinuous"/>
    </xf>
    <xf numFmtId="37" fontId="9" fillId="0" borderId="2" xfId="0" applyFont="1" applyFill="1" applyBorder="1" applyAlignment="1">
      <alignment horizontal="centerContinuous"/>
    </xf>
    <xf numFmtId="37" fontId="9" fillId="0" borderId="8" xfId="0" applyNumberFormat="1" applyFont="1" applyFill="1" applyBorder="1" applyAlignment="1" applyProtection="1">
      <alignment horizontal="centerContinuous"/>
    </xf>
    <xf numFmtId="37" fontId="9" fillId="0" borderId="8" xfId="0" applyFont="1" applyFill="1" applyBorder="1"/>
    <xf numFmtId="37" fontId="9" fillId="0" borderId="1" xfId="0" applyNumberFormat="1" applyFont="1" applyFill="1" applyBorder="1" applyAlignment="1" applyProtection="1">
      <alignment horizontal="centerContinuous"/>
    </xf>
    <xf numFmtId="37" fontId="9" fillId="0" borderId="9" xfId="0" applyNumberFormat="1" applyFont="1" applyFill="1" applyBorder="1" applyProtection="1"/>
    <xf numFmtId="37" fontId="9" fillId="0" borderId="10" xfId="0" applyNumberFormat="1" applyFont="1" applyFill="1" applyBorder="1" applyAlignment="1" applyProtection="1"/>
    <xf numFmtId="37" fontId="9" fillId="0" borderId="11" xfId="0" applyFont="1" applyFill="1" applyBorder="1"/>
    <xf numFmtId="37" fontId="9" fillId="0" borderId="6" xfId="0" applyNumberFormat="1" applyFont="1" applyFill="1" applyBorder="1" applyAlignment="1" applyProtection="1">
      <alignment horizontal="centerContinuous"/>
    </xf>
    <xf numFmtId="37" fontId="9" fillId="0" borderId="4" xfId="0" applyFont="1" applyFill="1" applyBorder="1" applyAlignment="1">
      <alignment horizontal="centerContinuous"/>
    </xf>
    <xf numFmtId="37" fontId="9" fillId="0" borderId="0" xfId="0" applyNumberFormat="1" applyFont="1" applyFill="1" applyBorder="1" applyAlignment="1" applyProtection="1"/>
    <xf numFmtId="37" fontId="9" fillId="0" borderId="6" xfId="0" applyFont="1" applyFill="1" applyBorder="1" applyAlignment="1">
      <alignment horizontal="center"/>
    </xf>
    <xf numFmtId="37" fontId="9" fillId="0" borderId="7" xfId="0" applyFont="1" applyFill="1" applyBorder="1" applyAlignment="1">
      <alignment horizontal="center"/>
    </xf>
    <xf numFmtId="37" fontId="9" fillId="0" borderId="2" xfId="0" quotePrefix="1" applyNumberFormat="1" applyFont="1" applyFill="1" applyBorder="1" applyAlignment="1" applyProtection="1"/>
    <xf numFmtId="37" fontId="9" fillId="0" borderId="8" xfId="0" applyNumberFormat="1" applyFont="1" applyFill="1" applyBorder="1" applyAlignment="1" applyProtection="1"/>
    <xf numFmtId="37" fontId="9" fillId="0" borderId="12" xfId="0" applyFont="1" applyFill="1" applyBorder="1"/>
    <xf numFmtId="37" fontId="9" fillId="0" borderId="10" xfId="0" applyFont="1" applyFill="1" applyBorder="1"/>
    <xf numFmtId="37" fontId="9" fillId="0" borderId="7" xfId="0" applyFont="1" applyFill="1" applyBorder="1"/>
    <xf numFmtId="37" fontId="9" fillId="0" borderId="9" xfId="0" applyFont="1" applyFill="1" applyBorder="1"/>
    <xf numFmtId="37" fontId="9" fillId="0" borderId="10" xfId="0" applyFont="1" applyFill="1" applyBorder="1" applyAlignment="1">
      <alignment horizontal="center"/>
    </xf>
    <xf numFmtId="164" fontId="9" fillId="0" borderId="2" xfId="0" applyNumberFormat="1" applyFont="1" applyFill="1" applyBorder="1" applyProtection="1"/>
    <xf numFmtId="37" fontId="9" fillId="0" borderId="2" xfId="0" applyFont="1" applyFill="1" applyBorder="1" applyAlignment="1">
      <alignment horizontal="center"/>
    </xf>
    <xf numFmtId="37" fontId="9" fillId="0" borderId="13" xfId="0" applyNumberFormat="1" applyFont="1" applyFill="1" applyBorder="1" applyProtection="1"/>
    <xf numFmtId="37" fontId="9" fillId="0" borderId="0" xfId="0" applyFont="1" applyFill="1" applyBorder="1" applyAlignment="1">
      <alignment horizontal="center"/>
    </xf>
    <xf numFmtId="164" fontId="9" fillId="0" borderId="2" xfId="0" applyNumberFormat="1" applyFont="1" applyFill="1" applyBorder="1" applyAlignment="1" applyProtection="1">
      <alignment horizontal="right"/>
    </xf>
    <xf numFmtId="37" fontId="9" fillId="0" borderId="2" xfId="0" applyFont="1" applyFill="1" applyBorder="1" applyAlignment="1"/>
    <xf numFmtId="164" fontId="9" fillId="0" borderId="1" xfId="0" applyNumberFormat="1" applyFont="1" applyFill="1" applyBorder="1" applyProtection="1"/>
    <xf numFmtId="164" fontId="9" fillId="0" borderId="1" xfId="0" applyNumberFormat="1" applyFont="1" applyFill="1" applyBorder="1" applyAlignment="1" applyProtection="1"/>
    <xf numFmtId="164" fontId="9" fillId="0" borderId="2" xfId="0" quotePrefix="1" applyNumberFormat="1" applyFont="1" applyFill="1" applyBorder="1" applyAlignment="1" applyProtection="1">
      <alignment horizontal="left"/>
    </xf>
    <xf numFmtId="37" fontId="9" fillId="0" borderId="9" xfId="0" applyNumberFormat="1" applyFont="1" applyFill="1" applyBorder="1" applyAlignment="1" applyProtection="1"/>
    <xf numFmtId="37" fontId="9" fillId="0" borderId="12" xfId="0" quotePrefix="1" applyNumberFormat="1" applyFont="1" applyFill="1" applyBorder="1" applyAlignment="1" applyProtection="1">
      <alignment horizontal="left"/>
    </xf>
    <xf numFmtId="37" fontId="9" fillId="0" borderId="14" xfId="0" applyFont="1" applyFill="1" applyBorder="1" applyAlignment="1">
      <alignment horizontal="center"/>
    </xf>
    <xf numFmtId="37" fontId="9" fillId="0" borderId="8" xfId="0" applyFont="1" applyFill="1" applyBorder="1" applyAlignment="1">
      <alignment horizontal="center"/>
    </xf>
    <xf numFmtId="37" fontId="9" fillId="0" borderId="14" xfId="0" applyFont="1" applyFill="1" applyBorder="1"/>
    <xf numFmtId="37" fontId="10" fillId="0" borderId="14" xfId="0" applyFont="1" applyBorder="1"/>
    <xf numFmtId="37" fontId="10" fillId="0" borderId="8" xfId="0" applyFont="1" applyBorder="1"/>
    <xf numFmtId="37" fontId="9" fillId="0" borderId="8" xfId="0" applyFont="1" applyFill="1" applyBorder="1" applyAlignment="1">
      <alignment horizontal="centerContinuous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13" xfId="0" applyFont="1" applyFill="1" applyBorder="1"/>
    <xf numFmtId="37" fontId="10" fillId="0" borderId="13" xfId="0" applyFont="1" applyBorder="1"/>
    <xf numFmtId="37" fontId="9" fillId="0" borderId="3" xfId="0" applyFont="1" applyFill="1" applyBorder="1" applyAlignment="1">
      <alignment horizontal="centerContinuous"/>
    </xf>
    <xf numFmtId="37" fontId="10" fillId="0" borderId="0" xfId="0" applyFont="1" applyBorder="1" applyAlignment="1">
      <alignment horizontal="center"/>
    </xf>
    <xf numFmtId="37" fontId="10" fillId="0" borderId="0" xfId="0" applyFont="1" applyBorder="1" applyAlignment="1"/>
    <xf numFmtId="37" fontId="10" fillId="0" borderId="0" xfId="0" applyFont="1" applyAlignment="1"/>
    <xf numFmtId="37" fontId="10" fillId="0" borderId="0" xfId="0" quotePrefix="1" applyNumberFormat="1" applyFont="1" applyBorder="1" applyAlignment="1" applyProtection="1"/>
    <xf numFmtId="37" fontId="11" fillId="0" borderId="0" xfId="0" applyFont="1" applyAlignment="1"/>
    <xf numFmtId="37" fontId="9" fillId="0" borderId="3" xfId="0" applyNumberFormat="1" applyFont="1" applyFill="1" applyBorder="1" applyAlignment="1" applyProtection="1"/>
    <xf numFmtId="37" fontId="9" fillId="0" borderId="3" xfId="0" applyFont="1" applyFill="1" applyBorder="1" applyAlignment="1"/>
    <xf numFmtId="37" fontId="9" fillId="0" borderId="4" xfId="0" applyFont="1" applyFill="1" applyBorder="1" applyAlignment="1"/>
    <xf numFmtId="4" fontId="9" fillId="0" borderId="2" xfId="0" applyNumberFormat="1" applyFont="1" applyFill="1" applyBorder="1" applyAlignment="1" applyProtection="1"/>
    <xf numFmtId="37" fontId="10" fillId="0" borderId="10" xfId="0" applyFont="1" applyBorder="1" applyAlignment="1"/>
    <xf numFmtId="3" fontId="9" fillId="0" borderId="2" xfId="0" applyNumberFormat="1" applyFont="1" applyFill="1" applyBorder="1" applyAlignment="1" applyProtection="1"/>
    <xf numFmtId="2" fontId="9" fillId="0" borderId="2" xfId="0" applyNumberFormat="1" applyFont="1" applyFill="1" applyBorder="1" applyAlignment="1" applyProtection="1"/>
    <xf numFmtId="37" fontId="9" fillId="0" borderId="4" xfId="0" quotePrefix="1" applyNumberFormat="1" applyFont="1" applyFill="1" applyBorder="1" applyAlignment="1" applyProtection="1">
      <alignment horizontal="center"/>
    </xf>
    <xf numFmtId="37" fontId="9" fillId="0" borderId="2" xfId="0" quotePrefix="1" applyNumberFormat="1" applyFont="1" applyFill="1" applyBorder="1" applyAlignment="1" applyProtection="1">
      <alignment horizontal="center"/>
    </xf>
    <xf numFmtId="37" fontId="10" fillId="0" borderId="2" xfId="0" applyFont="1" applyBorder="1" applyAlignment="1">
      <alignment horizontal="center"/>
    </xf>
    <xf numFmtId="37" fontId="10" fillId="0" borderId="4" xfId="0" applyFont="1" applyBorder="1" applyAlignment="1">
      <alignment horizontal="center"/>
    </xf>
    <xf numFmtId="37" fontId="9" fillId="2" borderId="2" xfId="0" applyNumberFormat="1" applyFont="1" applyFill="1" applyBorder="1" applyProtection="1"/>
    <xf numFmtId="37" fontId="9" fillId="2" borderId="2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left"/>
    </xf>
    <xf numFmtId="37" fontId="10" fillId="0" borderId="7" xfId="0" applyFont="1" applyBorder="1" applyAlignment="1">
      <alignment horizontal="centerContinuous"/>
    </xf>
    <xf numFmtId="37" fontId="9" fillId="0" borderId="9" xfId="0" quotePrefix="1" applyNumberFormat="1" applyFont="1" applyFill="1" applyBorder="1" applyAlignment="1" applyProtection="1"/>
    <xf numFmtId="37" fontId="9" fillId="0" borderId="8" xfId="0" quotePrefix="1" applyNumberFormat="1" applyFont="1" applyFill="1" applyBorder="1" applyAlignment="1" applyProtection="1">
      <alignment horizontal="left"/>
    </xf>
    <xf numFmtId="37" fontId="9" fillId="0" borderId="4" xfId="0" applyNumberFormat="1" applyFont="1" applyFill="1" applyBorder="1" applyProtection="1"/>
    <xf numFmtId="37" fontId="10" fillId="0" borderId="1" xfId="0" applyFont="1" applyBorder="1"/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9" fillId="0" borderId="11" xfId="0" applyNumberFormat="1" applyFont="1" applyFill="1" applyBorder="1" applyProtection="1"/>
    <xf numFmtId="37" fontId="9" fillId="0" borderId="6" xfId="0" applyFont="1" applyFill="1" applyBorder="1" applyAlignment="1">
      <alignment horizontal="centerContinuous"/>
    </xf>
    <xf numFmtId="37" fontId="9" fillId="0" borderId="1" xfId="0" applyFont="1" applyFill="1" applyBorder="1" applyAlignment="1">
      <alignment horizontal="centerContinuous"/>
    </xf>
    <xf numFmtId="37" fontId="10" fillId="0" borderId="0" xfId="0" applyNumberFormat="1" applyFont="1" applyBorder="1" applyProtection="1"/>
    <xf numFmtId="37" fontId="10" fillId="0" borderId="0" xfId="0" applyNumberFormat="1" applyFont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>
      <alignment horizontal="centerContinuous"/>
    </xf>
    <xf numFmtId="37" fontId="10" fillId="0" borderId="6" xfId="0" applyFont="1" applyBorder="1" applyAlignment="1">
      <alignment horizontal="centerContinuous"/>
    </xf>
    <xf numFmtId="37" fontId="9" fillId="0" borderId="2" xfId="0" quotePrefix="1" applyNumberFormat="1" applyFont="1" applyFill="1" applyBorder="1" applyAlignment="1" applyProtection="1">
      <alignment horizontal="centerContinuous"/>
    </xf>
    <xf numFmtId="37" fontId="9" fillId="0" borderId="3" xfId="0" applyNumberFormat="1" applyFont="1" applyFill="1" applyBorder="1" applyAlignment="1" applyProtection="1">
      <alignment horizontal="center"/>
    </xf>
    <xf numFmtId="37" fontId="9" fillId="0" borderId="1" xfId="0" applyNumberFormat="1" applyFont="1" applyFill="1" applyBorder="1" applyAlignment="1" applyProtection="1">
      <alignment horizontal="center"/>
    </xf>
    <xf numFmtId="37" fontId="9" fillId="0" borderId="13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Fill="1" applyBorder="1" applyAlignment="1" applyProtection="1"/>
    <xf numFmtId="37" fontId="9" fillId="0" borderId="4" xfId="0" quotePrefix="1" applyNumberFormat="1" applyFont="1" applyFill="1" applyBorder="1" applyAlignment="1" applyProtection="1"/>
    <xf numFmtId="37" fontId="9" fillId="0" borderId="13" xfId="0" applyNumberFormat="1" applyFont="1" applyFill="1" applyBorder="1" applyAlignment="1" applyProtection="1">
      <alignment horizontal="centerContinuous"/>
    </xf>
    <xf numFmtId="37" fontId="10" fillId="0" borderId="4" xfId="0" applyFont="1" applyBorder="1" applyAlignment="1">
      <alignment horizontal="centerContinuous"/>
    </xf>
    <xf numFmtId="37" fontId="9" fillId="0" borderId="7" xfId="0" applyNumberFormat="1" applyFont="1" applyFill="1" applyBorder="1" applyAlignment="1" applyProtection="1">
      <alignment horizontal="centerContinuous"/>
    </xf>
    <xf numFmtId="37" fontId="9" fillId="0" borderId="14" xfId="0" applyNumberFormat="1" applyFont="1" applyFill="1" applyBorder="1" applyAlignment="1" applyProtection="1">
      <alignment horizontal="left"/>
    </xf>
    <xf numFmtId="37" fontId="10" fillId="0" borderId="12" xfId="0" applyFont="1" applyBorder="1"/>
    <xf numFmtId="37" fontId="10" fillId="0" borderId="6" xfId="0" applyFont="1" applyBorder="1"/>
    <xf numFmtId="37" fontId="10" fillId="0" borderId="7" xfId="0" applyFont="1" applyBorder="1"/>
    <xf numFmtId="37" fontId="10" fillId="0" borderId="15" xfId="0" applyFont="1" applyBorder="1"/>
    <xf numFmtId="37" fontId="10" fillId="0" borderId="12" xfId="0" quotePrefix="1" applyNumberFormat="1" applyFont="1" applyBorder="1" applyAlignment="1" applyProtection="1"/>
    <xf numFmtId="37" fontId="10" fillId="0" borderId="12" xfId="0" quotePrefix="1" applyNumberFormat="1" applyFont="1" applyBorder="1" applyAlignment="1" applyProtection="1">
      <alignment horizontal="left"/>
    </xf>
    <xf numFmtId="37" fontId="10" fillId="0" borderId="12" xfId="0" applyNumberFormat="1" applyFont="1" applyBorder="1" applyAlignment="1" applyProtection="1"/>
    <xf numFmtId="37" fontId="10" fillId="0" borderId="10" xfId="0" applyFont="1" applyBorder="1"/>
    <xf numFmtId="37" fontId="9" fillId="0" borderId="8" xfId="0" applyNumberFormat="1" applyFont="1" applyFill="1" applyBorder="1" applyProtection="1"/>
    <xf numFmtId="37" fontId="9" fillId="0" borderId="14" xfId="0" applyFont="1" applyFill="1" applyBorder="1" applyAlignment="1">
      <alignment horizontal="centerContinuous"/>
    </xf>
    <xf numFmtId="37" fontId="9" fillId="0" borderId="12" xfId="0" applyNumberFormat="1" applyFont="1" applyFill="1" applyBorder="1" applyAlignment="1" applyProtection="1"/>
    <xf numFmtId="37" fontId="9" fillId="0" borderId="1" xfId="0" applyFont="1" applyFill="1" applyBorder="1"/>
    <xf numFmtId="37" fontId="10" fillId="0" borderId="3" xfId="0" applyNumberFormat="1" applyFont="1" applyBorder="1" applyProtection="1"/>
    <xf numFmtId="37" fontId="10" fillId="2" borderId="0" xfId="0" applyFont="1" applyFill="1" applyBorder="1"/>
    <xf numFmtId="37" fontId="10" fillId="2" borderId="4" xfId="0" applyFont="1" applyFill="1" applyBorder="1"/>
    <xf numFmtId="37" fontId="10" fillId="0" borderId="9" xfId="0" applyFont="1" applyBorder="1"/>
    <xf numFmtId="37" fontId="9" fillId="0" borderId="12" xfId="0" applyNumberFormat="1" applyFont="1" applyFill="1" applyBorder="1" applyAlignment="1" applyProtection="1">
      <alignment horizontal="left"/>
    </xf>
    <xf numFmtId="37" fontId="9" fillId="0" borderId="10" xfId="0" applyNumberFormat="1" applyFont="1" applyFill="1" applyBorder="1" applyAlignment="1" applyProtection="1">
      <alignment horizontal="right"/>
    </xf>
    <xf numFmtId="37" fontId="10" fillId="0" borderId="10" xfId="0" applyNumberFormat="1" applyFont="1" applyBorder="1" applyProtection="1"/>
    <xf numFmtId="37" fontId="10" fillId="2" borderId="12" xfId="0" applyFont="1" applyFill="1" applyBorder="1"/>
    <xf numFmtId="37" fontId="10" fillId="2" borderId="10" xfId="0" applyFont="1" applyFill="1" applyBorder="1"/>
    <xf numFmtId="37" fontId="9" fillId="0" borderId="1" xfId="0" applyFont="1" applyFill="1" applyBorder="1" applyAlignment="1"/>
    <xf numFmtId="37" fontId="10" fillId="0" borderId="16" xfId="0" applyFont="1" applyBorder="1"/>
    <xf numFmtId="37" fontId="10" fillId="0" borderId="17" xfId="0" applyFont="1" applyBorder="1"/>
    <xf numFmtId="37" fontId="10" fillId="0" borderId="18" xfId="0" applyFont="1" applyBorder="1"/>
    <xf numFmtId="37" fontId="10" fillId="0" borderId="19" xfId="0" applyFont="1" applyBorder="1"/>
    <xf numFmtId="37" fontId="10" fillId="0" borderId="20" xfId="0" applyFont="1" applyBorder="1"/>
    <xf numFmtId="37" fontId="10" fillId="0" borderId="21" xfId="0" applyFont="1" applyBorder="1"/>
    <xf numFmtId="37" fontId="10" fillId="0" borderId="22" xfId="0" applyFont="1" applyBorder="1"/>
    <xf numFmtId="37" fontId="10" fillId="0" borderId="23" xfId="0" applyFont="1" applyBorder="1"/>
    <xf numFmtId="37" fontId="10" fillId="0" borderId="17" xfId="0" applyFont="1" applyBorder="1" applyAlignment="1">
      <alignment horizontal="center"/>
    </xf>
    <xf numFmtId="37" fontId="10" fillId="0" borderId="17" xfId="0" applyFont="1" applyBorder="1" applyAlignment="1">
      <alignment horizontal="right"/>
    </xf>
    <xf numFmtId="37" fontId="10" fillId="0" borderId="0" xfId="0" applyFont="1" applyBorder="1" applyAlignment="1">
      <alignment horizontal="right"/>
    </xf>
    <xf numFmtId="37" fontId="10" fillId="0" borderId="24" xfId="0" applyFont="1" applyBorder="1"/>
    <xf numFmtId="37" fontId="10" fillId="0" borderId="8" xfId="0" applyFont="1" applyBorder="1" applyAlignment="1">
      <alignment horizontal="center"/>
    </xf>
    <xf numFmtId="37" fontId="10" fillId="0" borderId="25" xfId="0" applyFont="1" applyBorder="1"/>
    <xf numFmtId="37" fontId="10" fillId="0" borderId="26" xfId="0" applyFont="1" applyBorder="1"/>
    <xf numFmtId="37" fontId="10" fillId="0" borderId="27" xfId="0" applyFont="1" applyBorder="1"/>
    <xf numFmtId="37" fontId="10" fillId="0" borderId="28" xfId="0" quotePrefix="1" applyFont="1" applyBorder="1" applyAlignment="1">
      <alignment horizontal="left"/>
    </xf>
    <xf numFmtId="37" fontId="10" fillId="0" borderId="29" xfId="0" applyFont="1" applyBorder="1"/>
    <xf numFmtId="37" fontId="10" fillId="0" borderId="28" xfId="0" applyFont="1" applyBorder="1" applyAlignment="1">
      <alignment horizontal="center"/>
    </xf>
    <xf numFmtId="37" fontId="10" fillId="0" borderId="30" xfId="0" applyFont="1" applyBorder="1"/>
    <xf numFmtId="37" fontId="10" fillId="0" borderId="31" xfId="0" applyFont="1" applyBorder="1"/>
    <xf numFmtId="37" fontId="10" fillId="0" borderId="31" xfId="0" applyFont="1" applyBorder="1" applyAlignment="1">
      <alignment horizontal="center"/>
    </xf>
    <xf numFmtId="37" fontId="10" fillId="0" borderId="32" xfId="0" applyFont="1" applyBorder="1"/>
    <xf numFmtId="37" fontId="13" fillId="0" borderId="0" xfId="0" applyFont="1"/>
    <xf numFmtId="37" fontId="11" fillId="0" borderId="0" xfId="0" quotePrefix="1" applyFont="1" applyAlignment="1">
      <alignment horizontal="right"/>
    </xf>
    <xf numFmtId="37" fontId="12" fillId="0" borderId="0" xfId="0" quotePrefix="1" applyFont="1" applyAlignment="1">
      <alignment horizontal="right"/>
    </xf>
    <xf numFmtId="37" fontId="10" fillId="0" borderId="0" xfId="0" quotePrefix="1" applyFont="1" applyBorder="1" applyAlignment="1">
      <alignment horizontal="right"/>
    </xf>
    <xf numFmtId="37" fontId="9" fillId="0" borderId="0" xfId="0" quotePrefix="1" applyNumberFormat="1" applyFont="1" applyFill="1" applyBorder="1" applyAlignment="1" applyProtection="1">
      <alignment horizontal="right"/>
    </xf>
    <xf numFmtId="37" fontId="10" fillId="0" borderId="0" xfId="0" quotePrefix="1" applyFont="1" applyAlignment="1">
      <alignment horizontal="right"/>
    </xf>
    <xf numFmtId="37" fontId="8" fillId="3" borderId="0" xfId="0" applyFont="1" applyFill="1" applyAlignment="1" applyProtection="1">
      <alignment horizontal="center"/>
    </xf>
    <xf numFmtId="37" fontId="8" fillId="3" borderId="0" xfId="0" quotePrefix="1" applyFont="1" applyFill="1" applyAlignment="1" applyProtection="1">
      <alignment horizontal="left"/>
    </xf>
    <xf numFmtId="37" fontId="8" fillId="3" borderId="0" xfId="0" applyFont="1" applyFill="1" applyAlignment="1" applyProtection="1">
      <alignment horizontal="right"/>
    </xf>
    <xf numFmtId="37" fontId="8" fillId="3" borderId="0" xfId="0" applyFont="1" applyFill="1" applyAlignment="1" applyProtection="1"/>
    <xf numFmtId="37" fontId="14" fillId="4" borderId="1" xfId="0" applyFont="1" applyFill="1" applyBorder="1" applyProtection="1">
      <protection locked="0"/>
    </xf>
    <xf numFmtId="37" fontId="8" fillId="3" borderId="0" xfId="0" applyFont="1" applyFill="1" applyProtection="1"/>
    <xf numFmtId="37" fontId="14" fillId="3" borderId="0" xfId="0" applyFont="1" applyFill="1" applyAlignment="1" applyProtection="1">
      <alignment horizontal="center"/>
    </xf>
    <xf numFmtId="37" fontId="8" fillId="3" borderId="0" xfId="0" quotePrefix="1" applyFont="1" applyFill="1" applyAlignment="1" applyProtection="1"/>
    <xf numFmtId="37" fontId="14" fillId="3" borderId="0" xfId="0" applyFont="1" applyFill="1" applyProtection="1"/>
    <xf numFmtId="37" fontId="8" fillId="0" borderId="0" xfId="0" applyFont="1" applyAlignment="1" applyProtection="1"/>
    <xf numFmtId="37" fontId="8" fillId="0" borderId="0" xfId="0" applyFont="1" applyProtection="1"/>
    <xf numFmtId="37" fontId="8" fillId="0" borderId="0" xfId="0" applyFont="1" applyAlignment="1" applyProtection="1">
      <alignment horizontal="center"/>
    </xf>
    <xf numFmtId="38" fontId="8" fillId="3" borderId="0" xfId="0" applyNumberFormat="1" applyFont="1" applyFill="1" applyAlignment="1" applyProtection="1">
      <alignment horizontal="center"/>
    </xf>
    <xf numFmtId="37" fontId="14" fillId="0" borderId="1" xfId="0" applyNumberFormat="1" applyFont="1" applyBorder="1" applyAlignment="1" applyProtection="1">
      <protection locked="0"/>
    </xf>
    <xf numFmtId="37" fontId="14" fillId="0" borderId="1" xfId="0" quotePrefix="1" applyNumberFormat="1" applyFont="1" applyBorder="1" applyProtection="1">
      <protection locked="0"/>
    </xf>
    <xf numFmtId="37" fontId="14" fillId="0" borderId="1" xfId="1" quotePrefix="1" applyNumberFormat="1" applyFont="1" applyBorder="1" applyProtection="1">
      <protection locked="0"/>
    </xf>
    <xf numFmtId="39" fontId="14" fillId="0" borderId="1" xfId="3" quotePrefix="1" applyNumberFormat="1" applyFont="1" applyBorder="1" applyProtection="1">
      <protection locked="0"/>
    </xf>
    <xf numFmtId="39" fontId="14" fillId="0" borderId="1" xfId="0" quotePrefix="1" applyNumberFormat="1" applyFont="1" applyBorder="1" applyProtection="1">
      <protection locked="0"/>
    </xf>
    <xf numFmtId="37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Protection="1">
      <protection locked="0"/>
    </xf>
    <xf numFmtId="38" fontId="8" fillId="3" borderId="0" xfId="0" applyNumberFormat="1" applyFont="1" applyFill="1" applyAlignment="1" applyProtection="1">
      <alignment horizontal="right"/>
    </xf>
    <xf numFmtId="38" fontId="8" fillId="3" borderId="0" xfId="0" applyNumberFormat="1" applyFont="1" applyFill="1" applyProtection="1"/>
    <xf numFmtId="38" fontId="14" fillId="3" borderId="0" xfId="0" applyNumberFormat="1" applyFont="1" applyFill="1" applyAlignment="1" applyProtection="1">
      <alignment horizontal="center"/>
    </xf>
    <xf numFmtId="38" fontId="14" fillId="3" borderId="0" xfId="0" applyNumberFormat="1" applyFont="1" applyFill="1" applyProtection="1"/>
    <xf numFmtId="37" fontId="8" fillId="0" borderId="0" xfId="0" applyFont="1" applyFill="1" applyAlignment="1" applyProtection="1"/>
    <xf numFmtId="37" fontId="8" fillId="3" borderId="0" xfId="0" applyNumberFormat="1" applyFont="1" applyFill="1" applyProtection="1"/>
    <xf numFmtId="164" fontId="8" fillId="0" borderId="0" xfId="0" applyNumberFormat="1" applyFont="1" applyProtection="1"/>
    <xf numFmtId="39" fontId="8" fillId="0" borderId="0" xfId="0" applyNumberFormat="1" applyFont="1" applyProtection="1"/>
    <xf numFmtId="37" fontId="8" fillId="0" borderId="0" xfId="0" applyFont="1" applyAlignment="1" applyProtection="1">
      <alignment horizontal="left"/>
    </xf>
    <xf numFmtId="37" fontId="8" fillId="0" borderId="0" xfId="0" quotePrefix="1" applyFont="1" applyAlignment="1" applyProtection="1">
      <alignment horizontal="left"/>
    </xf>
    <xf numFmtId="164" fontId="8" fillId="0" borderId="0" xfId="0" applyNumberFormat="1" applyFont="1" applyAlignment="1" applyProtection="1">
      <alignment horizontal="left"/>
    </xf>
    <xf numFmtId="37" fontId="8" fillId="2" borderId="0" xfId="0" applyFont="1" applyFill="1" applyAlignment="1" applyProtection="1">
      <alignment horizontal="centerContinuous"/>
    </xf>
    <xf numFmtId="37" fontId="8" fillId="2" borderId="0" xfId="0" applyFont="1" applyFill="1" applyAlignment="1" applyProtection="1">
      <alignment horizontal="left"/>
    </xf>
    <xf numFmtId="37" fontId="8" fillId="2" borderId="0" xfId="0" applyFont="1" applyFill="1" applyAlignment="1" applyProtection="1">
      <alignment horizontal="center"/>
    </xf>
    <xf numFmtId="38" fontId="14" fillId="4" borderId="2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7" fontId="8" fillId="0" borderId="0" xfId="0" quotePrefix="1" applyFont="1" applyAlignment="1" applyProtection="1">
      <alignment horizontal="fill"/>
    </xf>
    <xf numFmtId="37" fontId="8" fillId="3" borderId="0" xfId="0" quotePrefix="1" applyFont="1" applyFill="1" applyAlignment="1" applyProtection="1">
      <alignment horizontal="centerContinuous"/>
    </xf>
    <xf numFmtId="37" fontId="8" fillId="3" borderId="0" xfId="0" applyFont="1" applyFill="1" applyAlignment="1" applyProtection="1">
      <alignment horizontal="centerContinuous"/>
    </xf>
    <xf numFmtId="37" fontId="8" fillId="2" borderId="0" xfId="0" applyFont="1" applyFill="1" applyAlignment="1" applyProtection="1"/>
    <xf numFmtId="37" fontId="9" fillId="5" borderId="2" xfId="0" applyFont="1" applyFill="1" applyBorder="1" applyAlignment="1"/>
    <xf numFmtId="37" fontId="9" fillId="6" borderId="2" xfId="0" applyFont="1" applyFill="1" applyBorder="1" applyAlignment="1"/>
    <xf numFmtId="37" fontId="9" fillId="6" borderId="2" xfId="0" applyFont="1" applyFill="1" applyBorder="1" applyAlignment="1">
      <alignment horizontal="center"/>
    </xf>
    <xf numFmtId="37" fontId="9" fillId="6" borderId="2" xfId="0" quotePrefix="1" applyNumberFormat="1" applyFont="1" applyFill="1" applyBorder="1" applyAlignment="1" applyProtection="1">
      <alignment horizontal="center"/>
    </xf>
    <xf numFmtId="37" fontId="9" fillId="6" borderId="2" xfId="0" applyNumberFormat="1" applyFont="1" applyFill="1" applyBorder="1" applyAlignment="1" applyProtection="1"/>
    <xf numFmtId="37" fontId="9" fillId="6" borderId="2" xfId="0" quotePrefix="1" applyFont="1" applyFill="1" applyBorder="1" applyAlignment="1"/>
    <xf numFmtId="39" fontId="9" fillId="6" borderId="2" xfId="0" quotePrefix="1" applyNumberFormat="1" applyFont="1" applyFill="1" applyBorder="1" applyAlignment="1" applyProtection="1">
      <alignment horizontal="center"/>
    </xf>
    <xf numFmtId="39" fontId="9" fillId="6" borderId="2" xfId="0" applyNumberFormat="1" applyFont="1" applyFill="1" applyBorder="1" applyAlignment="1" applyProtection="1"/>
    <xf numFmtId="3" fontId="9" fillId="6" borderId="2" xfId="0" applyNumberFormat="1" applyFont="1" applyFill="1" applyBorder="1" applyAlignment="1" applyProtection="1"/>
    <xf numFmtId="3" fontId="9" fillId="6" borderId="2" xfId="0" applyNumberFormat="1" applyFont="1" applyFill="1" applyBorder="1" applyAlignment="1"/>
    <xf numFmtId="37" fontId="9" fillId="6" borderId="2" xfId="0" applyNumberFormat="1" applyFont="1" applyFill="1" applyBorder="1" applyAlignment="1"/>
    <xf numFmtId="39" fontId="14" fillId="0" borderId="1" xfId="1" quotePrefix="1" applyNumberFormat="1" applyFont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39" fontId="14" fillId="0" borderId="1" xfId="0" applyNumberFormat="1" applyFont="1" applyBorder="1" applyProtection="1">
      <protection locked="0"/>
    </xf>
    <xf numFmtId="37" fontId="14" fillId="0" borderId="1" xfId="1" applyNumberFormat="1" applyFont="1" applyBorder="1" applyProtection="1">
      <protection locked="0"/>
    </xf>
    <xf numFmtId="165" fontId="14" fillId="0" borderId="1" xfId="1" quotePrefix="1" applyNumberFormat="1" applyFont="1" applyBorder="1" applyProtection="1"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38" fontId="14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>
      <alignment horizontal="left"/>
    </xf>
    <xf numFmtId="3" fontId="10" fillId="0" borderId="2" xfId="0" applyNumberFormat="1" applyFont="1" applyFill="1" applyBorder="1" applyAlignment="1" applyProtection="1"/>
    <xf numFmtId="38" fontId="14" fillId="4" borderId="14" xfId="0" applyNumberFormat="1" applyFont="1" applyFill="1" applyBorder="1" applyProtection="1">
      <protection locked="0"/>
    </xf>
    <xf numFmtId="38" fontId="14" fillId="4" borderId="14" xfId="0" quotePrefix="1" applyNumberFormat="1" applyFont="1" applyFill="1" applyBorder="1" applyAlignment="1" applyProtection="1">
      <alignment horizontal="left"/>
      <protection locked="0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8" fillId="0" borderId="0" xfId="0" applyFont="1" applyFill="1" applyAlignment="1" applyProtection="1">
      <alignment horizontal="left"/>
    </xf>
    <xf numFmtId="37" fontId="8" fillId="0" borderId="0" xfId="0" applyFont="1" applyFill="1" applyProtection="1"/>
    <xf numFmtId="38" fontId="8" fillId="0" borderId="0" xfId="0" applyNumberFormat="1" applyFont="1" applyFill="1" applyProtection="1"/>
    <xf numFmtId="38" fontId="8" fillId="0" borderId="0" xfId="0" applyNumberFormat="1" applyFont="1" applyProtection="1"/>
    <xf numFmtId="37" fontId="8" fillId="7" borderId="0" xfId="0" applyFont="1" applyFill="1" applyProtection="1"/>
    <xf numFmtId="37" fontId="8" fillId="7" borderId="0" xfId="0" quotePrefix="1" applyFont="1" applyFill="1" applyAlignment="1" applyProtection="1">
      <alignment horizontal="left"/>
    </xf>
    <xf numFmtId="38" fontId="8" fillId="7" borderId="0" xfId="0" applyNumberFormat="1" applyFont="1" applyFill="1" applyProtection="1"/>
    <xf numFmtId="37" fontId="8" fillId="0" borderId="0" xfId="0" quotePrefix="1" applyFont="1" applyAlignment="1" applyProtection="1"/>
    <xf numFmtId="0" fontId="8" fillId="0" borderId="0" xfId="0" applyNumberFormat="1" applyFont="1" applyAlignment="1" applyProtection="1">
      <alignment horizontal="center"/>
    </xf>
    <xf numFmtId="0" fontId="8" fillId="0" borderId="0" xfId="0" applyNumberFormat="1" applyFont="1" applyAlignment="1" applyProtection="1"/>
    <xf numFmtId="0" fontId="8" fillId="0" borderId="0" xfId="0" quotePrefix="1" applyNumberFormat="1" applyFont="1" applyAlignment="1" applyProtection="1">
      <alignment horizontal="center"/>
    </xf>
    <xf numFmtId="37" fontId="8" fillId="3" borderId="0" xfId="0" quotePrefix="1" applyFont="1" applyFill="1" applyAlignment="1" applyProtection="1">
      <alignment horizontal="center"/>
    </xf>
    <xf numFmtId="37" fontId="8" fillId="3" borderId="0" xfId="0" quotePrefix="1" applyNumberFormat="1" applyFont="1" applyFill="1" applyAlignment="1" applyProtection="1"/>
    <xf numFmtId="166" fontId="8" fillId="3" borderId="0" xfId="0" applyNumberFormat="1" applyFont="1" applyFill="1" applyAlignment="1" applyProtection="1">
      <alignment horizontal="center"/>
    </xf>
    <xf numFmtId="37" fontId="8" fillId="3" borderId="0" xfId="0" quotePrefix="1" applyFont="1" applyFill="1" applyAlignment="1" applyProtection="1">
      <alignment horizontal="fill"/>
    </xf>
    <xf numFmtId="37" fontId="8" fillId="3" borderId="0" xfId="1" applyNumberFormat="1" applyFont="1" applyFill="1" applyProtection="1"/>
    <xf numFmtId="37" fontId="8" fillId="3" borderId="0" xfId="0" quotePrefix="1" applyNumberFormat="1" applyFont="1" applyFill="1" applyAlignment="1" applyProtection="1">
      <alignment horizontal="fill"/>
    </xf>
    <xf numFmtId="39" fontId="8" fillId="3" borderId="0" xfId="0" quotePrefix="1" applyNumberFormat="1" applyFont="1" applyFill="1" applyAlignment="1" applyProtection="1">
      <alignment horizontal="left"/>
    </xf>
    <xf numFmtId="4" fontId="8" fillId="3" borderId="0" xfId="0" applyNumberFormat="1" applyFont="1" applyFill="1" applyProtection="1"/>
    <xf numFmtId="37" fontId="8" fillId="0" borderId="0" xfId="0" applyNumberFormat="1" applyFont="1" applyProtection="1"/>
    <xf numFmtId="37" fontId="8" fillId="3" borderId="0" xfId="1" quotePrefix="1" applyNumberFormat="1" applyFont="1" applyFill="1" applyAlignment="1" applyProtection="1">
      <alignment horizontal="fill"/>
    </xf>
    <xf numFmtId="39" fontId="8" fillId="3" borderId="0" xfId="0" quotePrefix="1" applyNumberFormat="1" applyFont="1" applyFill="1" applyAlignment="1" applyProtection="1">
      <alignment horizontal="fill"/>
    </xf>
    <xf numFmtId="39" fontId="8" fillId="3" borderId="0" xfId="0" applyNumberFormat="1" applyFont="1" applyFill="1" applyProtection="1"/>
    <xf numFmtId="37" fontId="15" fillId="3" borderId="0" xfId="0" applyFont="1" applyFill="1" applyProtection="1"/>
    <xf numFmtId="37" fontId="14" fillId="3" borderId="0" xfId="0" applyFont="1" applyFill="1" applyAlignment="1" applyProtection="1">
      <alignment horizontal="centerContinuous"/>
    </xf>
    <xf numFmtId="37" fontId="14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8" fillId="0" borderId="0" xfId="0" applyNumberFormat="1" applyFont="1" applyProtection="1"/>
    <xf numFmtId="1" fontId="8" fillId="0" borderId="0" xfId="0" applyNumberFormat="1" applyFont="1" applyAlignment="1" applyProtection="1">
      <alignment horizontal="center"/>
    </xf>
    <xf numFmtId="37" fontId="8" fillId="0" borderId="0" xfId="0" quotePrefix="1" applyFont="1" applyAlignment="1" applyProtection="1">
      <alignment horizontal="center"/>
    </xf>
    <xf numFmtId="2" fontId="8" fillId="0" borderId="0" xfId="0" applyNumberFormat="1" applyFont="1" applyProtection="1"/>
    <xf numFmtId="2" fontId="8" fillId="0" borderId="0" xfId="0" applyNumberFormat="1" applyFont="1" applyAlignment="1" applyProtection="1"/>
    <xf numFmtId="10" fontId="8" fillId="0" borderId="0" xfId="0" applyNumberFormat="1" applyFont="1" applyProtection="1"/>
    <xf numFmtId="37" fontId="14" fillId="0" borderId="0" xfId="0" applyFont="1" applyProtection="1"/>
    <xf numFmtId="37" fontId="8" fillId="0" borderId="0" xfId="0" applyFont="1" applyProtection="1">
      <protection locked="0"/>
    </xf>
    <xf numFmtId="37" fontId="10" fillId="0" borderId="0" xfId="0" applyFont="1" applyAlignment="1" applyProtection="1"/>
    <xf numFmtId="37" fontId="10" fillId="0" borderId="0" xfId="0" applyFont="1" applyProtection="1"/>
    <xf numFmtId="49" fontId="14" fillId="4" borderId="1" xfId="0" applyNumberFormat="1" applyFont="1" applyFill="1" applyBorder="1" applyAlignment="1" applyProtection="1">
      <alignment horizontal="left"/>
      <protection locked="0"/>
    </xf>
    <xf numFmtId="38" fontId="14" fillId="4" borderId="14" xfId="0" quotePrefix="1" applyNumberFormat="1" applyFont="1" applyFill="1" applyBorder="1" applyProtection="1">
      <protection locked="0"/>
    </xf>
    <xf numFmtId="37" fontId="8" fillId="3" borderId="0" xfId="0" applyFont="1" applyFill="1" applyAlignment="1" applyProtection="1">
      <alignment horizontal="left"/>
    </xf>
    <xf numFmtId="37" fontId="8" fillId="8" borderId="0" xfId="0" applyFont="1" applyFill="1" applyProtection="1"/>
    <xf numFmtId="37" fontId="9" fillId="0" borderId="8" xfId="0" applyNumberFormat="1" applyFont="1" applyFill="1" applyBorder="1" applyAlignment="1" applyProtection="1">
      <alignment horizontal="left"/>
    </xf>
    <xf numFmtId="164" fontId="9" fillId="0" borderId="3" xfId="0" applyNumberFormat="1" applyFont="1" applyFill="1" applyBorder="1" applyAlignment="1" applyProtection="1"/>
    <xf numFmtId="37" fontId="8" fillId="2" borderId="0" xfId="0" applyFont="1" applyFill="1" applyAlignment="1" applyProtection="1">
      <alignment horizontal="right"/>
    </xf>
    <xf numFmtId="37" fontId="8" fillId="0" borderId="0" xfId="0" applyFont="1" applyAlignment="1" applyProtection="1">
      <alignment horizontal="right"/>
    </xf>
    <xf numFmtId="4" fontId="8" fillId="2" borderId="0" xfId="0" applyNumberFormat="1" applyFont="1" applyFill="1" applyAlignment="1" applyProtection="1">
      <alignment horizontal="right"/>
    </xf>
    <xf numFmtId="39" fontId="8" fillId="2" borderId="0" xfId="0" applyNumberFormat="1" applyFont="1" applyFill="1" applyAlignment="1" applyProtection="1">
      <alignment horizontal="right"/>
    </xf>
    <xf numFmtId="37" fontId="8" fillId="0" borderId="0" xfId="0" quotePrefix="1" applyFont="1" applyAlignment="1" applyProtection="1">
      <alignment horizontal="right"/>
    </xf>
    <xf numFmtId="2" fontId="8" fillId="0" borderId="0" xfId="0" applyNumberFormat="1" applyFont="1" applyAlignment="1" applyProtection="1">
      <alignment horizontal="right"/>
    </xf>
    <xf numFmtId="49" fontId="14" fillId="4" borderId="1" xfId="0" quotePrefix="1" applyNumberFormat="1" applyFont="1" applyFill="1" applyBorder="1" applyAlignment="1" applyProtection="1">
      <protection locked="0"/>
    </xf>
    <xf numFmtId="37" fontId="17" fillId="0" borderId="0" xfId="2" applyNumberFormat="1" applyFont="1" applyAlignment="1" applyProtection="1"/>
    <xf numFmtId="38" fontId="8" fillId="8" borderId="0" xfId="0" applyNumberFormat="1" applyFont="1" applyFill="1" applyProtection="1"/>
    <xf numFmtId="37" fontId="18" fillId="0" borderId="23" xfId="0" applyFont="1" applyBorder="1" applyAlignment="1">
      <alignment horizontal="right"/>
    </xf>
    <xf numFmtId="37" fontId="16" fillId="0" borderId="0" xfId="2" applyNumberFormat="1" applyAlignment="1" applyProtection="1"/>
    <xf numFmtId="37" fontId="8" fillId="9" borderId="0" xfId="0" applyFont="1" applyFill="1" applyProtection="1"/>
    <xf numFmtId="38" fontId="8" fillId="9" borderId="0" xfId="0" applyNumberFormat="1" applyFont="1" applyFill="1" applyProtection="1"/>
    <xf numFmtId="37" fontId="14" fillId="0" borderId="1" xfId="1" applyNumberFormat="1" applyFont="1" applyFill="1" applyBorder="1" applyProtection="1">
      <protection locked="0"/>
    </xf>
    <xf numFmtId="37" fontId="14" fillId="0" borderId="1" xfId="1" quotePrefix="1" applyNumberFormat="1" applyFont="1" applyFill="1" applyBorder="1" applyProtection="1">
      <protection locked="0"/>
    </xf>
    <xf numFmtId="39" fontId="14" fillId="8" borderId="1" xfId="3" quotePrefix="1" applyNumberFormat="1" applyFont="1" applyFill="1" applyBorder="1" applyProtection="1">
      <protection locked="0"/>
    </xf>
    <xf numFmtId="39" fontId="14" fillId="8" borderId="1" xfId="0" quotePrefix="1" applyNumberFormat="1" applyFont="1" applyFill="1" applyBorder="1" applyProtection="1">
      <protection locked="0"/>
    </xf>
    <xf numFmtId="39" fontId="14" fillId="0" borderId="1" xfId="0" quotePrefix="1" applyNumberFormat="1" applyFont="1" applyFill="1" applyBorder="1" applyProtection="1">
      <protection locked="0"/>
    </xf>
    <xf numFmtId="39" fontId="14" fillId="0" borderId="1" xfId="1" quotePrefix="1" applyNumberFormat="1" applyFont="1" applyFill="1" applyBorder="1" applyProtection="1">
      <protection locked="0"/>
    </xf>
    <xf numFmtId="167" fontId="14" fillId="0" borderId="1" xfId="0" quotePrefix="1" applyNumberFormat="1" applyFont="1" applyBorder="1" applyProtection="1">
      <protection locked="0"/>
    </xf>
    <xf numFmtId="38" fontId="14" fillId="4" borderId="14" xfId="4" applyNumberFormat="1" applyFont="1" applyFill="1" applyBorder="1" applyProtection="1">
      <protection locked="0"/>
    </xf>
    <xf numFmtId="38" fontId="14" fillId="4" borderId="14" xfId="4" quotePrefix="1" applyNumberFormat="1" applyFont="1" applyFill="1" applyBorder="1" applyProtection="1">
      <protection locked="0"/>
    </xf>
    <xf numFmtId="38" fontId="14" fillId="4" borderId="14" xfId="4" quotePrefix="1" applyNumberFormat="1" applyFont="1" applyFill="1" applyBorder="1" applyAlignment="1" applyProtection="1">
      <alignment horizontal="left"/>
      <protection locked="0"/>
    </xf>
    <xf numFmtId="38" fontId="14" fillId="4" borderId="1" xfId="4" quotePrefix="1" applyNumberFormat="1" applyFont="1" applyFill="1" applyBorder="1" applyAlignment="1" applyProtection="1">
      <alignment horizontal="left"/>
      <protection locked="0"/>
    </xf>
    <xf numFmtId="49" fontId="14" fillId="4" borderId="1" xfId="4" applyNumberFormat="1" applyFont="1" applyFill="1" applyBorder="1" applyAlignment="1" applyProtection="1">
      <alignment horizontal="left"/>
      <protection locked="0"/>
    </xf>
    <xf numFmtId="38" fontId="14" fillId="0" borderId="1" xfId="0" applyNumberFormat="1" applyFont="1" applyFill="1" applyBorder="1" applyProtection="1">
      <protection locked="0"/>
    </xf>
    <xf numFmtId="37" fontId="14" fillId="4" borderId="1" xfId="4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8" borderId="1" xfId="0" applyNumberFormat="1" applyFont="1" applyFill="1" applyBorder="1" applyProtection="1">
      <protection locked="0"/>
    </xf>
    <xf numFmtId="37" fontId="14" fillId="8" borderId="1" xfId="0" applyFont="1" applyFill="1" applyBorder="1" applyProtection="1">
      <protection locked="0"/>
    </xf>
    <xf numFmtId="39" fontId="0" fillId="0" borderId="0" xfId="0" applyNumberFormat="1"/>
    <xf numFmtId="37" fontId="24" fillId="0" borderId="1" xfId="0" applyFont="1" applyBorder="1" applyAlignment="1">
      <alignment horizontal="center"/>
    </xf>
    <xf numFmtId="37" fontId="25" fillId="0" borderId="0" xfId="0" applyFont="1"/>
    <xf numFmtId="37" fontId="25" fillId="0" borderId="1" xfId="0" applyFont="1" applyBorder="1"/>
    <xf numFmtId="37" fontId="25" fillId="0" borderId="1" xfId="0" applyFont="1" applyBorder="1" applyAlignment="1">
      <alignment wrapText="1"/>
    </xf>
    <xf numFmtId="37" fontId="25" fillId="0" borderId="0" xfId="0" applyFont="1" applyAlignment="1">
      <alignment wrapText="1"/>
    </xf>
    <xf numFmtId="37" fontId="0" fillId="0" borderId="0" xfId="0" applyFill="1"/>
    <xf numFmtId="37" fontId="28" fillId="0" borderId="0" xfId="0" applyFont="1" applyAlignment="1">
      <alignment wrapText="1"/>
    </xf>
    <xf numFmtId="37" fontId="28" fillId="0" borderId="0" xfId="0" applyFont="1"/>
    <xf numFmtId="49" fontId="23" fillId="0" borderId="34" xfId="6" applyNumberFormat="1" applyFont="1" applyFill="1" applyBorder="1" applyAlignment="1" applyProtection="1">
      <alignment horizontal="center"/>
      <protection locked="0"/>
    </xf>
    <xf numFmtId="49" fontId="23" fillId="0" borderId="34" xfId="6" applyNumberFormat="1" applyFont="1" applyFill="1" applyBorder="1" applyAlignment="1" applyProtection="1">
      <alignment horizontal="center" wrapText="1"/>
      <protection locked="0"/>
    </xf>
    <xf numFmtId="49" fontId="22" fillId="0" borderId="0" xfId="6" applyNumberFormat="1" applyFont="1" applyFill="1" applyProtection="1">
      <protection locked="0"/>
    </xf>
    <xf numFmtId="168" fontId="22" fillId="0" borderId="0" xfId="6" applyNumberFormat="1" applyFont="1" applyFill="1" applyAlignment="1" applyProtection="1">
      <alignment horizontal="center"/>
      <protection locked="0"/>
    </xf>
    <xf numFmtId="0" fontId="22" fillId="0" borderId="0" xfId="6" applyFont="1" applyFill="1" applyProtection="1">
      <protection locked="0"/>
    </xf>
    <xf numFmtId="37" fontId="25" fillId="0" borderId="0" xfId="0" applyFont="1" applyFill="1" applyBorder="1" applyAlignment="1">
      <alignment wrapText="1"/>
    </xf>
    <xf numFmtId="0" fontId="22" fillId="0" borderId="0" xfId="6" applyFont="1" applyFill="1" applyAlignment="1" applyProtection="1">
      <alignment wrapText="1"/>
      <protection locked="0"/>
    </xf>
    <xf numFmtId="49" fontId="26" fillId="0" borderId="0" xfId="6" applyNumberFormat="1" applyFont="1" applyFill="1" applyBorder="1" applyAlignment="1" applyProtection="1">
      <alignment wrapText="1"/>
      <protection locked="0"/>
    </xf>
    <xf numFmtId="37" fontId="24" fillId="0" borderId="0" xfId="0" applyFont="1"/>
    <xf numFmtId="37" fontId="25" fillId="0" borderId="1" xfId="0" applyFont="1" applyBorder="1" applyAlignment="1">
      <alignment horizontal="right"/>
    </xf>
    <xf numFmtId="37" fontId="14" fillId="3" borderId="0" xfId="0" applyFont="1" applyFill="1" applyAlignment="1" applyProtection="1">
      <alignment horizontal="center" vertical="center"/>
    </xf>
  </cellXfs>
  <cellStyles count="29">
    <cellStyle name="Comma" xfId="1" builtinId="3"/>
    <cellStyle name="Comma 11" xfId="10"/>
    <cellStyle name="Comma 2" xfId="7"/>
    <cellStyle name="Comma 2 2" xfId="21"/>
    <cellStyle name="Comma 3" xfId="12"/>
    <cellStyle name="Comma 4" xfId="14"/>
    <cellStyle name="Comma 5" xfId="22"/>
    <cellStyle name="Comma 6" xfId="28"/>
    <cellStyle name="Currency 2" xfId="15"/>
    <cellStyle name="Hyperlink" xfId="2" builtinId="8"/>
    <cellStyle name="Normal" xfId="0" builtinId="0"/>
    <cellStyle name="Normal 10 2 3" xfId="4"/>
    <cellStyle name="Normal 2" xfId="5"/>
    <cellStyle name="Normal 3" xfId="6"/>
    <cellStyle name="Normal 4" xfId="11"/>
    <cellStyle name="Normal 4 2" xfId="25"/>
    <cellStyle name="Normal 5" xfId="13"/>
    <cellStyle name="Normal 6" xfId="23"/>
    <cellStyle name="Normal 7" xfId="27"/>
    <cellStyle name="Percent" xfId="3" builtinId="5"/>
    <cellStyle name="Percent 2" xfId="9"/>
    <cellStyle name="Percent 3" xfId="26"/>
    <cellStyle name="Section Header" xfId="8"/>
    <cellStyle name="Section Header 2" xfId="24"/>
    <cellStyle name="Section Total Label" xfId="19"/>
    <cellStyle name="Section Total#" xfId="20"/>
    <cellStyle name="Single Line Title" xfId="16"/>
    <cellStyle name="Sub-Section Header" xfId="17"/>
    <cellStyle name="Tab Hdr Right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eade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awcett\FinSVC\Financial%20Services\2018%20Accounting\Inland%20NW\DOH%20Reports%20Yearend\DHS\YE037-2018%20working%20file--DS%20Review%20notes_V2%2005%20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awcett\FinSVC\Financial%20Services\2018%20Accounting\Inland%20NW\DOH%20Reports%20Yearend\VHS\YE180-2018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r Notes"/>
      <sheetName val="data"/>
      <sheetName val="Deaconess Mapping"/>
      <sheetName val="GL Detail"/>
      <sheetName val="Sheet2"/>
      <sheetName val="NR by Payor"/>
      <sheetName val="Current"/>
      <sheetName val="YTD"/>
      <sheetName val="Sheet1"/>
      <sheetName val="Sheet3"/>
      <sheetName val="GL291 DHS Lawson BS"/>
      <sheetName val="Prior Year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Support for Lines 111-142"/>
      <sheetName val="Support for SQ FT"/>
      <sheetName val="KeyStat Trended 2018"/>
      <sheetName val="Support for Patient Meals"/>
      <sheetName val="Support for Nursing FTE's"/>
    </sheetNames>
    <sheetDataSet>
      <sheetData sheetId="0"/>
      <sheetData sheetId="1">
        <row r="76">
          <cell r="AY76">
            <v>12105</v>
          </cell>
          <cell r="BE76">
            <v>252325</v>
          </cell>
          <cell r="BF76">
            <v>7666</v>
          </cell>
          <cell r="BN76">
            <v>47336</v>
          </cell>
          <cell r="BR76">
            <v>3107</v>
          </cell>
          <cell r="CC76">
            <v>3283</v>
          </cell>
          <cell r="CE76">
            <v>871026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Valley Crosswalk"/>
      <sheetName val="YTD P&amp;L"/>
      <sheetName val="GL Detail"/>
      <sheetName val="NR by Payor"/>
      <sheetName val="Charity Patient Count"/>
      <sheetName val="GL291 VHS Lawson BS"/>
      <sheetName val="Prior Year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SupportLines111-1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1">
          <cell r="C91" t="str">
            <v>FRANK TOMBARI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hos@doh.wa.gov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hos@doh.wa.gov.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4.bin"/><Relationship Id="rId7" Type="http://schemas.openxmlformats.org/officeDocument/2006/relationships/hyperlink" Target="mailto:hos@doh.wa.gov" TargetMode="Externa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hyperlink" Target="mailto:hos@doh.wa.gov." TargetMode="External"/><Relationship Id="rId5" Type="http://schemas.openxmlformats.org/officeDocument/2006/relationships/printerSettings" Target="../printerSettings/printerSettings16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5.bin"/><Relationship Id="rId9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8"/>
  <sheetViews>
    <sheetView workbookViewId="0">
      <selection activeCell="A21" sqref="A21"/>
    </sheetView>
  </sheetViews>
  <sheetFormatPr defaultRowHeight="15"/>
  <sheetData>
    <row r="11" spans="1:1">
      <c r="A11">
        <f>[2]data!CE76-[2]data!CC76-[2]data!BR76-[2]data!BN76-[2]data!BE76-[2]data!BF76-[2]data!AY76</f>
        <v>545204</v>
      </c>
    </row>
    <row r="21" spans="1:1">
      <c r="A21" s="312">
        <v>126293</v>
      </c>
    </row>
    <row r="22" spans="1:1">
      <c r="A22">
        <v>871026</v>
      </c>
    </row>
    <row r="28" spans="1:1">
      <c r="A28" s="306">
        <v>359.92</v>
      </c>
    </row>
  </sheetData>
  <customSheetViews>
    <customSheetView guid="{D74B16BB-9BDF-4AEC-AA99-B864B9498389}" state="hidden">
      <selection activeCell="A21" sqref="A21"/>
      <pageMargins left="0.7" right="0.7" top="0.75" bottom="0.75" header="0.3" footer="0.3"/>
    </customSheetView>
    <customSheetView guid="{37DA5E57-E52E-47A3-B98A-9CAA60A4BD45}">
      <selection activeCell="A21" sqref="A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7" zoomScale="75" workbookViewId="0">
      <selection activeCell="D7" sqref="D7"/>
    </sheetView>
  </sheetViews>
  <sheetFormatPr defaultColWidth="8.9140625" defaultRowHeight="20.100000000000001" customHeight="1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>
      <c r="A2" s="105" t="str">
        <f>"Hospital Name: "&amp;data!C84</f>
        <v>Hospital Name: Deaconess Hospital - MultiCare Health Systems</v>
      </c>
      <c r="B2" s="8"/>
      <c r="C2" s="8"/>
      <c r="D2" s="8"/>
      <c r="E2" s="8"/>
      <c r="F2" s="11"/>
      <c r="G2" s="76" t="s">
        <v>1054</v>
      </c>
    </row>
    <row r="3" spans="1:13" ht="20.100000000000001" customHeight="1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>
      <c r="A7" s="23" t="s">
        <v>296</v>
      </c>
      <c r="B7" s="48">
        <f>data!B138</f>
        <v>4496</v>
      </c>
      <c r="C7" s="48">
        <f>data!B139</f>
        <v>25989</v>
      </c>
      <c r="D7" s="48">
        <f>data!B140</f>
        <v>35610</v>
      </c>
      <c r="E7" s="48">
        <f>data!B141</f>
        <v>301111785.82547444</v>
      </c>
      <c r="F7" s="48">
        <f>data!B142</f>
        <v>220628999.39213088</v>
      </c>
      <c r="G7" s="48">
        <f>data!B141+data!B142</f>
        <v>521740785.21760535</v>
      </c>
    </row>
    <row r="8" spans="1:13" ht="20.100000000000001" customHeight="1">
      <c r="A8" s="23" t="s">
        <v>297</v>
      </c>
      <c r="B8" s="48">
        <f>data!C138</f>
        <v>2445</v>
      </c>
      <c r="C8" s="48">
        <f>data!C139</f>
        <v>13048</v>
      </c>
      <c r="D8" s="48">
        <f>data!C140</f>
        <v>31830</v>
      </c>
      <c r="E8" s="48">
        <f>data!C141</f>
        <v>16280831.846610444</v>
      </c>
      <c r="F8" s="48">
        <f>data!C142</f>
        <v>11998640.305388242</v>
      </c>
      <c r="G8" s="48">
        <f>data!C141+data!C142</f>
        <v>28279472.151998684</v>
      </c>
    </row>
    <row r="9" spans="1:13" ht="20.100000000000001" customHeight="1">
      <c r="A9" s="23" t="s">
        <v>1058</v>
      </c>
      <c r="B9" s="48">
        <f>data!D138</f>
        <v>2767</v>
      </c>
      <c r="C9" s="48">
        <f>data!D139</f>
        <v>15619</v>
      </c>
      <c r="D9" s="48">
        <f>data!D140</f>
        <v>33842</v>
      </c>
      <c r="E9" s="48">
        <f>data!D141</f>
        <v>468170929.33791512</v>
      </c>
      <c r="F9" s="48">
        <f>data!D142</f>
        <v>466791876.26248097</v>
      </c>
      <c r="G9" s="48">
        <f>data!D141+data!D142</f>
        <v>934962805.60039616</v>
      </c>
    </row>
    <row r="10" spans="1:13" ht="20.100000000000001" customHeight="1">
      <c r="A10" s="111" t="s">
        <v>203</v>
      </c>
      <c r="B10" s="48">
        <f>data!E138</f>
        <v>9708</v>
      </c>
      <c r="C10" s="48">
        <f>data!E139</f>
        <v>54656</v>
      </c>
      <c r="D10" s="48">
        <f>data!E140</f>
        <v>101282</v>
      </c>
      <c r="E10" s="48">
        <f>data!E141</f>
        <v>785563547.00999999</v>
      </c>
      <c r="F10" s="48">
        <f>data!E142</f>
        <v>699419515.96000004</v>
      </c>
      <c r="G10" s="48">
        <f>data!E141+data!E142</f>
        <v>1484983062.97</v>
      </c>
    </row>
    <row r="11" spans="1:13" ht="20.100000000000001" customHeight="1">
      <c r="A11" s="112"/>
      <c r="B11" s="113"/>
      <c r="C11" s="113"/>
      <c r="D11" s="113"/>
      <c r="E11" s="113"/>
      <c r="F11" s="113"/>
      <c r="G11" s="114"/>
    </row>
    <row r="12" spans="1:13" ht="20.100000000000001" customHeight="1">
      <c r="A12" s="73"/>
      <c r="B12" s="30"/>
      <c r="C12" s="30"/>
      <c r="D12" s="30"/>
      <c r="E12" s="30"/>
      <c r="F12" s="30"/>
      <c r="G12" s="20"/>
    </row>
    <row r="13" spans="1:13" ht="20.100000000000001" customHeight="1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>
      <c r="A20" s="112"/>
      <c r="B20" s="113"/>
      <c r="C20" s="113"/>
      <c r="D20" s="113"/>
      <c r="E20" s="113"/>
      <c r="F20" s="113"/>
      <c r="G20" s="114"/>
    </row>
    <row r="21" spans="1:7" ht="20.100000000000001" customHeight="1">
      <c r="A21" s="73"/>
      <c r="B21" s="30"/>
      <c r="C21" s="30"/>
      <c r="D21" s="30"/>
      <c r="E21" s="30"/>
      <c r="F21" s="30"/>
      <c r="G21" s="20"/>
    </row>
    <row r="22" spans="1:7" ht="20.100000000000001" customHeight="1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>
      <c r="A29" s="112"/>
      <c r="B29" s="113"/>
      <c r="C29" s="113"/>
      <c r="D29" s="113"/>
      <c r="E29" s="113"/>
      <c r="F29" s="113"/>
      <c r="G29" s="114"/>
    </row>
    <row r="30" spans="1:7" ht="20.100000000000001" customHeight="1">
      <c r="A30" s="73"/>
      <c r="B30" s="50"/>
      <c r="C30" s="30"/>
      <c r="D30" s="30"/>
      <c r="E30" s="30"/>
      <c r="F30" s="30"/>
      <c r="G30" s="20"/>
    </row>
    <row r="31" spans="1:7" ht="20.100000000000001" customHeight="1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>
      <c r="A34" s="7"/>
      <c r="B34" s="7"/>
      <c r="C34" s="7"/>
      <c r="D34" s="7"/>
      <c r="E34" s="7"/>
      <c r="F34" s="7"/>
      <c r="G34" s="7"/>
    </row>
  </sheetData>
  <sheetProtection sheet="1" objects="1" scenarios="1"/>
  <customSheetViews>
    <customSheetView guid="{D74B16BB-9BDF-4AEC-AA99-B864B9498389}" scale="75" showGridLines="0" fitToPage="1" topLeftCell="A7">
      <selection activeCell="D7" sqref="D7"/>
      <pageMargins left="0" right="0" top="0" bottom="0" header="0" footer="0"/>
      <printOptions horizontalCentered="1" verticalCentered="1"/>
      <pageSetup scale="90" orientation="landscape" r:id="rId1"/>
      <headerFooter alignWithMargins="0"/>
    </customSheetView>
    <customSheetView guid="{78E778D5-69A8-4E35-B0F3-6D26A1845557}" scale="75" showGridLines="0" fitToPage="1">
      <selection activeCell="E18" sqref="E18"/>
      <pageMargins left="0" right="0" top="0" bottom="0" header="0" footer="0"/>
      <printOptions horizontalCentered="1" verticalCentered="1"/>
      <pageSetup scale="85" orientation="landscape" r:id="rId2"/>
      <headerFooter alignWithMargins="0"/>
    </customSheetView>
    <customSheetView guid="{783D34AB-F88A-4C40-8B8F-D04647EC64BD}" scale="75" showGridLines="0" fitToPage="1">
      <selection activeCell="F69" sqref="F69"/>
      <pageMargins left="0" right="0" top="0" bottom="0" header="0" footer="0"/>
      <printOptions horizontalCentered="1" verticalCentered="1"/>
      <pageSetup scale="85" orientation="landscape" r:id="rId3"/>
      <headerFooter alignWithMargins="0"/>
    </customSheetView>
    <customSheetView guid="{D74738EB-3446-4A41-91B2-3626AA7FCC94}" scale="75" showGridLines="0" fitToPage="1">
      <selection activeCell="E18" sqref="E18"/>
      <pageMargins left="0" right="0" top="0" bottom="0" header="0" footer="0"/>
      <printOptions horizontalCentered="1" verticalCentered="1"/>
      <pageSetup scale="85" orientation="landscape" r:id="rId4"/>
      <headerFooter alignWithMargins="0"/>
    </customSheetView>
    <customSheetView guid="{37DA5E57-E52E-47A3-B98A-9CAA60A4BD45}" scale="75" showGridLines="0" fitToPage="1" topLeftCell="A7">
      <selection activeCell="D7" sqref="D7"/>
      <pageMargins left="0" right="0" top="0" bottom="0" header="0" footer="0"/>
      <printOptions horizontalCentered="1" verticalCentered="1"/>
      <pageSetup scale="90" orientation="landscape" r:id="rId5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90" orientation="landscape" r:id="rId6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7" zoomScale="75" workbookViewId="0">
      <selection activeCell="C14" sqref="C14"/>
    </sheetView>
  </sheetViews>
  <sheetFormatPr defaultColWidth="8.9140625" defaultRowHeight="13.8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>
      <c r="A1" s="4" t="s">
        <v>305</v>
      </c>
      <c r="B1" s="5"/>
      <c r="C1" s="167" t="s">
        <v>1064</v>
      </c>
    </row>
    <row r="2" spans="1:13" ht="20.100000000000001" customHeight="1">
      <c r="A2" s="94"/>
      <c r="B2" s="8"/>
      <c r="C2" s="8"/>
    </row>
    <row r="3" spans="1:13" ht="20.100000000000001" customHeight="1">
      <c r="A3" s="29" t="str">
        <f>"Hospital: "&amp;data!C84</f>
        <v>Hospital: Deaconess Hospital - MultiCare Health Systems</v>
      </c>
      <c r="B3" s="30"/>
      <c r="C3" s="31" t="str">
        <f>"FYE: "&amp;data!C82</f>
        <v>FYE: 12/31/2018</v>
      </c>
    </row>
    <row r="4" spans="1:13" ht="20.100000000000001" customHeight="1">
      <c r="A4" s="30"/>
      <c r="B4" s="8"/>
      <c r="C4" s="8"/>
    </row>
    <row r="5" spans="1:13" ht="20.100000000000001" customHeight="1">
      <c r="A5" s="23">
        <v>1</v>
      </c>
      <c r="B5" s="37" t="s">
        <v>306</v>
      </c>
      <c r="C5" s="95"/>
    </row>
    <row r="6" spans="1:13" ht="20.100000000000001" customHeight="1">
      <c r="A6" s="96">
        <v>2</v>
      </c>
      <c r="B6" s="49" t="s">
        <v>1065</v>
      </c>
      <c r="C6" s="13">
        <f>data!C165</f>
        <v>7221714.6300000008</v>
      </c>
    </row>
    <row r="7" spans="1:13" ht="20.100000000000001" customHeight="1">
      <c r="A7" s="40">
        <v>3</v>
      </c>
      <c r="B7" s="97" t="s">
        <v>308</v>
      </c>
      <c r="C7" s="13">
        <f>data!C166</f>
        <v>0</v>
      </c>
    </row>
    <row r="8" spans="1:13" ht="20.100000000000001" customHeight="1">
      <c r="A8" s="40">
        <v>4</v>
      </c>
      <c r="B8" s="49" t="s">
        <v>309</v>
      </c>
      <c r="C8" s="13">
        <f>data!C167</f>
        <v>28998.630000000005</v>
      </c>
    </row>
    <row r="9" spans="1:13" ht="20.100000000000001" customHeight="1">
      <c r="A9" s="40">
        <v>5</v>
      </c>
      <c r="B9" s="49" t="s">
        <v>310</v>
      </c>
      <c r="C9" s="13">
        <f>data!C168</f>
        <v>15376160.68</v>
      </c>
    </row>
    <row r="10" spans="1:13" ht="20.100000000000001" customHeight="1">
      <c r="A10" s="40">
        <v>6</v>
      </c>
      <c r="B10" s="49" t="s">
        <v>311</v>
      </c>
      <c r="C10" s="13">
        <f>data!C169</f>
        <v>0</v>
      </c>
    </row>
    <row r="11" spans="1:13" ht="20.100000000000001" customHeight="1">
      <c r="A11" s="40">
        <v>7</v>
      </c>
      <c r="B11" s="49" t="s">
        <v>312</v>
      </c>
      <c r="C11" s="13">
        <f>data!C170</f>
        <v>1886336.12</v>
      </c>
    </row>
    <row r="12" spans="1:13" ht="20.100000000000001" customHeight="1">
      <c r="A12" s="40">
        <v>8</v>
      </c>
      <c r="B12" s="49" t="s">
        <v>313</v>
      </c>
      <c r="C12" s="13">
        <f>data!C171</f>
        <v>1205696.26</v>
      </c>
    </row>
    <row r="13" spans="1:13" ht="20.100000000000001" customHeight="1">
      <c r="A13" s="40">
        <v>9</v>
      </c>
      <c r="B13" s="49" t="s">
        <v>313</v>
      </c>
      <c r="C13" s="13">
        <f>data!C172</f>
        <v>54687.380000000005</v>
      </c>
    </row>
    <row r="14" spans="1:13" ht="20.100000000000001" customHeight="1">
      <c r="A14" s="40">
        <v>10</v>
      </c>
      <c r="B14" s="49" t="s">
        <v>1066</v>
      </c>
      <c r="C14" s="13">
        <f>data!D173</f>
        <v>25773593.700000003</v>
      </c>
    </row>
    <row r="15" spans="1:13" ht="20.100000000000001" customHeight="1">
      <c r="A15" s="57"/>
      <c r="B15" s="45"/>
      <c r="C15" s="98"/>
      <c r="M15" s="180"/>
    </row>
    <row r="16" spans="1:13" ht="20.100000000000001" customHeight="1">
      <c r="A16" s="73"/>
      <c r="B16" s="30"/>
      <c r="C16" s="20"/>
    </row>
    <row r="17" spans="1:3" ht="20.100000000000001" customHeight="1">
      <c r="A17" s="99">
        <v>11</v>
      </c>
      <c r="B17" s="100" t="s">
        <v>314</v>
      </c>
      <c r="C17" s="101"/>
    </row>
    <row r="18" spans="1:3" ht="20.100000000000001" customHeight="1">
      <c r="A18" s="13">
        <v>12</v>
      </c>
      <c r="B18" s="49" t="s">
        <v>1067</v>
      </c>
      <c r="C18" s="13">
        <f>data!C175</f>
        <v>1784978.8299999998</v>
      </c>
    </row>
    <row r="19" spans="1:3" ht="20.100000000000001" customHeight="1">
      <c r="A19" s="13">
        <v>13</v>
      </c>
      <c r="B19" s="49" t="s">
        <v>1068</v>
      </c>
      <c r="C19" s="13">
        <f>data!C176</f>
        <v>2703667.38</v>
      </c>
    </row>
    <row r="20" spans="1:3" ht="20.100000000000001" customHeight="1">
      <c r="A20" s="13">
        <v>14</v>
      </c>
      <c r="B20" s="49" t="s">
        <v>1069</v>
      </c>
      <c r="C20" s="13">
        <f>data!D177</f>
        <v>4488646.21</v>
      </c>
    </row>
    <row r="21" spans="1:3" ht="20.100000000000001" customHeight="1">
      <c r="A21" s="57"/>
      <c r="B21" s="45"/>
      <c r="C21" s="98"/>
    </row>
    <row r="22" spans="1:3" ht="20.100000000000001" customHeight="1">
      <c r="A22" s="73"/>
      <c r="B22" s="8"/>
      <c r="C22" s="44"/>
    </row>
    <row r="23" spans="1:3" ht="20.100000000000001" customHeight="1">
      <c r="A23" s="102">
        <v>15</v>
      </c>
      <c r="B23" s="103" t="s">
        <v>317</v>
      </c>
      <c r="C23" s="95"/>
    </row>
    <row r="24" spans="1:3" ht="20.100000000000001" customHeight="1">
      <c r="A24" s="13">
        <v>16</v>
      </c>
      <c r="B24" s="37" t="s">
        <v>1070</v>
      </c>
      <c r="C24" s="104"/>
    </row>
    <row r="25" spans="1:3" ht="20.100000000000001" customHeight="1">
      <c r="A25" s="13">
        <v>17</v>
      </c>
      <c r="B25" s="49" t="s">
        <v>1071</v>
      </c>
      <c r="C25" s="13">
        <f>data!C179</f>
        <v>2622815.8800000008</v>
      </c>
    </row>
    <row r="26" spans="1:3" ht="20.100000000000001" customHeight="1">
      <c r="A26" s="13">
        <v>18</v>
      </c>
      <c r="B26" s="49" t="s">
        <v>319</v>
      </c>
      <c r="C26" s="13">
        <f>data!C180</f>
        <v>0</v>
      </c>
    </row>
    <row r="27" spans="1:3" ht="20.100000000000001" customHeight="1">
      <c r="A27" s="13">
        <v>19</v>
      </c>
      <c r="B27" s="49" t="s">
        <v>1072</v>
      </c>
      <c r="C27" s="13">
        <f>data!D181</f>
        <v>2622815.8800000008</v>
      </c>
    </row>
    <row r="28" spans="1:3" ht="20.100000000000001" customHeight="1">
      <c r="A28" s="57"/>
      <c r="B28" s="45"/>
      <c r="C28" s="98"/>
    </row>
    <row r="29" spans="1:3" ht="20.100000000000001" customHeight="1">
      <c r="A29" s="73"/>
      <c r="B29" s="30"/>
      <c r="C29" s="20"/>
    </row>
    <row r="30" spans="1:3" ht="20.100000000000001" customHeight="1">
      <c r="A30" s="102">
        <v>20</v>
      </c>
      <c r="B30" s="43" t="s">
        <v>1073</v>
      </c>
      <c r="C30" s="34"/>
    </row>
    <row r="31" spans="1:3" ht="20.100000000000001" customHeight="1">
      <c r="A31" s="13">
        <v>21</v>
      </c>
      <c r="B31" s="49" t="s">
        <v>321</v>
      </c>
      <c r="C31" s="13">
        <f>data!C183</f>
        <v>48721.2</v>
      </c>
    </row>
    <row r="32" spans="1:3" ht="20.100000000000001" customHeight="1">
      <c r="A32" s="13">
        <v>22</v>
      </c>
      <c r="B32" s="49" t="s">
        <v>1074</v>
      </c>
      <c r="C32" s="13">
        <f>data!C184</f>
        <v>7245961.5699999994</v>
      </c>
    </row>
    <row r="33" spans="1:3" ht="20.100000000000001" customHeight="1">
      <c r="A33" s="13">
        <v>23</v>
      </c>
      <c r="B33" s="49" t="s">
        <v>132</v>
      </c>
      <c r="C33" s="13">
        <f>data!C185</f>
        <v>0</v>
      </c>
    </row>
    <row r="34" spans="1:3" ht="20.100000000000001" customHeight="1">
      <c r="A34" s="13">
        <v>24</v>
      </c>
      <c r="B34" s="49" t="s">
        <v>1075</v>
      </c>
      <c r="C34" s="13">
        <f>data!D186</f>
        <v>7294682.7699999996</v>
      </c>
    </row>
    <row r="35" spans="1:3" ht="20.100000000000001" customHeight="1">
      <c r="A35" s="57"/>
      <c r="B35" s="45"/>
      <c r="C35" s="98"/>
    </row>
    <row r="36" spans="1:3" ht="20.100000000000001" customHeight="1">
      <c r="A36" s="73"/>
      <c r="B36" s="30"/>
      <c r="C36" s="20"/>
    </row>
    <row r="37" spans="1:3" ht="20.100000000000001" customHeight="1">
      <c r="A37" s="102">
        <v>25</v>
      </c>
      <c r="B37" s="43" t="s">
        <v>323</v>
      </c>
      <c r="C37" s="95"/>
    </row>
    <row r="38" spans="1:3" ht="20.100000000000001" customHeight="1">
      <c r="A38" s="13">
        <v>26</v>
      </c>
      <c r="B38" s="49" t="s">
        <v>1076</v>
      </c>
      <c r="C38" s="13">
        <f>data!C188</f>
        <v>0</v>
      </c>
    </row>
    <row r="39" spans="1:3" ht="20.100000000000001" customHeight="1">
      <c r="A39" s="13">
        <v>27</v>
      </c>
      <c r="B39" s="49" t="s">
        <v>325</v>
      </c>
      <c r="C39" s="13">
        <f>data!C189</f>
        <v>5811909</v>
      </c>
    </row>
    <row r="40" spans="1:3" ht="20.100000000000001" customHeight="1">
      <c r="A40" s="13">
        <v>28</v>
      </c>
      <c r="B40" s="49" t="s">
        <v>1077</v>
      </c>
      <c r="C40" s="13">
        <f>data!D190</f>
        <v>5811909</v>
      </c>
    </row>
    <row r="41" spans="1:3">
      <c r="A41" s="3"/>
      <c r="B41" s="3"/>
      <c r="C41" s="3"/>
    </row>
  </sheetData>
  <sheetProtection sheet="1" objects="1" scenarios="1"/>
  <customSheetViews>
    <customSheetView guid="{D74B16BB-9BDF-4AEC-AA99-B864B9498389}" scale="75" showGridLines="0" fitToPage="1" topLeftCell="A7">
      <selection activeCell="C14" sqref="C14"/>
      <pageMargins left="0" right="0" top="0" bottom="0" header="0" footer="0"/>
      <printOptions horizontalCentered="1" verticalCentered="1"/>
      <pageSetup scale="97" orientation="portrait" r:id="rId1"/>
      <headerFooter alignWithMargins="0"/>
    </customSheetView>
    <customSheetView guid="{78E778D5-69A8-4E35-B0F3-6D26A1845557}" scale="75" showGridLines="0" fitToPage="1">
      <selection activeCell="C14" sqref="C14"/>
      <pageMargins left="0" right="0" top="0" bottom="0" header="0" footer="0"/>
      <printOptions horizontalCentered="1" verticalCentered="1"/>
      <pageSetup scale="90" orientation="portrait" r:id="rId2"/>
      <headerFooter alignWithMargins="0"/>
    </customSheetView>
    <customSheetView guid="{783D34AB-F88A-4C40-8B8F-D04647EC64BD}" scale="75" showGridLines="0" fitToPage="1">
      <selection activeCell="C14" sqref="C14"/>
      <pageMargins left="0" right="0" top="0" bottom="0" header="0" footer="0"/>
      <printOptions horizontalCentered="1" verticalCentered="1"/>
      <pageSetup scale="90" orientation="portrait" r:id="rId3"/>
      <headerFooter alignWithMargins="0"/>
    </customSheetView>
    <customSheetView guid="{D74738EB-3446-4A41-91B2-3626AA7FCC94}" scale="75" showGridLines="0" fitToPage="1">
      <selection activeCell="C14" sqref="C14"/>
      <pageMargins left="0" right="0" top="0" bottom="0" header="0" footer="0"/>
      <printOptions horizontalCentered="1" verticalCentered="1"/>
      <pageSetup scale="90" orientation="portrait" r:id="rId4"/>
      <headerFooter alignWithMargins="0"/>
    </customSheetView>
    <customSheetView guid="{37DA5E57-E52E-47A3-B98A-9CAA60A4BD45}" scale="75" showGridLines="0" fitToPage="1" topLeftCell="A7">
      <selection activeCell="C14" sqref="C14"/>
      <pageMargins left="0" right="0" top="0" bottom="0" header="0" footer="0"/>
      <printOptions horizontalCentered="1" verticalCentered="1"/>
      <pageSetup scale="97" orientation="portrait" r:id="rId5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97" orientation="portrait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>
      <c r="A2" s="8"/>
      <c r="B2" s="8"/>
      <c r="C2" s="8"/>
      <c r="D2" s="8"/>
      <c r="E2" s="8"/>
      <c r="F2" s="8"/>
    </row>
    <row r="3" spans="1:13" ht="20.100000000000001" customHeight="1">
      <c r="A3" s="10" t="str">
        <f>"Hospital: "&amp;data!C84</f>
        <v>Hospital: Deaconess Hospital - MultiCare Health Systems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>
      <c r="A4" s="39" t="s">
        <v>327</v>
      </c>
      <c r="B4" s="36"/>
      <c r="C4" s="36"/>
      <c r="D4" s="71"/>
      <c r="E4" s="71"/>
      <c r="F4" s="36"/>
    </row>
    <row r="5" spans="1:13" ht="20.100000000000001" customHeight="1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>
      <c r="A7" s="13">
        <v>1</v>
      </c>
      <c r="B7" s="14" t="s">
        <v>332</v>
      </c>
      <c r="C7" s="21">
        <f>data!B195</f>
        <v>19229634</v>
      </c>
      <c r="D7" s="21">
        <f>data!C195</f>
        <v>0</v>
      </c>
      <c r="E7" s="21">
        <f>data!D195</f>
        <v>0</v>
      </c>
      <c r="F7" s="21">
        <f>data!E195</f>
        <v>19229634</v>
      </c>
    </row>
    <row r="8" spans="1:13" ht="20.100000000000001" customHeight="1">
      <c r="A8" s="13">
        <v>2</v>
      </c>
      <c r="B8" s="14" t="s">
        <v>333</v>
      </c>
      <c r="C8" s="21">
        <f>data!B196</f>
        <v>716319</v>
      </c>
      <c r="D8" s="21">
        <f>data!C196</f>
        <v>0</v>
      </c>
      <c r="E8" s="21">
        <f>data!D196</f>
        <v>0</v>
      </c>
      <c r="F8" s="21">
        <f>data!E196</f>
        <v>716319</v>
      </c>
    </row>
    <row r="9" spans="1:13" ht="20.100000000000001" customHeight="1">
      <c r="A9" s="13">
        <v>3</v>
      </c>
      <c r="B9" s="14" t="s">
        <v>334</v>
      </c>
      <c r="C9" s="21">
        <f>data!B197</f>
        <v>125197532.25</v>
      </c>
      <c r="D9" s="21">
        <f>data!C197</f>
        <v>1958143.38</v>
      </c>
      <c r="E9" s="21">
        <f>data!D197</f>
        <v>0</v>
      </c>
      <c r="F9" s="21">
        <f>data!E197</f>
        <v>127155675.63</v>
      </c>
    </row>
    <row r="10" spans="1:13" ht="20.100000000000001" customHeight="1">
      <c r="A10" s="13">
        <v>4</v>
      </c>
      <c r="B10" s="14" t="s">
        <v>1083</v>
      </c>
      <c r="C10" s="21">
        <f>data!B198</f>
        <v>1205298</v>
      </c>
      <c r="D10" s="21">
        <f>data!C198</f>
        <v>133265.77000000002</v>
      </c>
      <c r="E10" s="21">
        <f>data!D198</f>
        <v>0</v>
      </c>
      <c r="F10" s="21">
        <f>data!E198</f>
        <v>1338563.77</v>
      </c>
    </row>
    <row r="11" spans="1:13" ht="20.100000000000001" customHeight="1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>
      <c r="A12" s="13">
        <v>6</v>
      </c>
      <c r="B12" s="14" t="s">
        <v>1085</v>
      </c>
      <c r="C12" s="21">
        <f>data!B200</f>
        <v>41415406.780000031</v>
      </c>
      <c r="D12" s="21">
        <f>data!C200</f>
        <v>5559280.0899999999</v>
      </c>
      <c r="E12" s="21">
        <f>data!D200</f>
        <v>187307.96</v>
      </c>
      <c r="F12" s="21">
        <f>data!E200</f>
        <v>46787378.910000034</v>
      </c>
    </row>
    <row r="13" spans="1:13" ht="20.100000000000001" customHeight="1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>
      <c r="A14" s="13">
        <v>8</v>
      </c>
      <c r="B14" s="14" t="s">
        <v>339</v>
      </c>
      <c r="C14" s="21">
        <f>data!B202</f>
        <v>311050</v>
      </c>
      <c r="D14" s="21">
        <f>data!C202</f>
        <v>0</v>
      </c>
      <c r="E14" s="21">
        <f>data!D202</f>
        <v>0</v>
      </c>
      <c r="F14" s="21">
        <f>data!E202</f>
        <v>311050</v>
      </c>
    </row>
    <row r="15" spans="1:13" ht="20.100000000000001" customHeight="1">
      <c r="A15" s="13">
        <v>9</v>
      </c>
      <c r="B15" s="14" t="s">
        <v>1087</v>
      </c>
      <c r="C15" s="21">
        <f>data!B203</f>
        <v>61993.859999999979</v>
      </c>
      <c r="D15" s="21">
        <f>data!C203</f>
        <v>0</v>
      </c>
      <c r="E15" s="21">
        <f>data!D203</f>
        <v>61993.86</v>
      </c>
      <c r="F15" s="21">
        <f>data!E203</f>
        <v>0</v>
      </c>
      <c r="M15" s="269"/>
    </row>
    <row r="16" spans="1:13" ht="20.100000000000001" customHeight="1">
      <c r="A16" s="13">
        <v>10</v>
      </c>
      <c r="B16" s="14" t="s">
        <v>661</v>
      </c>
      <c r="C16" s="21">
        <f>data!B204</f>
        <v>188137233.89000005</v>
      </c>
      <c r="D16" s="21">
        <f>data!C204</f>
        <v>7650689.2400000002</v>
      </c>
      <c r="E16" s="21">
        <f>data!D204</f>
        <v>249301.82</v>
      </c>
      <c r="F16" s="21">
        <f>data!E204</f>
        <v>195538621.31000003</v>
      </c>
    </row>
    <row r="17" spans="1:6" ht="20.100000000000001" customHeight="1">
      <c r="A17" s="73"/>
      <c r="B17" s="30"/>
      <c r="C17" s="30"/>
      <c r="D17" s="30"/>
      <c r="E17" s="30"/>
      <c r="F17" s="20"/>
    </row>
    <row r="18" spans="1:6" ht="20.100000000000001" customHeight="1">
      <c r="A18" s="74"/>
      <c r="B18" s="8"/>
      <c r="C18" s="8"/>
      <c r="D18" s="8"/>
      <c r="E18" s="8"/>
      <c r="F18" s="28"/>
    </row>
    <row r="19" spans="1:6" ht="20.100000000000001" customHeight="1">
      <c r="A19" s="74"/>
      <c r="B19" s="8"/>
      <c r="C19" s="8"/>
      <c r="D19" s="8"/>
      <c r="E19" s="8"/>
      <c r="F19" s="28"/>
    </row>
    <row r="20" spans="1:6" ht="20.100000000000001" customHeight="1">
      <c r="A20" s="39" t="s">
        <v>341</v>
      </c>
      <c r="B20" s="36"/>
      <c r="C20" s="36"/>
      <c r="D20" s="36"/>
      <c r="E20" s="36"/>
      <c r="F20" s="36"/>
    </row>
    <row r="21" spans="1:6" ht="20.100000000000001" customHeight="1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>
      <c r="A24" s="13">
        <v>12</v>
      </c>
      <c r="B24" s="14" t="s">
        <v>333</v>
      </c>
      <c r="C24" s="21">
        <f>data!B209</f>
        <v>59525.099999999977</v>
      </c>
      <c r="D24" s="21">
        <f>data!C209</f>
        <v>119050.20000000003</v>
      </c>
      <c r="E24" s="21">
        <f>data!D209</f>
        <v>0</v>
      </c>
      <c r="F24" s="21">
        <f>data!E209</f>
        <v>178575.3</v>
      </c>
    </row>
    <row r="25" spans="1:6" ht="20.100000000000001" customHeight="1">
      <c r="A25" s="13">
        <v>13</v>
      </c>
      <c r="B25" s="14" t="s">
        <v>334</v>
      </c>
      <c r="C25" s="21">
        <f>data!B210</f>
        <v>3202779.3999999985</v>
      </c>
      <c r="D25" s="21">
        <f>data!C210</f>
        <v>6481267.8000000017</v>
      </c>
      <c r="E25" s="21">
        <f>data!D210</f>
        <v>0</v>
      </c>
      <c r="F25" s="21">
        <f>data!E210</f>
        <v>9684047.1999999993</v>
      </c>
    </row>
    <row r="26" spans="1:6" ht="20.100000000000001" customHeight="1">
      <c r="A26" s="13">
        <v>14</v>
      </c>
      <c r="B26" s="14" t="s">
        <v>1083</v>
      </c>
      <c r="C26" s="21">
        <f>data!B211</f>
        <v>54940.5</v>
      </c>
      <c r="D26" s="21">
        <f>data!C211</f>
        <v>114240.67</v>
      </c>
      <c r="E26" s="21">
        <f>data!D211</f>
        <v>0</v>
      </c>
      <c r="F26" s="21">
        <f>data!E211</f>
        <v>169181.16999999998</v>
      </c>
    </row>
    <row r="27" spans="1:6" ht="20.100000000000001" customHeight="1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>
      <c r="A28" s="13">
        <v>16</v>
      </c>
      <c r="B28" s="14" t="s">
        <v>1085</v>
      </c>
      <c r="C28" s="21">
        <f>data!B213</f>
        <v>4828205.6000000015</v>
      </c>
      <c r="D28" s="21">
        <f>data!C213</f>
        <v>10415951.709999999</v>
      </c>
      <c r="E28" s="21">
        <f>data!D213</f>
        <v>39841.08</v>
      </c>
      <c r="F28" s="21">
        <f>data!E213</f>
        <v>15204316.23</v>
      </c>
    </row>
    <row r="29" spans="1:6" ht="20.100000000000001" customHeight="1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>
      <c r="A30" s="13">
        <v>18</v>
      </c>
      <c r="B30" s="14" t="s">
        <v>339</v>
      </c>
      <c r="C30" s="21">
        <f>data!B215</f>
        <v>19533.380000000005</v>
      </c>
      <c r="D30" s="21">
        <f>data!C215</f>
        <v>39066.65</v>
      </c>
      <c r="E30" s="21">
        <f>data!D215</f>
        <v>0</v>
      </c>
      <c r="F30" s="21">
        <f>data!E215</f>
        <v>58600.030000000006</v>
      </c>
    </row>
    <row r="31" spans="1:6" ht="20.100000000000001" customHeight="1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>
      <c r="A32" s="13">
        <v>20</v>
      </c>
      <c r="B32" s="14" t="s">
        <v>661</v>
      </c>
      <c r="C32" s="21">
        <f>data!B217</f>
        <v>8164983.9799999995</v>
      </c>
      <c r="D32" s="21">
        <f>data!C217</f>
        <v>17169577.030000001</v>
      </c>
      <c r="E32" s="21">
        <f>data!D217</f>
        <v>39841.08</v>
      </c>
      <c r="F32" s="21">
        <f>data!E217</f>
        <v>25294719.93</v>
      </c>
    </row>
  </sheetData>
  <sheetProtection sheet="1" objects="1" scenarios="1"/>
  <customSheetViews>
    <customSheetView guid="{D74B16BB-9BDF-4AEC-AA99-B864B9498389}" scale="75" showGridLines="0" fitToPage="1">
      <selection activeCell="J37" sqref="J37"/>
      <pageMargins left="0" right="0" top="0" bottom="0" header="0" footer="0"/>
      <printOptions horizontalCentered="1" verticalCentered="1"/>
      <pageSetup scale="99" orientation="portrait" r:id="rId1"/>
      <headerFooter alignWithMargins="0"/>
    </customSheetView>
    <customSheetView guid="{78E778D5-69A8-4E35-B0F3-6D26A1845557}" scale="75" showGridLines="0" fitToPage="1">
      <selection activeCell="J37" sqref="J37"/>
      <pageMargins left="0" right="0" top="0" bottom="0" header="0" footer="0"/>
      <printOptions horizontalCentered="1" verticalCentered="1"/>
      <pageSetup scale="93" orientation="portrait" r:id="rId2"/>
      <headerFooter alignWithMargins="0"/>
    </customSheetView>
    <customSheetView guid="{783D34AB-F88A-4C40-8B8F-D04647EC64BD}" scale="75" showGridLines="0" fitToPage="1">
      <selection activeCell="J37" sqref="J37"/>
      <pageMargins left="0" right="0" top="0" bottom="0" header="0" footer="0"/>
      <printOptions horizontalCentered="1" verticalCentered="1"/>
      <pageSetup scale="93" orientation="portrait" r:id="rId3"/>
      <headerFooter alignWithMargins="0"/>
    </customSheetView>
    <customSheetView guid="{D74738EB-3446-4A41-91B2-3626AA7FCC94}" scale="75" showGridLines="0" fitToPage="1">
      <selection activeCell="J37" sqref="J37"/>
      <pageMargins left="0" right="0" top="0" bottom="0" header="0" footer="0"/>
      <printOptions horizontalCentered="1" verticalCentered="1"/>
      <pageSetup scale="93" orientation="portrait" r:id="rId4"/>
      <headerFooter alignWithMargins="0"/>
    </customSheetView>
    <customSheetView guid="{37DA5E57-E52E-47A3-B98A-9CAA60A4BD45}" scale="75" showGridLines="0" fitToPage="1">
      <selection activeCell="J37" sqref="J37"/>
      <pageMargins left="0" right="0" top="0" bottom="0" header="0" footer="0"/>
      <printOptions horizontalCentered="1" verticalCentered="1"/>
      <pageSetup scale="99" orientation="portrait" r:id="rId5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99" orientation="portrait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>
      <c r="A1" s="6" t="s">
        <v>1089</v>
      </c>
      <c r="B1" s="6"/>
      <c r="C1" s="6"/>
      <c r="D1" s="169" t="s">
        <v>1090</v>
      </c>
    </row>
    <row r="2" spans="1:13" ht="20.100000000000001" customHeight="1">
      <c r="A2" s="29" t="str">
        <f>"Hospital: "&amp;data!C84</f>
        <v>Hospital: Deaconess Hospital - MultiCare Health Systems</v>
      </c>
      <c r="B2" s="30"/>
      <c r="C2" s="30"/>
      <c r="D2" s="31" t="str">
        <f>"FYE: "&amp;data!C82</f>
        <v>FYE: 12/31/2018</v>
      </c>
    </row>
    <row r="3" spans="1:13" ht="20.100000000000001" customHeight="1">
      <c r="A3" s="42"/>
      <c r="B3" s="52"/>
      <c r="C3" s="52"/>
      <c r="D3" s="52"/>
    </row>
    <row r="4" spans="1:13" ht="20.100000000000001" customHeight="1">
      <c r="A4" s="53"/>
      <c r="B4" s="41" t="s">
        <v>1091</v>
      </c>
      <c r="C4" s="41" t="s">
        <v>1092</v>
      </c>
      <c r="D4" s="54"/>
    </row>
    <row r="5" spans="1:13" ht="20.100000000000001" customHeight="1">
      <c r="A5" s="102">
        <v>1</v>
      </c>
      <c r="B5" s="55"/>
      <c r="C5" s="22" t="s">
        <v>1255</v>
      </c>
      <c r="D5" s="14">
        <f>data!D221</f>
        <v>6795341.3299999982</v>
      </c>
    </row>
    <row r="6" spans="1:13" ht="20.100000000000001" customHeight="1">
      <c r="A6" s="13">
        <v>2</v>
      </c>
      <c r="B6" s="30"/>
      <c r="C6" s="31" t="s">
        <v>432</v>
      </c>
      <c r="D6" s="25"/>
    </row>
    <row r="7" spans="1:13" ht="20.100000000000001" customHeight="1">
      <c r="A7" s="13">
        <v>3</v>
      </c>
      <c r="B7" s="55">
        <v>5810</v>
      </c>
      <c r="C7" s="14" t="s">
        <v>296</v>
      </c>
      <c r="D7" s="14">
        <f>data!C223</f>
        <v>424737062.82332695</v>
      </c>
    </row>
    <row r="8" spans="1:13" ht="20.100000000000001" customHeight="1">
      <c r="A8" s="13">
        <v>4</v>
      </c>
      <c r="B8" s="55">
        <v>5820</v>
      </c>
      <c r="C8" s="14" t="s">
        <v>297</v>
      </c>
      <c r="D8" s="14">
        <f>data!C224</f>
        <v>22426798.859416224</v>
      </c>
    </row>
    <row r="9" spans="1:13" ht="20.100000000000001" customHeight="1">
      <c r="A9" s="13">
        <v>5</v>
      </c>
      <c r="B9" s="55">
        <v>5830</v>
      </c>
      <c r="C9" s="14" t="s">
        <v>309</v>
      </c>
      <c r="D9" s="14">
        <f>data!C225</f>
        <v>13977502.213483714</v>
      </c>
    </row>
    <row r="10" spans="1:13" ht="20.100000000000001" customHeight="1">
      <c r="A10" s="13">
        <v>6</v>
      </c>
      <c r="B10" s="55">
        <v>5840</v>
      </c>
      <c r="C10" s="14" t="s">
        <v>347</v>
      </c>
      <c r="D10" s="14">
        <f>data!C226</f>
        <v>6762917.2289165389</v>
      </c>
    </row>
    <row r="11" spans="1:13" ht="20.100000000000001" customHeight="1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>
      <c r="A12" s="13">
        <v>8</v>
      </c>
      <c r="B12" s="55">
        <v>5860</v>
      </c>
      <c r="C12" s="14" t="s">
        <v>132</v>
      </c>
      <c r="D12" s="14">
        <f>data!C228</f>
        <v>725030736.10485673</v>
      </c>
    </row>
    <row r="13" spans="1:13" ht="20.100000000000001" customHeight="1">
      <c r="A13" s="23">
        <v>9</v>
      </c>
      <c r="B13" s="24"/>
      <c r="C13" s="14" t="s">
        <v>1094</v>
      </c>
      <c r="D13" s="14">
        <f>data!D229</f>
        <v>1192935017.23</v>
      </c>
    </row>
    <row r="14" spans="1:13" ht="20.100000000000001" customHeight="1">
      <c r="A14" s="81">
        <v>10</v>
      </c>
      <c r="B14" s="56"/>
      <c r="C14" s="56"/>
      <c r="D14" s="56"/>
    </row>
    <row r="15" spans="1:13" ht="20.100000000000001" customHeight="1">
      <c r="A15" s="23">
        <v>11</v>
      </c>
      <c r="B15" s="58"/>
      <c r="C15" s="9" t="s">
        <v>351</v>
      </c>
      <c r="D15" s="25"/>
    </row>
    <row r="16" spans="1:13" ht="20.100000000000001" customHeight="1">
      <c r="A16" s="81">
        <v>12</v>
      </c>
      <c r="B16" s="56"/>
      <c r="C16" s="49" t="s">
        <v>1095</v>
      </c>
      <c r="D16" s="140">
        <f>+data!C231</f>
        <v>3953</v>
      </c>
      <c r="M16" s="269"/>
    </row>
    <row r="17" spans="1:4" ht="20.100000000000001" customHeight="1">
      <c r="A17" s="23">
        <v>13</v>
      </c>
      <c r="B17" s="58"/>
      <c r="C17" s="45"/>
      <c r="D17" s="83"/>
    </row>
    <row r="18" spans="1:4" ht="20.100000000000001" customHeight="1">
      <c r="A18" s="13">
        <v>14</v>
      </c>
      <c r="B18" s="59">
        <v>5900</v>
      </c>
      <c r="C18" s="14" t="s">
        <v>353</v>
      </c>
      <c r="D18" s="60">
        <f>data!C233</f>
        <v>5327291.3519017771</v>
      </c>
    </row>
    <row r="19" spans="1:4" ht="20.100000000000001" customHeight="1">
      <c r="A19" s="61">
        <v>15</v>
      </c>
      <c r="B19" s="55">
        <v>5910</v>
      </c>
      <c r="C19" s="22" t="s">
        <v>1096</v>
      </c>
      <c r="D19" s="14">
        <f>data!C234</f>
        <v>4803521.1580982227</v>
      </c>
    </row>
    <row r="20" spans="1:4" ht="20.100000000000001" customHeight="1">
      <c r="A20" s="23">
        <v>16</v>
      </c>
      <c r="B20" s="24"/>
      <c r="C20" s="24"/>
      <c r="D20" s="56"/>
    </row>
    <row r="21" spans="1:4" ht="20.100000000000001" customHeight="1">
      <c r="A21" s="23">
        <v>17</v>
      </c>
      <c r="B21" s="56"/>
      <c r="C21" s="56"/>
      <c r="D21" s="56"/>
    </row>
    <row r="22" spans="1:4" ht="20.100000000000001" customHeight="1">
      <c r="A22" s="81">
        <v>18</v>
      </c>
      <c r="B22" s="56"/>
      <c r="C22" s="15" t="s">
        <v>1097</v>
      </c>
      <c r="D22" s="14">
        <f>data!D236</f>
        <v>10130812.51</v>
      </c>
    </row>
    <row r="23" spans="1:4" ht="20.100000000000001" customHeight="1">
      <c r="A23" s="62">
        <v>19</v>
      </c>
      <c r="B23" s="58"/>
      <c r="C23" s="58"/>
      <c r="D23" s="25"/>
    </row>
    <row r="24" spans="1:4" ht="20.100000000000001" customHeight="1">
      <c r="A24" s="275">
        <v>20</v>
      </c>
      <c r="B24" s="55">
        <v>5970</v>
      </c>
      <c r="C24" s="14" t="s">
        <v>357</v>
      </c>
      <c r="D24" s="14">
        <f>data!C238</f>
        <v>3901159.42</v>
      </c>
    </row>
    <row r="25" spans="1:4" ht="20.100000000000001" customHeight="1">
      <c r="A25" s="62">
        <v>21</v>
      </c>
      <c r="B25" s="30"/>
      <c r="C25" s="30"/>
      <c r="D25" s="25"/>
    </row>
    <row r="26" spans="1:4" ht="20.100000000000001" customHeight="1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>
      <c r="A27" s="64">
        <v>23</v>
      </c>
      <c r="B27" s="63" t="s">
        <v>1099</v>
      </c>
      <c r="C27" s="56"/>
      <c r="D27" s="14">
        <f>data!D242</f>
        <v>1213762330.49</v>
      </c>
    </row>
    <row r="28" spans="1:4" ht="20.100000000000001" customHeight="1">
      <c r="A28" s="126">
        <v>24</v>
      </c>
      <c r="B28" s="65" t="s">
        <v>1100</v>
      </c>
      <c r="C28" s="50"/>
      <c r="D28" s="54"/>
    </row>
    <row r="29" spans="1:4" ht="20.100000000000001" customHeight="1">
      <c r="A29" s="66"/>
      <c r="B29" s="67"/>
      <c r="C29" s="67"/>
      <c r="D29" s="56"/>
    </row>
    <row r="30" spans="1:4" ht="20.100000000000001" customHeight="1">
      <c r="A30" s="68"/>
      <c r="B30" s="38"/>
      <c r="C30" s="38"/>
      <c r="D30" s="56"/>
    </row>
    <row r="31" spans="1:4" ht="20.100000000000001" customHeight="1">
      <c r="A31" s="68"/>
      <c r="B31" s="38"/>
      <c r="C31" s="38"/>
      <c r="D31" s="56"/>
    </row>
    <row r="32" spans="1:4" ht="20.100000000000001" customHeight="1">
      <c r="A32" s="68"/>
      <c r="B32" s="38"/>
      <c r="C32" s="38"/>
      <c r="D32" s="56"/>
    </row>
    <row r="33" spans="1:4" ht="20.100000000000001" customHeight="1">
      <c r="A33" s="68"/>
      <c r="B33" s="38"/>
      <c r="C33" s="38"/>
      <c r="D33" s="24"/>
    </row>
    <row r="34" spans="1:4" ht="20.100000000000001" customHeight="1">
      <c r="A34" s="69"/>
      <c r="B34" s="70"/>
      <c r="C34" s="70"/>
      <c r="D34" s="27"/>
    </row>
  </sheetData>
  <customSheetViews>
    <customSheetView guid="{D74B16BB-9BDF-4AEC-AA99-B864B9498389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1"/>
      <headerFooter alignWithMargins="0"/>
    </customSheetView>
    <customSheetView guid="{78E778D5-69A8-4E35-B0F3-6D26A1845557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2"/>
      <headerFooter alignWithMargins="0"/>
    </customSheetView>
    <customSheetView guid="{783D34AB-F88A-4C40-8B8F-D04647EC64BD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3"/>
      <headerFooter alignWithMargins="0"/>
    </customSheetView>
    <customSheetView guid="{D74738EB-3446-4A41-91B2-3626AA7FCC94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4"/>
      <headerFooter alignWithMargins="0"/>
    </customSheetView>
    <customSheetView guid="{37DA5E57-E52E-47A3-B98A-9CAA60A4BD45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5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orientation="portrait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79" zoomScale="75" workbookViewId="0">
      <selection activeCell="C88" sqref="C88"/>
    </sheetView>
  </sheetViews>
  <sheetFormatPr defaultColWidth="57.4140625" defaultRowHeight="1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>
      <c r="A1" s="4" t="s">
        <v>1101</v>
      </c>
      <c r="B1" s="5"/>
      <c r="C1" s="6"/>
    </row>
    <row r="2" spans="1:13" ht="20.100000000000001" customHeight="1">
      <c r="A2" s="4"/>
      <c r="B2" s="5"/>
      <c r="C2" s="167" t="s">
        <v>1102</v>
      </c>
    </row>
    <row r="3" spans="1:13" ht="20.100000000000001" customHeight="1">
      <c r="A3" s="29" t="str">
        <f>"HOSPITAL: "&amp;data!C84</f>
        <v>HOSPITAL: Deaconess Hospital - MultiCare Health Systems</v>
      </c>
      <c r="B3" s="30"/>
      <c r="C3" s="31" t="str">
        <f>" FYE: "&amp;data!C82</f>
        <v xml:space="preserve"> FYE: 12/31/2018</v>
      </c>
    </row>
    <row r="4" spans="1:13" ht="20.100000000000001" customHeight="1">
      <c r="A4" s="32"/>
      <c r="B4" s="33" t="s">
        <v>1103</v>
      </c>
      <c r="C4" s="34"/>
    </row>
    <row r="5" spans="1:13" ht="20.100000000000001" customHeight="1">
      <c r="A5" s="23">
        <v>1</v>
      </c>
      <c r="B5" s="35" t="s">
        <v>361</v>
      </c>
      <c r="C5" s="36"/>
    </row>
    <row r="6" spans="1:13" ht="20.100000000000001" customHeight="1">
      <c r="A6" s="13">
        <v>2</v>
      </c>
      <c r="B6" s="14" t="s">
        <v>362</v>
      </c>
      <c r="C6" s="21">
        <f>data!C250</f>
        <v>14011.24</v>
      </c>
    </row>
    <row r="7" spans="1:13" ht="20.100000000000001" customHeight="1">
      <c r="A7" s="13">
        <v>3</v>
      </c>
      <c r="B7" s="14" t="s">
        <v>363</v>
      </c>
      <c r="C7" s="21">
        <f>data!C251</f>
        <v>0</v>
      </c>
    </row>
    <row r="8" spans="1:13" ht="20.100000000000001" customHeight="1">
      <c r="A8" s="13">
        <v>4</v>
      </c>
      <c r="B8" s="14" t="s">
        <v>364</v>
      </c>
      <c r="C8" s="21">
        <f>data!C252</f>
        <v>233726514.19999999</v>
      </c>
    </row>
    <row r="9" spans="1:13" ht="20.100000000000001" customHeight="1">
      <c r="A9" s="13">
        <v>5</v>
      </c>
      <c r="B9" s="14" t="s">
        <v>1104</v>
      </c>
      <c r="C9" s="21">
        <f>data!C253</f>
        <v>188147300.62999997</v>
      </c>
    </row>
    <row r="10" spans="1:13" ht="20.100000000000001" customHeight="1">
      <c r="A10" s="13">
        <v>6</v>
      </c>
      <c r="B10" s="14" t="s">
        <v>1105</v>
      </c>
      <c r="C10" s="21">
        <f>data!C254</f>
        <v>0</v>
      </c>
    </row>
    <row r="11" spans="1:13" ht="20.100000000000001" customHeight="1">
      <c r="A11" s="13">
        <v>7</v>
      </c>
      <c r="B11" s="14" t="s">
        <v>1106</v>
      </c>
      <c r="C11" s="21">
        <f>data!C255</f>
        <v>1077708.1600000001</v>
      </c>
    </row>
    <row r="12" spans="1:13" ht="20.100000000000001" customHeight="1">
      <c r="A12" s="13">
        <v>8</v>
      </c>
      <c r="B12" s="14" t="s">
        <v>367</v>
      </c>
      <c r="C12" s="21">
        <f>data!C256</f>
        <v>0</v>
      </c>
    </row>
    <row r="13" spans="1:13" ht="20.100000000000001" customHeight="1">
      <c r="A13" s="13">
        <v>9</v>
      </c>
      <c r="B13" s="14" t="s">
        <v>368</v>
      </c>
      <c r="C13" s="21">
        <f>data!C257</f>
        <v>14577067.979999997</v>
      </c>
    </row>
    <row r="14" spans="1:13" ht="20.100000000000001" customHeight="1">
      <c r="A14" s="13">
        <v>10</v>
      </c>
      <c r="B14" s="14" t="s">
        <v>369</v>
      </c>
      <c r="C14" s="21">
        <f>data!C258</f>
        <v>937543.57</v>
      </c>
    </row>
    <row r="15" spans="1:13" ht="20.100000000000001" customHeight="1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>
      <c r="A16" s="13">
        <v>12</v>
      </c>
      <c r="B16" s="14" t="s">
        <v>1108</v>
      </c>
      <c r="C16" s="21">
        <f>data!D260</f>
        <v>62185544.520000026</v>
      </c>
    </row>
    <row r="17" spans="1:3" ht="20.100000000000001" customHeight="1">
      <c r="A17" s="13">
        <v>13</v>
      </c>
      <c r="B17" s="24"/>
      <c r="C17" s="24"/>
    </row>
    <row r="18" spans="1:3" ht="20.100000000000001" customHeight="1">
      <c r="A18" s="13">
        <v>14</v>
      </c>
      <c r="B18" s="37" t="s">
        <v>1109</v>
      </c>
      <c r="C18" s="36"/>
    </row>
    <row r="19" spans="1:3" ht="20.100000000000001" customHeight="1">
      <c r="A19" s="13">
        <v>15</v>
      </c>
      <c r="B19" s="14" t="s">
        <v>362</v>
      </c>
      <c r="C19" s="21">
        <f>data!C262</f>
        <v>0</v>
      </c>
    </row>
    <row r="20" spans="1:3" ht="20.100000000000001" customHeight="1">
      <c r="A20" s="13">
        <v>16</v>
      </c>
      <c r="B20" s="14" t="s">
        <v>363</v>
      </c>
      <c r="C20" s="21">
        <f>data!C263</f>
        <v>0</v>
      </c>
    </row>
    <row r="21" spans="1:3" ht="20.100000000000001" customHeight="1">
      <c r="A21" s="13">
        <v>17</v>
      </c>
      <c r="B21" s="14" t="s">
        <v>373</v>
      </c>
      <c r="C21" s="21">
        <f>data!C264</f>
        <v>0</v>
      </c>
    </row>
    <row r="22" spans="1:3" ht="20.100000000000001" customHeight="1">
      <c r="A22" s="13">
        <v>18</v>
      </c>
      <c r="B22" s="14" t="s">
        <v>1110</v>
      </c>
      <c r="C22" s="21">
        <f>data!D265</f>
        <v>0</v>
      </c>
    </row>
    <row r="23" spans="1:3" ht="20.100000000000001" customHeight="1">
      <c r="A23" s="13">
        <v>19</v>
      </c>
      <c r="B23" s="38"/>
      <c r="C23" s="24"/>
    </row>
    <row r="24" spans="1:3" ht="20.100000000000001" customHeight="1">
      <c r="A24" s="13">
        <v>20</v>
      </c>
      <c r="B24" s="37" t="s">
        <v>1111</v>
      </c>
      <c r="C24" s="36"/>
    </row>
    <row r="25" spans="1:3" ht="20.100000000000001" customHeight="1">
      <c r="A25" s="13">
        <v>21</v>
      </c>
      <c r="B25" s="14" t="s">
        <v>332</v>
      </c>
      <c r="C25" s="21">
        <f>data!C267</f>
        <v>19229634</v>
      </c>
    </row>
    <row r="26" spans="1:3" ht="20.100000000000001" customHeight="1">
      <c r="A26" s="13">
        <v>22</v>
      </c>
      <c r="B26" s="14" t="s">
        <v>333</v>
      </c>
      <c r="C26" s="21">
        <f>data!C268</f>
        <v>716319</v>
      </c>
    </row>
    <row r="27" spans="1:3" ht="20.100000000000001" customHeight="1">
      <c r="A27" s="13">
        <v>23</v>
      </c>
      <c r="B27" s="14" t="s">
        <v>334</v>
      </c>
      <c r="C27" s="21">
        <f>data!C269</f>
        <v>127155675.63</v>
      </c>
    </row>
    <row r="28" spans="1:3" ht="20.100000000000001" customHeight="1">
      <c r="A28" s="13">
        <v>24</v>
      </c>
      <c r="B28" s="14" t="s">
        <v>1112</v>
      </c>
      <c r="C28" s="21">
        <f>data!C270</f>
        <v>1338563.77</v>
      </c>
    </row>
    <row r="29" spans="1:3" ht="20.100000000000001" customHeight="1">
      <c r="A29" s="13">
        <v>25</v>
      </c>
      <c r="B29" s="14" t="s">
        <v>336</v>
      </c>
      <c r="C29" s="21">
        <f>data!C271</f>
        <v>0</v>
      </c>
    </row>
    <row r="30" spans="1:3" ht="20.100000000000001" customHeight="1">
      <c r="A30" s="13">
        <v>26</v>
      </c>
      <c r="B30" s="14" t="s">
        <v>378</v>
      </c>
      <c r="C30" s="21">
        <f>data!C272</f>
        <v>46787378.909999996</v>
      </c>
    </row>
    <row r="31" spans="1:3" ht="20.100000000000001" customHeight="1">
      <c r="A31" s="13">
        <v>27</v>
      </c>
      <c r="B31" s="14" t="s">
        <v>339</v>
      </c>
      <c r="C31" s="21">
        <f>data!C273</f>
        <v>311050</v>
      </c>
    </row>
    <row r="32" spans="1:3" ht="20.100000000000001" customHeight="1">
      <c r="A32" s="13">
        <v>28</v>
      </c>
      <c r="B32" s="14" t="s">
        <v>340</v>
      </c>
      <c r="C32" s="21">
        <f>data!C274</f>
        <v>0</v>
      </c>
    </row>
    <row r="33" spans="1:3" ht="20.100000000000001" customHeight="1">
      <c r="A33" s="13">
        <v>29</v>
      </c>
      <c r="B33" s="14" t="s">
        <v>661</v>
      </c>
      <c r="C33" s="21">
        <f>data!D275</f>
        <v>195538621.31</v>
      </c>
    </row>
    <row r="34" spans="1:3" ht="20.100000000000001" customHeight="1">
      <c r="A34" s="13">
        <v>30</v>
      </c>
      <c r="B34" s="14" t="s">
        <v>1113</v>
      </c>
      <c r="C34" s="21">
        <f>data!C276</f>
        <v>25294719.93</v>
      </c>
    </row>
    <row r="35" spans="1:3" ht="20.100000000000001" customHeight="1">
      <c r="A35" s="13">
        <v>31</v>
      </c>
      <c r="B35" s="14" t="s">
        <v>1114</v>
      </c>
      <c r="C35" s="21">
        <f>data!D277</f>
        <v>170243901.38</v>
      </c>
    </row>
    <row r="36" spans="1:3" ht="20.100000000000001" customHeight="1">
      <c r="A36" s="13">
        <v>32</v>
      </c>
      <c r="B36" s="38"/>
      <c r="C36" s="24"/>
    </row>
    <row r="37" spans="1:3" ht="20.100000000000001" customHeight="1">
      <c r="A37" s="23">
        <v>33</v>
      </c>
      <c r="B37" s="37" t="s">
        <v>1115</v>
      </c>
      <c r="C37" s="36"/>
    </row>
    <row r="38" spans="1:3" ht="20.100000000000001" customHeight="1">
      <c r="A38" s="13">
        <v>34</v>
      </c>
      <c r="B38" s="14" t="s">
        <v>1116</v>
      </c>
      <c r="C38" s="21">
        <f>data!C279</f>
        <v>0</v>
      </c>
    </row>
    <row r="39" spans="1:3" ht="20.100000000000001" customHeight="1">
      <c r="A39" s="13">
        <v>35</v>
      </c>
      <c r="B39" s="14" t="s">
        <v>1117</v>
      </c>
      <c r="C39" s="21">
        <f>data!C280</f>
        <v>0</v>
      </c>
    </row>
    <row r="40" spans="1:3" ht="20.100000000000001" customHeight="1">
      <c r="A40" s="13">
        <v>36</v>
      </c>
      <c r="B40" s="14" t="s">
        <v>385</v>
      </c>
      <c r="C40" s="21">
        <f>data!C281</f>
        <v>0</v>
      </c>
    </row>
    <row r="41" spans="1:3" ht="20.100000000000001" customHeight="1">
      <c r="A41" s="13">
        <v>37</v>
      </c>
      <c r="B41" s="14" t="s">
        <v>373</v>
      </c>
      <c r="C41" s="21">
        <f>data!C282</f>
        <v>1485128.04</v>
      </c>
    </row>
    <row r="42" spans="1:3" ht="20.100000000000001" customHeight="1">
      <c r="A42" s="13">
        <v>38</v>
      </c>
      <c r="B42" s="14" t="s">
        <v>1118</v>
      </c>
      <c r="C42" s="21">
        <f>data!D283</f>
        <v>1485128.04</v>
      </c>
    </row>
    <row r="43" spans="1:3" ht="20.100000000000001" customHeight="1">
      <c r="A43" s="13">
        <v>39</v>
      </c>
      <c r="B43" s="38"/>
      <c r="C43" s="24"/>
    </row>
    <row r="44" spans="1:3" ht="20.100000000000001" customHeight="1">
      <c r="A44" s="23">
        <v>40</v>
      </c>
      <c r="B44" s="37" t="s">
        <v>1119</v>
      </c>
      <c r="C44" s="36"/>
    </row>
    <row r="45" spans="1:3" ht="20.100000000000001" customHeight="1">
      <c r="A45" s="13">
        <v>41</v>
      </c>
      <c r="B45" s="14" t="s">
        <v>388</v>
      </c>
      <c r="C45" s="21">
        <f>data!C286</f>
        <v>20538012.09</v>
      </c>
    </row>
    <row r="46" spans="1:3" ht="20.100000000000001" customHeight="1">
      <c r="A46" s="13">
        <v>42</v>
      </c>
      <c r="B46" s="14" t="s">
        <v>389</v>
      </c>
      <c r="C46" s="21">
        <f>data!C287</f>
        <v>0</v>
      </c>
    </row>
    <row r="47" spans="1:3" ht="20.100000000000001" customHeight="1">
      <c r="A47" s="13">
        <v>43</v>
      </c>
      <c r="B47" s="14" t="s">
        <v>1120</v>
      </c>
      <c r="C47" s="21">
        <f>data!C288</f>
        <v>0</v>
      </c>
    </row>
    <row r="48" spans="1:3" ht="20.100000000000001" customHeight="1">
      <c r="A48" s="13">
        <v>44</v>
      </c>
      <c r="B48" s="14" t="s">
        <v>391</v>
      </c>
      <c r="C48" s="21">
        <f>data!C289</f>
        <v>8169999.7199999997</v>
      </c>
    </row>
    <row r="49" spans="1:3" ht="20.100000000000001" customHeight="1">
      <c r="A49" s="13">
        <v>45</v>
      </c>
      <c r="B49" s="14" t="s">
        <v>1121</v>
      </c>
      <c r="C49" s="21">
        <f>data!D290</f>
        <v>28708011.809999999</v>
      </c>
    </row>
    <row r="50" spans="1:3" ht="20.100000000000001" customHeight="1">
      <c r="A50" s="40">
        <v>46</v>
      </c>
      <c r="B50" s="41" t="s">
        <v>1122</v>
      </c>
      <c r="C50" s="21">
        <f>data!D292</f>
        <v>262622585.75000003</v>
      </c>
    </row>
    <row r="51" spans="1:3" ht="20.100000000000001" customHeight="1"/>
    <row r="52" spans="1:3" ht="20.100000000000001" customHeight="1"/>
    <row r="53" spans="1:3" ht="20.100000000000001" customHeight="1">
      <c r="A53" s="4" t="s">
        <v>1123</v>
      </c>
      <c r="B53" s="5"/>
      <c r="C53" s="6"/>
    </row>
    <row r="54" spans="1:3" ht="20.100000000000001" customHeight="1">
      <c r="A54" s="4"/>
      <c r="B54" s="5"/>
      <c r="C54" s="167" t="s">
        <v>1124</v>
      </c>
    </row>
    <row r="55" spans="1:3" ht="20.100000000000001" customHeight="1">
      <c r="A55" s="29" t="str">
        <f>"HOSPITAL: "&amp;data!C84</f>
        <v>HOSPITAL: Deaconess Hospital - MultiCare Health Systems</v>
      </c>
      <c r="B55" s="30"/>
      <c r="C55" s="31" t="str">
        <f>"FYE: "&amp;data!C82</f>
        <v>FYE: 12/31/2018</v>
      </c>
    </row>
    <row r="56" spans="1:3" ht="20.100000000000001" customHeight="1">
      <c r="A56" s="42"/>
      <c r="B56" s="43" t="s">
        <v>1125</v>
      </c>
      <c r="C56" s="34"/>
    </row>
    <row r="57" spans="1:3" ht="20.100000000000001" customHeight="1">
      <c r="A57" s="16">
        <v>1</v>
      </c>
      <c r="B57" s="4" t="s">
        <v>395</v>
      </c>
      <c r="C57" s="44"/>
    </row>
    <row r="58" spans="1:3" ht="20.100000000000001" customHeight="1">
      <c r="A58" s="13">
        <v>2</v>
      </c>
      <c r="B58" s="14" t="s">
        <v>396</v>
      </c>
      <c r="C58" s="21">
        <f>data!C304</f>
        <v>0</v>
      </c>
    </row>
    <row r="59" spans="1:3" ht="20.100000000000001" customHeight="1">
      <c r="A59" s="13">
        <v>3</v>
      </c>
      <c r="B59" s="14" t="s">
        <v>1126</v>
      </c>
      <c r="C59" s="21">
        <f>data!C305</f>
        <v>7408206.4400000004</v>
      </c>
    </row>
    <row r="60" spans="1:3" ht="20.100000000000001" customHeight="1">
      <c r="A60" s="13">
        <v>4</v>
      </c>
      <c r="B60" s="14" t="s">
        <v>1127</v>
      </c>
      <c r="C60" s="21">
        <f>data!C306</f>
        <v>1896617.01</v>
      </c>
    </row>
    <row r="61" spans="1:3" ht="20.100000000000001" customHeight="1">
      <c r="A61" s="13">
        <v>5</v>
      </c>
      <c r="B61" s="14" t="s">
        <v>399</v>
      </c>
      <c r="C61" s="21">
        <f>data!C307</f>
        <v>275575343.10000002</v>
      </c>
    </row>
    <row r="62" spans="1:3" ht="20.100000000000001" customHeight="1">
      <c r="A62" s="13">
        <v>6</v>
      </c>
      <c r="B62" s="14" t="s">
        <v>1128</v>
      </c>
      <c r="C62" s="21">
        <f>data!C308</f>
        <v>0</v>
      </c>
    </row>
    <row r="63" spans="1:3" ht="20.100000000000001" customHeight="1">
      <c r="A63" s="13">
        <v>7</v>
      </c>
      <c r="B63" s="14" t="s">
        <v>1129</v>
      </c>
      <c r="C63" s="21">
        <f>data!C309</f>
        <v>1215000</v>
      </c>
    </row>
    <row r="64" spans="1:3" ht="20.100000000000001" customHeight="1">
      <c r="A64" s="13">
        <v>8</v>
      </c>
      <c r="B64" s="14" t="s">
        <v>401</v>
      </c>
      <c r="C64" s="21">
        <f>data!C310</f>
        <v>0</v>
      </c>
    </row>
    <row r="65" spans="1:3" ht="20.100000000000001" customHeight="1">
      <c r="A65" s="13">
        <v>9</v>
      </c>
      <c r="B65" s="14" t="s">
        <v>402</v>
      </c>
      <c r="C65" s="21">
        <f>data!C311</f>
        <v>0</v>
      </c>
    </row>
    <row r="66" spans="1:3" ht="20.100000000000001" customHeight="1">
      <c r="A66" s="13">
        <v>10</v>
      </c>
      <c r="B66" s="14" t="s">
        <v>403</v>
      </c>
      <c r="C66" s="21">
        <f>data!C312</f>
        <v>621540.93000000005</v>
      </c>
    </row>
    <row r="67" spans="1:3" ht="20.100000000000001" customHeight="1">
      <c r="A67" s="13">
        <v>11</v>
      </c>
      <c r="B67" s="14" t="s">
        <v>1130</v>
      </c>
      <c r="C67" s="21">
        <f>data!C313</f>
        <v>0</v>
      </c>
    </row>
    <row r="68" spans="1:3" ht="20.100000000000001" customHeight="1">
      <c r="A68" s="13">
        <v>12</v>
      </c>
      <c r="B68" s="14" t="s">
        <v>1131</v>
      </c>
      <c r="C68" s="21">
        <f>data!D314</f>
        <v>286716707.48000002</v>
      </c>
    </row>
    <row r="69" spans="1:3" ht="20.100000000000001" customHeight="1">
      <c r="A69" s="13">
        <v>13</v>
      </c>
      <c r="B69" s="38"/>
      <c r="C69" s="24"/>
    </row>
    <row r="70" spans="1:3" ht="20.100000000000001" customHeight="1">
      <c r="A70" s="13">
        <v>14</v>
      </c>
      <c r="B70" s="37" t="s">
        <v>1132</v>
      </c>
      <c r="C70" s="36"/>
    </row>
    <row r="71" spans="1:3" ht="20.100000000000001" customHeight="1">
      <c r="A71" s="13">
        <v>15</v>
      </c>
      <c r="B71" s="14" t="s">
        <v>407</v>
      </c>
      <c r="C71" s="21">
        <f>data!C316</f>
        <v>0</v>
      </c>
    </row>
    <row r="72" spans="1:3" ht="20.100000000000001" customHeight="1">
      <c r="A72" s="13">
        <v>16</v>
      </c>
      <c r="B72" s="14" t="s">
        <v>1133</v>
      </c>
      <c r="C72" s="21">
        <f>data!C317</f>
        <v>0</v>
      </c>
    </row>
    <row r="73" spans="1:3" ht="20.100000000000001" customHeight="1">
      <c r="A73" s="13">
        <v>17</v>
      </c>
      <c r="B73" s="14" t="s">
        <v>409</v>
      </c>
      <c r="C73" s="21">
        <f>data!C318</f>
        <v>0</v>
      </c>
    </row>
    <row r="74" spans="1:3" ht="20.100000000000001" customHeight="1">
      <c r="A74" s="13">
        <v>18</v>
      </c>
      <c r="B74" s="14" t="s">
        <v>1134</v>
      </c>
      <c r="C74" s="21">
        <f>data!D319</f>
        <v>0</v>
      </c>
    </row>
    <row r="75" spans="1:3" ht="20.100000000000001" customHeight="1">
      <c r="A75" s="13">
        <v>19</v>
      </c>
      <c r="B75" s="38"/>
      <c r="C75" s="24"/>
    </row>
    <row r="76" spans="1:3" ht="20.100000000000001" customHeight="1">
      <c r="A76" s="23">
        <v>20</v>
      </c>
      <c r="B76" s="37" t="s">
        <v>411</v>
      </c>
      <c r="C76" s="36"/>
    </row>
    <row r="77" spans="1:3" ht="20.100000000000001" customHeight="1">
      <c r="A77" s="13">
        <v>21</v>
      </c>
      <c r="B77" s="14" t="s">
        <v>412</v>
      </c>
      <c r="C77" s="21">
        <f>data!C321</f>
        <v>0</v>
      </c>
    </row>
    <row r="78" spans="1:3" ht="20.100000000000001" customHeight="1">
      <c r="A78" s="13">
        <v>22</v>
      </c>
      <c r="B78" s="14" t="s">
        <v>1135</v>
      </c>
      <c r="C78" s="21">
        <f>data!C322</f>
        <v>0</v>
      </c>
    </row>
    <row r="79" spans="1:3" ht="20.100000000000001" customHeight="1">
      <c r="A79" s="13">
        <v>23</v>
      </c>
      <c r="B79" s="14" t="s">
        <v>414</v>
      </c>
      <c r="C79" s="21">
        <f>data!C323</f>
        <v>0</v>
      </c>
    </row>
    <row r="80" spans="1:3" ht="20.100000000000001" customHeight="1">
      <c r="A80" s="13">
        <v>24</v>
      </c>
      <c r="B80" s="14" t="s">
        <v>1136</v>
      </c>
      <c r="C80" s="21">
        <f>data!C324</f>
        <v>0</v>
      </c>
    </row>
    <row r="81" spans="1:3" ht="20.100000000000001" customHeight="1">
      <c r="A81" s="13">
        <v>25</v>
      </c>
      <c r="B81" s="14" t="s">
        <v>416</v>
      </c>
      <c r="C81" s="21">
        <f>data!C325</f>
        <v>0</v>
      </c>
    </row>
    <row r="82" spans="1:3" ht="20.100000000000001" customHeight="1">
      <c r="A82" s="13">
        <v>26</v>
      </c>
      <c r="B82" s="14" t="s">
        <v>1137</v>
      </c>
      <c r="C82" s="21">
        <f>data!C326</f>
        <v>0</v>
      </c>
    </row>
    <row r="83" spans="1:3" ht="20.100000000000001" customHeight="1">
      <c r="A83" s="13">
        <v>27</v>
      </c>
      <c r="B83" s="14" t="s">
        <v>418</v>
      </c>
      <c r="C83" s="21">
        <f>data!C327</f>
        <v>54318.85</v>
      </c>
    </row>
    <row r="84" spans="1:3" ht="20.100000000000001" customHeight="1">
      <c r="A84" s="13">
        <v>28</v>
      </c>
      <c r="B84" s="14" t="s">
        <v>661</v>
      </c>
      <c r="C84" s="21">
        <f>data!D328</f>
        <v>54318.85</v>
      </c>
    </row>
    <row r="85" spans="1:3" ht="20.100000000000001" customHeight="1">
      <c r="A85" s="13">
        <v>29</v>
      </c>
      <c r="B85" s="14" t="s">
        <v>1138</v>
      </c>
      <c r="C85" s="21">
        <f>data!D329</f>
        <v>0</v>
      </c>
    </row>
    <row r="86" spans="1:3" ht="20.100000000000001" customHeight="1">
      <c r="A86" s="13">
        <v>30</v>
      </c>
      <c r="B86" s="14" t="s">
        <v>1139</v>
      </c>
      <c r="C86" s="21">
        <f>data!D330</f>
        <v>54318.85</v>
      </c>
    </row>
    <row r="87" spans="1:3" ht="20.100000000000001" customHeight="1">
      <c r="A87" s="13">
        <v>31</v>
      </c>
      <c r="B87" s="38"/>
      <c r="C87" s="24"/>
    </row>
    <row r="88" spans="1:3" ht="20.100000000000001" customHeight="1">
      <c r="A88" s="13">
        <v>32</v>
      </c>
      <c r="B88" s="89" t="s">
        <v>1140</v>
      </c>
      <c r="C88" s="21">
        <f>data!C332</f>
        <v>-24148440.580000017</v>
      </c>
    </row>
    <row r="89" spans="1:3" ht="20.100000000000001" customHeight="1">
      <c r="A89" s="13">
        <v>33</v>
      </c>
      <c r="B89" s="24"/>
      <c r="C89" s="24"/>
    </row>
    <row r="90" spans="1:3" ht="20.100000000000001" customHeight="1">
      <c r="A90" s="13">
        <v>34</v>
      </c>
      <c r="B90" s="37" t="s">
        <v>1141</v>
      </c>
      <c r="C90" s="36"/>
    </row>
    <row r="91" spans="1:3" ht="20.100000000000001" customHeight="1">
      <c r="A91" s="13">
        <v>35</v>
      </c>
      <c r="B91" s="14" t="s">
        <v>1142</v>
      </c>
      <c r="C91" s="21">
        <f>data!C334</f>
        <v>0</v>
      </c>
    </row>
    <row r="92" spans="1:3" ht="20.100000000000001" customHeight="1">
      <c r="A92" s="13">
        <v>36</v>
      </c>
      <c r="B92" s="38"/>
      <c r="C92" s="24"/>
    </row>
    <row r="93" spans="1:3" ht="20.100000000000001" customHeight="1">
      <c r="A93" s="13">
        <v>37</v>
      </c>
      <c r="B93" s="14" t="s">
        <v>1143</v>
      </c>
      <c r="C93" s="21">
        <f>data!C335</f>
        <v>0</v>
      </c>
    </row>
    <row r="94" spans="1:3" ht="20.100000000000001" customHeight="1">
      <c r="A94" s="13">
        <v>38</v>
      </c>
      <c r="B94" s="38"/>
      <c r="C94" s="24"/>
    </row>
    <row r="95" spans="1:3" ht="20.100000000000001" customHeight="1">
      <c r="A95" s="13">
        <v>39</v>
      </c>
      <c r="B95" s="14" t="s">
        <v>1144</v>
      </c>
      <c r="C95" s="21">
        <f>data!C336</f>
        <v>0</v>
      </c>
    </row>
    <row r="96" spans="1:3" ht="20.100000000000001" customHeight="1">
      <c r="A96" s="13">
        <v>40</v>
      </c>
      <c r="B96" s="38"/>
      <c r="C96" s="24"/>
    </row>
    <row r="97" spans="1:3" ht="20.100000000000001" customHeight="1">
      <c r="A97" s="13">
        <v>41</v>
      </c>
      <c r="B97" s="14" t="s">
        <v>1145</v>
      </c>
      <c r="C97" s="21">
        <f>data!C337</f>
        <v>0</v>
      </c>
    </row>
    <row r="98" spans="1:3" ht="20.100000000000001" customHeight="1">
      <c r="A98" s="13">
        <v>42</v>
      </c>
      <c r="B98" s="14" t="s">
        <v>1146</v>
      </c>
      <c r="C98" s="24"/>
    </row>
    <row r="99" spans="1:3" ht="20.100000000000001" customHeight="1">
      <c r="A99" s="13">
        <v>43</v>
      </c>
      <c r="B99" s="38"/>
      <c r="C99" s="24"/>
    </row>
    <row r="100" spans="1:3" ht="20.100000000000001" customHeight="1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>
      <c r="A101" s="13">
        <v>45</v>
      </c>
      <c r="B101" s="14" t="s">
        <v>1148</v>
      </c>
      <c r="C101" s="21">
        <f>data!C332+data!C334+data!C335+data!C336+data!C337-data!C338</f>
        <v>-24148440.580000017</v>
      </c>
    </row>
    <row r="102" spans="1:3" ht="20.100000000000001" customHeight="1">
      <c r="A102" s="13">
        <v>46</v>
      </c>
      <c r="B102" s="14" t="s">
        <v>1149</v>
      </c>
      <c r="C102" s="21">
        <f>data!D339</f>
        <v>262622585.75000003</v>
      </c>
    </row>
    <row r="103" spans="1:3" ht="20.100000000000001" customHeight="1"/>
    <row r="104" spans="1:3" ht="20.100000000000001" customHeight="1"/>
    <row r="105" spans="1:3" ht="20.100000000000001" customHeight="1">
      <c r="A105" s="4" t="s">
        <v>1150</v>
      </c>
      <c r="B105" s="5"/>
      <c r="C105" s="6"/>
    </row>
    <row r="106" spans="1:3" ht="20.100000000000001" customHeight="1">
      <c r="A106" s="45"/>
      <c r="B106" s="8"/>
      <c r="C106" s="167" t="s">
        <v>1151</v>
      </c>
    </row>
    <row r="107" spans="1:3" ht="20.100000000000001" customHeight="1">
      <c r="A107" s="29" t="str">
        <f>"HOSPITAL: "&amp;data!C84</f>
        <v>HOSPITAL: Deaconess Hospital - MultiCare Health Systems</v>
      </c>
      <c r="B107" s="30"/>
      <c r="C107" s="31" t="str">
        <f>" FYE: "&amp;data!C82</f>
        <v xml:space="preserve"> FYE: 12/31/2018</v>
      </c>
    </row>
    <row r="108" spans="1:3" ht="20.100000000000001" customHeight="1">
      <c r="A108" s="32"/>
      <c r="B108" s="46"/>
      <c r="C108" s="47"/>
    </row>
    <row r="109" spans="1:3" ht="20.100000000000001" customHeight="1">
      <c r="A109" s="13">
        <v>1</v>
      </c>
      <c r="B109" s="37" t="s">
        <v>1152</v>
      </c>
      <c r="C109" s="36"/>
    </row>
    <row r="110" spans="1:3" ht="20.100000000000001" customHeight="1">
      <c r="A110" s="13">
        <v>2</v>
      </c>
      <c r="B110" s="14" t="s">
        <v>428</v>
      </c>
      <c r="C110" s="21">
        <f>data!C359</f>
        <v>785563547.00999999</v>
      </c>
    </row>
    <row r="111" spans="1:3" ht="20.100000000000001" customHeight="1">
      <c r="A111" s="13">
        <v>3</v>
      </c>
      <c r="B111" s="14" t="s">
        <v>429</v>
      </c>
      <c r="C111" s="21">
        <f>data!C360</f>
        <v>699419515.96000004</v>
      </c>
    </row>
    <row r="112" spans="1:3" ht="20.100000000000001" customHeight="1">
      <c r="A112" s="13">
        <v>4</v>
      </c>
      <c r="B112" s="14" t="s">
        <v>1153</v>
      </c>
      <c r="C112" s="21">
        <f>data!D361</f>
        <v>1484983062.97</v>
      </c>
    </row>
    <row r="113" spans="1:3" ht="20.100000000000001" customHeight="1">
      <c r="A113" s="13">
        <v>5</v>
      </c>
      <c r="B113" s="38"/>
      <c r="C113" s="24"/>
    </row>
    <row r="114" spans="1:3" ht="20.100000000000001" customHeight="1">
      <c r="A114" s="13">
        <v>6</v>
      </c>
      <c r="B114" s="37" t="s">
        <v>1154</v>
      </c>
      <c r="C114" s="36"/>
    </row>
    <row r="115" spans="1:3" ht="20.100000000000001" customHeight="1">
      <c r="A115" s="13">
        <v>7</v>
      </c>
      <c r="B115" s="274" t="s">
        <v>450</v>
      </c>
      <c r="C115" s="48">
        <f>data!C363</f>
        <v>6795341.3299999982</v>
      </c>
    </row>
    <row r="116" spans="1:3" ht="20.100000000000001" customHeight="1">
      <c r="A116" s="13">
        <v>8</v>
      </c>
      <c r="B116" s="14" t="s">
        <v>432</v>
      </c>
      <c r="C116" s="48">
        <f>data!C364</f>
        <v>1196836176.6500001</v>
      </c>
    </row>
    <row r="117" spans="1:3" ht="20.100000000000001" customHeight="1">
      <c r="A117" s="13">
        <v>9</v>
      </c>
      <c r="B117" s="14" t="s">
        <v>1155</v>
      </c>
      <c r="C117" s="48">
        <f>data!C365</f>
        <v>10130812.51</v>
      </c>
    </row>
    <row r="118" spans="1:3" ht="20.100000000000001" customHeight="1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>
      <c r="A119" s="13">
        <v>11</v>
      </c>
      <c r="B119" s="14" t="s">
        <v>1099</v>
      </c>
      <c r="C119" s="48">
        <f>data!D367</f>
        <v>1213762330.49</v>
      </c>
    </row>
    <row r="120" spans="1:3" ht="20.100000000000001" customHeight="1">
      <c r="A120" s="13">
        <v>12</v>
      </c>
      <c r="B120" s="14" t="s">
        <v>1157</v>
      </c>
      <c r="C120" s="48">
        <f>data!D368</f>
        <v>271220732.48000002</v>
      </c>
    </row>
    <row r="121" spans="1:3" ht="20.100000000000001" customHeight="1">
      <c r="A121" s="13">
        <v>13</v>
      </c>
      <c r="B121" s="38"/>
      <c r="C121" s="24"/>
    </row>
    <row r="122" spans="1:3" ht="20.100000000000001" customHeight="1">
      <c r="A122" s="13">
        <v>14</v>
      </c>
      <c r="B122" s="37" t="s">
        <v>436</v>
      </c>
      <c r="C122" s="36"/>
    </row>
    <row r="123" spans="1:3" ht="20.100000000000001" customHeight="1">
      <c r="A123" s="13">
        <v>15</v>
      </c>
      <c r="B123" s="14" t="s">
        <v>437</v>
      </c>
      <c r="C123" s="48">
        <f>data!C370</f>
        <v>7763762.0700000003</v>
      </c>
    </row>
    <row r="124" spans="1:3" ht="20.100000000000001" customHeight="1">
      <c r="A124" s="13">
        <v>16</v>
      </c>
      <c r="B124" s="14" t="s">
        <v>438</v>
      </c>
      <c r="C124" s="48">
        <f>data!C371</f>
        <v>0</v>
      </c>
    </row>
    <row r="125" spans="1:3" ht="20.100000000000001" customHeight="1">
      <c r="A125" s="13">
        <v>17</v>
      </c>
      <c r="B125" s="14" t="s">
        <v>1158</v>
      </c>
      <c r="C125" s="48">
        <f>data!D372</f>
        <v>7763762.0700000003</v>
      </c>
    </row>
    <row r="126" spans="1:3" ht="20.100000000000001" customHeight="1">
      <c r="A126" s="13">
        <v>18</v>
      </c>
      <c r="B126" s="14" t="s">
        <v>1159</v>
      </c>
      <c r="C126" s="48">
        <f>data!D373</f>
        <v>278984494.55000001</v>
      </c>
    </row>
    <row r="127" spans="1:3" ht="20.100000000000001" customHeight="1">
      <c r="A127" s="13">
        <v>19</v>
      </c>
      <c r="B127" s="38"/>
      <c r="C127" s="24"/>
    </row>
    <row r="128" spans="1:3" ht="20.100000000000001" customHeight="1">
      <c r="A128" s="13">
        <v>20</v>
      </c>
      <c r="B128" s="37" t="s">
        <v>1160</v>
      </c>
      <c r="C128" s="36"/>
    </row>
    <row r="129" spans="1:3" ht="20.100000000000001" customHeight="1">
      <c r="A129" s="13">
        <v>21</v>
      </c>
      <c r="B129" s="14" t="s">
        <v>442</v>
      </c>
      <c r="C129" s="48">
        <f>data!C378</f>
        <v>103639434.38999999</v>
      </c>
    </row>
    <row r="130" spans="1:3" ht="20.100000000000001" customHeight="1">
      <c r="A130" s="13">
        <v>22</v>
      </c>
      <c r="B130" s="14" t="s">
        <v>3</v>
      </c>
      <c r="C130" s="48">
        <f>data!C379</f>
        <v>25773593.699999992</v>
      </c>
    </row>
    <row r="131" spans="1:3" ht="20.100000000000001" customHeight="1">
      <c r="A131" s="13">
        <v>23</v>
      </c>
      <c r="B131" s="14" t="s">
        <v>236</v>
      </c>
      <c r="C131" s="48">
        <f>data!C380</f>
        <v>17609161.609999999</v>
      </c>
    </row>
    <row r="132" spans="1:3" ht="20.100000000000001" customHeight="1">
      <c r="A132" s="13">
        <v>24</v>
      </c>
      <c r="B132" s="14" t="s">
        <v>237</v>
      </c>
      <c r="C132" s="48">
        <f>data!C381</f>
        <v>67163968.250000015</v>
      </c>
    </row>
    <row r="133" spans="1:3" ht="20.100000000000001" customHeight="1">
      <c r="A133" s="13">
        <v>25</v>
      </c>
      <c r="B133" s="14" t="s">
        <v>1161</v>
      </c>
      <c r="C133" s="48">
        <f>data!C382</f>
        <v>3388273.4499999997</v>
      </c>
    </row>
    <row r="134" spans="1:3" ht="20.100000000000001" customHeight="1">
      <c r="A134" s="13">
        <v>26</v>
      </c>
      <c r="B134" s="14" t="s">
        <v>1162</v>
      </c>
      <c r="C134" s="48">
        <f>data!C383</f>
        <v>33310914.109999999</v>
      </c>
    </row>
    <row r="135" spans="1:3" ht="20.100000000000001" customHeight="1">
      <c r="A135" s="13">
        <v>27</v>
      </c>
      <c r="B135" s="14" t="s">
        <v>6</v>
      </c>
      <c r="C135" s="48">
        <f>data!C384</f>
        <v>17658620.43</v>
      </c>
    </row>
    <row r="136" spans="1:3" ht="20.100000000000001" customHeight="1">
      <c r="A136" s="13">
        <v>28</v>
      </c>
      <c r="B136" s="14" t="s">
        <v>1163</v>
      </c>
      <c r="C136" s="48">
        <f>data!C385</f>
        <v>4488782.4399999985</v>
      </c>
    </row>
    <row r="137" spans="1:3" ht="20.100000000000001" customHeight="1">
      <c r="A137" s="13">
        <v>29</v>
      </c>
      <c r="B137" s="14" t="s">
        <v>447</v>
      </c>
      <c r="C137" s="48">
        <f>data!C386</f>
        <v>2622815.8800000008</v>
      </c>
    </row>
    <row r="138" spans="1:3" ht="20.100000000000001" customHeight="1">
      <c r="A138" s="13">
        <v>30</v>
      </c>
      <c r="B138" s="14" t="s">
        <v>1164</v>
      </c>
      <c r="C138" s="48">
        <f>data!C387</f>
        <v>7294682.7699999996</v>
      </c>
    </row>
    <row r="139" spans="1:3" ht="20.100000000000001" customHeight="1">
      <c r="A139" s="13">
        <v>31</v>
      </c>
      <c r="B139" s="14" t="s">
        <v>449</v>
      </c>
      <c r="C139" s="48">
        <f>data!C388</f>
        <v>5811909</v>
      </c>
    </row>
    <row r="140" spans="1:3" ht="20.100000000000001" customHeight="1">
      <c r="A140" s="13">
        <v>32</v>
      </c>
      <c r="B140" s="14" t="s">
        <v>241</v>
      </c>
      <c r="C140" s="48">
        <f>data!C389</f>
        <v>8204924.4799999986</v>
      </c>
    </row>
    <row r="141" spans="1:3" ht="20.100000000000001" customHeight="1">
      <c r="A141" s="13">
        <v>34</v>
      </c>
      <c r="B141" s="14" t="s">
        <v>1165</v>
      </c>
      <c r="C141" s="48">
        <f>data!D390</f>
        <v>296967080.50999999</v>
      </c>
    </row>
    <row r="142" spans="1:3" ht="20.100000000000001" customHeight="1">
      <c r="A142" s="13">
        <v>35</v>
      </c>
      <c r="B142" s="14" t="s">
        <v>1166</v>
      </c>
      <c r="C142" s="48">
        <f>data!D391</f>
        <v>-17982585.959999979</v>
      </c>
    </row>
    <row r="143" spans="1:3" ht="20.100000000000001" customHeight="1">
      <c r="A143" s="13">
        <v>36</v>
      </c>
      <c r="B143" s="38"/>
      <c r="C143" s="24"/>
    </row>
    <row r="144" spans="1:3" ht="20.100000000000001" customHeight="1">
      <c r="A144" s="13">
        <v>37</v>
      </c>
      <c r="B144" s="14" t="s">
        <v>1167</v>
      </c>
      <c r="C144" s="48">
        <f>data!C392</f>
        <v>-7907951.2599999998</v>
      </c>
    </row>
    <row r="145" spans="1:3" ht="20.100000000000001" customHeight="1">
      <c r="A145" s="13">
        <v>38</v>
      </c>
      <c r="B145" s="38"/>
      <c r="C145" s="24"/>
    </row>
    <row r="146" spans="1:3" ht="20.100000000000001" customHeight="1">
      <c r="A146" s="13">
        <v>39</v>
      </c>
      <c r="B146" s="14" t="s">
        <v>1168</v>
      </c>
      <c r="C146" s="21">
        <f>data!D393</f>
        <v>-25890537.219999976</v>
      </c>
    </row>
    <row r="147" spans="1:3" ht="20.100000000000001" customHeight="1">
      <c r="A147" s="13">
        <v>40</v>
      </c>
      <c r="B147" s="38"/>
      <c r="C147" s="24"/>
    </row>
    <row r="148" spans="1:3" ht="20.100000000000001" customHeight="1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>
      <c r="A150" s="13">
        <v>43</v>
      </c>
      <c r="B150" s="38"/>
      <c r="C150" s="24"/>
    </row>
    <row r="151" spans="1:3" ht="20.100000000000001" customHeight="1">
      <c r="A151" s="13">
        <v>44</v>
      </c>
      <c r="B151" s="14" t="s">
        <v>1171</v>
      </c>
      <c r="C151" s="48">
        <f>data!D396</f>
        <v>-25890537.219999976</v>
      </c>
    </row>
    <row r="152" spans="1:3" ht="20.100000000000001" customHeight="1">
      <c r="A152" s="40">
        <v>45</v>
      </c>
      <c r="B152" s="49" t="s">
        <v>1172</v>
      </c>
      <c r="C152" s="24"/>
    </row>
    <row r="153" spans="1:3" ht="20.100000000000001" customHeight="1">
      <c r="A153" s="69"/>
      <c r="B153" s="50"/>
      <c r="C153" s="51"/>
    </row>
  </sheetData>
  <customSheetViews>
    <customSheetView guid="{D74B16BB-9BDF-4AEC-AA99-B864B9498389}" scale="75" showGridLines="0" fitToPage="1" topLeftCell="A79">
      <selection activeCell="C88" sqref="C88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5" fitToHeight="3" orientation="portrait" r:id="rId1"/>
      <headerFooter alignWithMargins="0"/>
    </customSheetView>
    <customSheetView guid="{78E778D5-69A8-4E35-B0F3-6D26A1845557}" scale="75" showGridLines="0" fitToPage="1" topLeftCell="A94">
      <selection activeCell="C115" sqref="C115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0" fitToHeight="3" orientation="portrait" r:id="rId2"/>
      <headerFooter alignWithMargins="0"/>
    </customSheetView>
    <customSheetView guid="{783D34AB-F88A-4C40-8B8F-D04647EC64BD}" scale="75" showGridLines="0" fitToPage="1" topLeftCell="A94">
      <selection activeCell="C115" sqref="C115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0" fitToHeight="3" orientation="portrait" r:id="rId3"/>
      <headerFooter alignWithMargins="0"/>
    </customSheetView>
    <customSheetView guid="{D74738EB-3446-4A41-91B2-3626AA7FCC94}" scale="75" showGridLines="0" fitToPage="1" topLeftCell="A94">
      <selection activeCell="C115" sqref="C115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0" fitToHeight="3" orientation="portrait" r:id="rId4"/>
      <headerFooter alignWithMargins="0"/>
    </customSheetView>
    <customSheetView guid="{37DA5E57-E52E-47A3-B98A-9CAA60A4BD45}" scale="75" showGridLines="0" fitToPage="1" topLeftCell="A79">
      <selection activeCell="C88" sqref="C88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5" fitToHeight="3" orientation="portrait" r:id="rId5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75" fitToHeight="3" orientation="portrait" r:id="rId6"/>
  <headerFooter alignWithMargins="0"/>
  <rowBreaks count="2" manualBreakCount="2">
    <brk id="50" max="65535" man="1"/>
    <brk id="101" max="6553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43" zoomScale="65" workbookViewId="0">
      <selection activeCell="H169" sqref="H169"/>
    </sheetView>
  </sheetViews>
  <sheetFormatPr defaultColWidth="8.9140625" defaultRowHeight="20.100000000000001" customHeight="1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>
      <c r="A4" s="79" t="str">
        <f>"HOSPITAL NAME: "&amp;data!C84</f>
        <v>HOSPITAL NAME: Deaconess Hospital - MultiCare Health Systems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>
      <c r="A9" s="23">
        <v>4</v>
      </c>
      <c r="B9" s="14" t="s">
        <v>233</v>
      </c>
      <c r="C9" s="14">
        <f>data!C59</f>
        <v>8755</v>
      </c>
      <c r="D9" s="14">
        <f>data!D59</f>
        <v>17572</v>
      </c>
      <c r="E9" s="14">
        <f>data!E59</f>
        <v>23085</v>
      </c>
      <c r="F9" s="14">
        <f>data!F59</f>
        <v>4308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>
      <c r="A10" s="23">
        <v>5</v>
      </c>
      <c r="B10" s="14" t="s">
        <v>234</v>
      </c>
      <c r="C10" s="26">
        <f>data!C60</f>
        <v>93.367443150685091</v>
      </c>
      <c r="D10" s="26">
        <f>data!D60</f>
        <v>105.55631301369881</v>
      </c>
      <c r="E10" s="26">
        <f>data!E60</f>
        <v>130.17418630137004</v>
      </c>
      <c r="F10" s="26">
        <f>data!F60</f>
        <v>23.29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>
      <c r="A11" s="23">
        <v>6</v>
      </c>
      <c r="B11" s="14" t="s">
        <v>235</v>
      </c>
      <c r="C11" s="14">
        <f>data!C61</f>
        <v>9319605.3899999987</v>
      </c>
      <c r="D11" s="14">
        <f>data!D61</f>
        <v>8042311.0599999996</v>
      </c>
      <c r="E11" s="14">
        <f>data!E61</f>
        <v>9900373.3500000015</v>
      </c>
      <c r="F11" s="14">
        <f>data!F61</f>
        <v>2061134.5299999998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>
      <c r="A12" s="23">
        <v>7</v>
      </c>
      <c r="B12" s="14" t="s">
        <v>3</v>
      </c>
      <c r="C12" s="14">
        <f>data!C62</f>
        <v>867641</v>
      </c>
      <c r="D12" s="14">
        <f>data!D62</f>
        <v>695365</v>
      </c>
      <c r="E12" s="14">
        <f>data!E62</f>
        <v>795840</v>
      </c>
      <c r="F12" s="14">
        <f>data!F62</f>
        <v>177746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>
      <c r="A13" s="23">
        <v>8</v>
      </c>
      <c r="B13" s="14" t="s">
        <v>236</v>
      </c>
      <c r="C13" s="14">
        <f>data!C63</f>
        <v>1131994.75</v>
      </c>
      <c r="D13" s="14">
        <f>data!D63</f>
        <v>150</v>
      </c>
      <c r="E13" s="14">
        <f>data!E63</f>
        <v>450</v>
      </c>
      <c r="F13" s="14">
        <f>data!F63</f>
        <v>1263600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>
      <c r="A14" s="23">
        <v>9</v>
      </c>
      <c r="B14" s="14" t="s">
        <v>237</v>
      </c>
      <c r="C14" s="14">
        <f>data!C64</f>
        <v>1055010.1499999999</v>
      </c>
      <c r="D14" s="14">
        <f>data!D64</f>
        <v>783656.46</v>
      </c>
      <c r="E14" s="14">
        <f>data!E64</f>
        <v>1059869.6599999999</v>
      </c>
      <c r="F14" s="14">
        <f>data!F64</f>
        <v>125917.24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>
      <c r="A16" s="23">
        <v>11</v>
      </c>
      <c r="B16" s="14" t="s">
        <v>445</v>
      </c>
      <c r="C16" s="14">
        <f>data!C66</f>
        <v>24382.240000000002</v>
      </c>
      <c r="D16" s="14">
        <f>data!D66</f>
        <v>55106.149999999994</v>
      </c>
      <c r="E16" s="14">
        <f>data!E66</f>
        <v>17969.82</v>
      </c>
      <c r="F16" s="14">
        <f>data!F66</f>
        <v>2032.42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>
      <c r="A17" s="23">
        <v>12</v>
      </c>
      <c r="B17" s="14" t="s">
        <v>6</v>
      </c>
      <c r="C17" s="14">
        <f>data!C67</f>
        <v>275316</v>
      </c>
      <c r="D17" s="14">
        <f>data!D67</f>
        <v>157644</v>
      </c>
      <c r="E17" s="14">
        <f>data!E67</f>
        <v>820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>
      <c r="A18" s="23">
        <v>13</v>
      </c>
      <c r="B18" s="14" t="s">
        <v>474</v>
      </c>
      <c r="C18" s="14">
        <f>data!C68</f>
        <v>27818.93</v>
      </c>
      <c r="D18" s="14">
        <f>data!D68</f>
        <v>119328.73000000001</v>
      </c>
      <c r="E18" s="14">
        <f>data!E68</f>
        <v>139926.49999999997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>
      <c r="A19" s="23">
        <v>14</v>
      </c>
      <c r="B19" s="14" t="s">
        <v>241</v>
      </c>
      <c r="C19" s="14">
        <f>data!C69</f>
        <v>58041.440000000002</v>
      </c>
      <c r="D19" s="14">
        <f>data!D69</f>
        <v>5528.27</v>
      </c>
      <c r="E19" s="14">
        <f>data!E69</f>
        <v>53851.76</v>
      </c>
      <c r="F19" s="14">
        <f>data!F69</f>
        <v>11216.740000000002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>
      <c r="A21" s="23">
        <v>16</v>
      </c>
      <c r="B21" s="48" t="s">
        <v>1180</v>
      </c>
      <c r="C21" s="14">
        <f>data!C71</f>
        <v>12759809.899999999</v>
      </c>
      <c r="D21" s="14">
        <f>data!D71</f>
        <v>9859089.6699999999</v>
      </c>
      <c r="E21" s="14">
        <f>data!E71</f>
        <v>11969101.090000002</v>
      </c>
      <c r="F21" s="14">
        <f>data!F71</f>
        <v>3641646.93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>
      <c r="A23" s="23">
        <v>18</v>
      </c>
      <c r="B23" s="14" t="s">
        <v>1181</v>
      </c>
      <c r="C23" s="48">
        <f>+data!M668</f>
        <v>7169849</v>
      </c>
      <c r="D23" s="48">
        <f>+data!M669</f>
        <v>8315239</v>
      </c>
      <c r="E23" s="48">
        <f>+data!M670</f>
        <v>12329021</v>
      </c>
      <c r="F23" s="48">
        <f>+data!M671</f>
        <v>1700718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>
      <c r="A24" s="23">
        <v>19</v>
      </c>
      <c r="B24" s="48" t="s">
        <v>1182</v>
      </c>
      <c r="C24" s="14">
        <f>data!C73</f>
        <v>37976249.510000005</v>
      </c>
      <c r="D24" s="14">
        <f>data!D73</f>
        <v>39795720.860000007</v>
      </c>
      <c r="E24" s="14">
        <f>data!E73</f>
        <v>44092797</v>
      </c>
      <c r="F24" s="14">
        <f>data!F73</f>
        <v>8662464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>
      <c r="A25" s="23">
        <v>20</v>
      </c>
      <c r="B25" s="48" t="s">
        <v>1183</v>
      </c>
      <c r="C25" s="14">
        <f>data!C74</f>
        <v>879812</v>
      </c>
      <c r="D25" s="14">
        <f>data!D74</f>
        <v>7850792.7299999995</v>
      </c>
      <c r="E25" s="14">
        <f>data!E74</f>
        <v>6138586</v>
      </c>
      <c r="F25" s="14">
        <f>data!F74</f>
        <v>158194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>
      <c r="A26" s="23">
        <v>21</v>
      </c>
      <c r="B26" s="48" t="s">
        <v>1184</v>
      </c>
      <c r="C26" s="14">
        <f>data!C75</f>
        <v>38856061.510000005</v>
      </c>
      <c r="D26" s="14">
        <f>data!D75</f>
        <v>47646513.590000004</v>
      </c>
      <c r="E26" s="14">
        <f>data!E75</f>
        <v>50231383</v>
      </c>
      <c r="F26" s="14">
        <f>data!F75</f>
        <v>8820658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>
      <c r="A28" s="23">
        <v>22</v>
      </c>
      <c r="B28" s="14" t="s">
        <v>1186</v>
      </c>
      <c r="C28" s="14">
        <f>data!C76</f>
        <v>33795</v>
      </c>
      <c r="D28" s="14">
        <f>data!D76</f>
        <v>7529</v>
      </c>
      <c r="E28" s="14">
        <f>data!E76</f>
        <v>88391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>
      <c r="A29" s="23">
        <v>23</v>
      </c>
      <c r="B29" s="14" t="s">
        <v>1187</v>
      </c>
      <c r="C29" s="14">
        <f>data!C77</f>
        <v>8354</v>
      </c>
      <c r="D29" s="14">
        <f>data!D77</f>
        <v>50619</v>
      </c>
      <c r="E29" s="14">
        <f>data!E77</f>
        <v>43434</v>
      </c>
      <c r="F29" s="14">
        <f>data!F77</f>
        <v>8960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>
      <c r="A30" s="23">
        <v>24</v>
      </c>
      <c r="B30" s="14" t="s">
        <v>1188</v>
      </c>
      <c r="C30" s="14">
        <f>data!C78</f>
        <v>7828.3869516731347</v>
      </c>
      <c r="D30" s="14">
        <f>data!D78</f>
        <v>1744.0427684316328</v>
      </c>
      <c r="E30" s="14">
        <f>data!E78</f>
        <v>20475.187188795386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>
      <c r="A31" s="23">
        <v>25</v>
      </c>
      <c r="B31" s="14" t="s">
        <v>1189</v>
      </c>
      <c r="C31" s="14">
        <f>data!C79</f>
        <v>106724.43900000001</v>
      </c>
      <c r="D31" s="14">
        <f>data!D79</f>
        <v>131472.13500000001</v>
      </c>
      <c r="E31" s="14">
        <f>data!E79</f>
        <v>651173.75099999993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>
      <c r="A32" s="23">
        <v>26</v>
      </c>
      <c r="B32" s="14" t="s">
        <v>252</v>
      </c>
      <c r="C32" s="84">
        <f>data!C80</f>
        <v>41.390421445205561</v>
      </c>
      <c r="D32" s="84">
        <f>data!D80</f>
        <v>65.14492418767135</v>
      </c>
      <c r="E32" s="84">
        <f>data!E80</f>
        <v>94.298177553424836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>
      <c r="A36" s="79" t="str">
        <f>"HOSPITAL NAME: "&amp;data!C84</f>
        <v>HOSPITAL NAME: Deaconess Hospital - MultiCare Health Systems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936</v>
      </c>
      <c r="H41" s="14">
        <f>data!O59</f>
        <v>1329</v>
      </c>
      <c r="I41" s="14">
        <f>data!P59</f>
        <v>1457858</v>
      </c>
    </row>
    <row r="42" spans="1:9" ht="20.100000000000001" customHeight="1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9.0945630136986431</v>
      </c>
      <c r="H42" s="26">
        <f>data!O60</f>
        <v>34.049999999999997</v>
      </c>
      <c r="I42" s="26">
        <f>data!P60</f>
        <v>140.6724890410961</v>
      </c>
    </row>
    <row r="43" spans="1:9" ht="20.100000000000001" customHeight="1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395854.65</v>
      </c>
      <c r="H43" s="14">
        <f>data!O61</f>
        <v>3040598.18</v>
      </c>
      <c r="I43" s="14">
        <f>data!P61</f>
        <v>10304223.77</v>
      </c>
    </row>
    <row r="44" spans="1:9" ht="20.100000000000001" customHeight="1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31575</v>
      </c>
      <c r="H44" s="14">
        <f>data!O62</f>
        <v>283233</v>
      </c>
      <c r="I44" s="14">
        <f>data!P62</f>
        <v>954859</v>
      </c>
    </row>
    <row r="45" spans="1:9" ht="20.100000000000001" customHeight="1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11830.5</v>
      </c>
      <c r="I45" s="14">
        <f>data!P63</f>
        <v>950255.42999999993</v>
      </c>
    </row>
    <row r="46" spans="1:9" ht="20.100000000000001" customHeight="1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12972.949999999997</v>
      </c>
      <c r="H46" s="14">
        <f>data!O64</f>
        <v>447959.58999999997</v>
      </c>
      <c r="I46" s="14">
        <f>data!P64</f>
        <v>26426430.109999999</v>
      </c>
    </row>
    <row r="47" spans="1:9" ht="20.100000000000001" customHeight="1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-6366.8199999999979</v>
      </c>
      <c r="H48" s="14">
        <f>data!O66</f>
        <v>184882.87</v>
      </c>
      <c r="I48" s="14">
        <f>data!P66</f>
        <v>2252189.98</v>
      </c>
    </row>
    <row r="49" spans="1:9" ht="20.100000000000001" customHeight="1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179009</v>
      </c>
      <c r="I49" s="14">
        <f>data!P67</f>
        <v>2467232</v>
      </c>
    </row>
    <row r="50" spans="1:9" ht="20.100000000000001" customHeight="1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1325618.29</v>
      </c>
    </row>
    <row r="51" spans="1:9" ht="20.100000000000001" customHeight="1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2752.14</v>
      </c>
      <c r="I51" s="14">
        <f>data!P69</f>
        <v>43766.27</v>
      </c>
    </row>
    <row r="52" spans="1:9" ht="20.100000000000001" customHeight="1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434035.78</v>
      </c>
      <c r="H53" s="14">
        <f>data!O71</f>
        <v>4150265.2800000003</v>
      </c>
      <c r="I53" s="14">
        <f>data!P71</f>
        <v>44724574.850000001</v>
      </c>
    </row>
    <row r="54" spans="1:9" ht="20.100000000000001" customHeight="1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139209</v>
      </c>
      <c r="H55" s="48">
        <f>+data!M680</f>
        <v>2948370</v>
      </c>
      <c r="I55" s="48">
        <f>+data!M681</f>
        <v>24586555</v>
      </c>
    </row>
    <row r="56" spans="1:9" ht="20.100000000000001" customHeight="1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16254088</v>
      </c>
      <c r="I56" s="14">
        <f>data!P73</f>
        <v>236928546</v>
      </c>
    </row>
    <row r="57" spans="1:9" ht="20.100000000000001" customHeight="1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1899207</v>
      </c>
      <c r="I57" s="14">
        <f>data!P74</f>
        <v>171069458.00999999</v>
      </c>
    </row>
    <row r="58" spans="1:9" ht="20.100000000000001" customHeight="1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18153295</v>
      </c>
      <c r="I58" s="14">
        <f>data!P75</f>
        <v>407998004.00999999</v>
      </c>
    </row>
    <row r="59" spans="1:9" ht="20.100000000000001" customHeight="1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9596</v>
      </c>
      <c r="I60" s="14">
        <f>data!P76</f>
        <v>41677</v>
      </c>
    </row>
    <row r="61" spans="1:9" ht="20.100000000000001" customHeight="1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3900</v>
      </c>
      <c r="I61" s="14">
        <f>data!P77</f>
        <v>22238</v>
      </c>
    </row>
    <row r="62" spans="1:9" ht="20.100000000000001" customHeight="1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2222.8495691154135</v>
      </c>
      <c r="I62" s="14">
        <f>data!P78</f>
        <v>9654.1998220115765</v>
      </c>
    </row>
    <row r="63" spans="1:9" ht="20.100000000000001" customHeight="1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40215.006000000001</v>
      </c>
      <c r="I63" s="14">
        <f>data!P79</f>
        <v>454738.91399999999</v>
      </c>
    </row>
    <row r="64" spans="1:9" ht="20.100000000000001" customHeight="1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32.752420447945269</v>
      </c>
      <c r="I64" s="26">
        <f>data!P80</f>
        <v>29.873086782191837</v>
      </c>
    </row>
    <row r="65" spans="1:9" ht="20.100000000000001" customHeight="1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>
      <c r="A68" s="79" t="str">
        <f>"HOSPITAL NAME: "&amp;data!C84</f>
        <v>HOSPITAL NAME: Deaconess Hospital - MultiCare Health Systems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>
      <c r="A73" s="23">
        <v>4</v>
      </c>
      <c r="B73" s="14" t="s">
        <v>233</v>
      </c>
      <c r="C73" s="14">
        <f>data!Q59</f>
        <v>999457.39436619717</v>
      </c>
      <c r="D73" s="48">
        <f>data!R59</f>
        <v>1562437</v>
      </c>
      <c r="E73" s="212"/>
      <c r="F73" s="212"/>
      <c r="G73" s="14">
        <f>data!U59</f>
        <v>709344</v>
      </c>
      <c r="H73" s="14">
        <f>data!V59</f>
        <v>14084</v>
      </c>
      <c r="I73" s="14">
        <f>data!W59</f>
        <v>35154.795070422537</v>
      </c>
    </row>
    <row r="74" spans="1:9" ht="20.100000000000001" customHeight="1">
      <c r="A74" s="23">
        <v>5</v>
      </c>
      <c r="B74" s="14" t="s">
        <v>234</v>
      </c>
      <c r="C74" s="26">
        <f>data!Q60</f>
        <v>18.576935616438384</v>
      </c>
      <c r="D74" s="26">
        <f>data!R60</f>
        <v>5.5466513698630227</v>
      </c>
      <c r="E74" s="26">
        <f>data!S60</f>
        <v>19.420000000000002</v>
      </c>
      <c r="F74" s="26">
        <f>data!T60</f>
        <v>3.08</v>
      </c>
      <c r="G74" s="26">
        <f>data!U60</f>
        <v>57.35</v>
      </c>
      <c r="H74" s="26">
        <f>data!V60</f>
        <v>3.91</v>
      </c>
      <c r="I74" s="26">
        <f>data!W60</f>
        <v>6.7599527397260371</v>
      </c>
    </row>
    <row r="75" spans="1:9" ht="20.100000000000001" customHeight="1">
      <c r="A75" s="23">
        <v>6</v>
      </c>
      <c r="B75" s="14" t="s">
        <v>235</v>
      </c>
      <c r="C75" s="14">
        <f>data!Q61</f>
        <v>1875226.8699999999</v>
      </c>
      <c r="D75" s="14">
        <f>data!R61</f>
        <v>188387.20999999996</v>
      </c>
      <c r="E75" s="14">
        <f>data!S61</f>
        <v>901269.79</v>
      </c>
      <c r="F75" s="14">
        <f>data!T61</f>
        <v>335861.66000000003</v>
      </c>
      <c r="G75" s="14">
        <f>data!U61</f>
        <v>3758174.75</v>
      </c>
      <c r="H75" s="14">
        <f>data!V61</f>
        <v>179917.56</v>
      </c>
      <c r="I75" s="14">
        <f>data!W61</f>
        <v>541731.2300000001</v>
      </c>
    </row>
    <row r="76" spans="1:9" ht="20.100000000000001" customHeight="1">
      <c r="A76" s="23">
        <v>7</v>
      </c>
      <c r="B76" s="14" t="s">
        <v>3</v>
      </c>
      <c r="C76" s="14">
        <f>data!Q62</f>
        <v>163666</v>
      </c>
      <c r="D76" s="14">
        <f>data!R62</f>
        <v>17121</v>
      </c>
      <c r="E76" s="14">
        <f>data!S62</f>
        <v>80685</v>
      </c>
      <c r="F76" s="14">
        <f>data!T62</f>
        <v>33394</v>
      </c>
      <c r="G76" s="14">
        <f>data!U62</f>
        <v>317929</v>
      </c>
      <c r="H76" s="14">
        <f>data!V62</f>
        <v>14355</v>
      </c>
      <c r="I76" s="14">
        <f>data!W62</f>
        <v>49649</v>
      </c>
    </row>
    <row r="77" spans="1:9" ht="20.100000000000001" customHeight="1">
      <c r="A77" s="23">
        <v>8</v>
      </c>
      <c r="B77" s="14" t="s">
        <v>236</v>
      </c>
      <c r="C77" s="14">
        <f>data!Q63</f>
        <v>0</v>
      </c>
      <c r="D77" s="14">
        <f>data!R63</f>
        <v>2572170.5099999998</v>
      </c>
      <c r="E77" s="14">
        <f>data!S63</f>
        <v>0</v>
      </c>
      <c r="F77" s="14">
        <f>data!T63</f>
        <v>0</v>
      </c>
      <c r="G77" s="14">
        <f>data!U63</f>
        <v>15375.78</v>
      </c>
      <c r="H77" s="14">
        <f>data!V63</f>
        <v>7750</v>
      </c>
      <c r="I77" s="14">
        <f>data!W63</f>
        <v>5200</v>
      </c>
    </row>
    <row r="78" spans="1:9" ht="20.100000000000001" customHeight="1">
      <c r="A78" s="23">
        <v>9</v>
      </c>
      <c r="B78" s="14" t="s">
        <v>237</v>
      </c>
      <c r="C78" s="14">
        <f>data!Q64</f>
        <v>244402.91000000003</v>
      </c>
      <c r="D78" s="14">
        <f>data!R64</f>
        <v>643067.25</v>
      </c>
      <c r="E78" s="14">
        <f>data!S64</f>
        <v>504958.31</v>
      </c>
      <c r="F78" s="14">
        <f>data!T64</f>
        <v>264893.27</v>
      </c>
      <c r="G78" s="14">
        <f>data!U64</f>
        <v>3786335.92</v>
      </c>
      <c r="H78" s="14">
        <f>data!V64</f>
        <v>3196.4700000000007</v>
      </c>
      <c r="I78" s="14">
        <f>data!W64</f>
        <v>24722.06</v>
      </c>
    </row>
    <row r="79" spans="1:9" ht="20.100000000000001" customHeight="1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>
      <c r="A80" s="23">
        <v>11</v>
      </c>
      <c r="B80" s="14" t="s">
        <v>445</v>
      </c>
      <c r="C80" s="14">
        <f>data!Q66</f>
        <v>10483.530000000001</v>
      </c>
      <c r="D80" s="14">
        <f>data!R66</f>
        <v>19305.289999999997</v>
      </c>
      <c r="E80" s="14">
        <f>data!S66</f>
        <v>123291.30999999997</v>
      </c>
      <c r="F80" s="14">
        <f>data!T66</f>
        <v>-150.73999999999998</v>
      </c>
      <c r="G80" s="14">
        <f>data!U66</f>
        <v>621667.94999999995</v>
      </c>
      <c r="H80" s="14">
        <f>data!V66</f>
        <v>1698.55</v>
      </c>
      <c r="I80" s="14">
        <f>data!W66</f>
        <v>288310.06</v>
      </c>
    </row>
    <row r="81" spans="1:9" ht="20.100000000000001" customHeight="1">
      <c r="A81" s="23">
        <v>12</v>
      </c>
      <c r="B81" s="14" t="s">
        <v>6</v>
      </c>
      <c r="C81" s="14">
        <f>data!Q67</f>
        <v>7012</v>
      </c>
      <c r="D81" s="14">
        <f>data!R67</f>
        <v>309929</v>
      </c>
      <c r="E81" s="14">
        <f>data!S67</f>
        <v>19243</v>
      </c>
      <c r="F81" s="14">
        <f>data!T67</f>
        <v>0</v>
      </c>
      <c r="G81" s="14">
        <f>data!U67</f>
        <v>85007</v>
      </c>
      <c r="H81" s="14">
        <f>data!V67</f>
        <v>0</v>
      </c>
      <c r="I81" s="14">
        <f>data!W67</f>
        <v>152960</v>
      </c>
    </row>
    <row r="82" spans="1:9" ht="20.100000000000001" customHeight="1">
      <c r="A82" s="23">
        <v>13</v>
      </c>
      <c r="B82" s="14" t="s">
        <v>474</v>
      </c>
      <c r="C82" s="14">
        <f>data!Q68</f>
        <v>456.96</v>
      </c>
      <c r="D82" s="14">
        <f>data!R68</f>
        <v>0</v>
      </c>
      <c r="E82" s="14">
        <f>data!S68</f>
        <v>25309.15</v>
      </c>
      <c r="F82" s="14">
        <f>data!T68</f>
        <v>0</v>
      </c>
      <c r="G82" s="14">
        <f>data!U68</f>
        <v>134883.91</v>
      </c>
      <c r="H82" s="14">
        <f>data!V68</f>
        <v>0</v>
      </c>
      <c r="I82" s="14">
        <f>data!W68</f>
        <v>0</v>
      </c>
    </row>
    <row r="83" spans="1:9" ht="20.100000000000001" customHeight="1">
      <c r="A83" s="23">
        <v>14</v>
      </c>
      <c r="B83" s="14" t="s">
        <v>241</v>
      </c>
      <c r="C83" s="14">
        <f>data!Q69</f>
        <v>5255</v>
      </c>
      <c r="D83" s="14">
        <f>data!R69</f>
        <v>12225.19</v>
      </c>
      <c r="E83" s="14">
        <f>data!S69</f>
        <v>0</v>
      </c>
      <c r="F83" s="14">
        <f>data!T69</f>
        <v>93.13</v>
      </c>
      <c r="G83" s="14">
        <f>data!U69</f>
        <v>33029.919999999998</v>
      </c>
      <c r="H83" s="14">
        <f>data!V69</f>
        <v>366.79999999999995</v>
      </c>
      <c r="I83" s="14">
        <f>data!W69</f>
        <v>33.71</v>
      </c>
    </row>
    <row r="84" spans="1:9" ht="20.100000000000001" customHeight="1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>
      <c r="A85" s="23">
        <v>16</v>
      </c>
      <c r="B85" s="48" t="s">
        <v>1180</v>
      </c>
      <c r="C85" s="14">
        <f>data!Q71</f>
        <v>2306503.2699999996</v>
      </c>
      <c r="D85" s="14">
        <f>data!R71</f>
        <v>3762205.4499999997</v>
      </c>
      <c r="E85" s="14">
        <f>data!S71</f>
        <v>1654756.56</v>
      </c>
      <c r="F85" s="14">
        <f>data!T71</f>
        <v>634091.32000000007</v>
      </c>
      <c r="G85" s="14">
        <f>data!U71</f>
        <v>8752404.2299999986</v>
      </c>
      <c r="H85" s="14">
        <f>data!V71</f>
        <v>207284.37999999998</v>
      </c>
      <c r="I85" s="14">
        <f>data!W71</f>
        <v>1062606.06</v>
      </c>
    </row>
    <row r="86" spans="1:9" ht="20.100000000000001" customHeight="1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>
      <c r="A87" s="23">
        <v>18</v>
      </c>
      <c r="B87" s="14" t="s">
        <v>1181</v>
      </c>
      <c r="C87" s="48">
        <f>+data!M682</f>
        <v>1446538</v>
      </c>
      <c r="D87" s="48">
        <f>+data!M683</f>
        <v>1956625</v>
      </c>
      <c r="E87" s="48">
        <f>+data!M684</f>
        <v>1032641</v>
      </c>
      <c r="F87" s="48">
        <f>+data!M685</f>
        <v>416213</v>
      </c>
      <c r="G87" s="48">
        <f>+data!M686</f>
        <v>4900243</v>
      </c>
      <c r="H87" s="48">
        <f>+data!M687</f>
        <v>471052</v>
      </c>
      <c r="I87" s="48">
        <f>+data!M688</f>
        <v>841560</v>
      </c>
    </row>
    <row r="88" spans="1:9" ht="20.100000000000001" customHeight="1">
      <c r="A88" s="23">
        <v>19</v>
      </c>
      <c r="B88" s="48" t="s">
        <v>1182</v>
      </c>
      <c r="C88" s="14">
        <f>data!Q73</f>
        <v>8935569</v>
      </c>
      <c r="D88" s="14">
        <f>data!R73</f>
        <v>13973584.999999998</v>
      </c>
      <c r="E88" s="14">
        <f>data!S73</f>
        <v>0</v>
      </c>
      <c r="F88" s="14">
        <f>data!T73</f>
        <v>5567567.9999999991</v>
      </c>
      <c r="G88" s="14">
        <f>data!U73</f>
        <v>53193594.559999995</v>
      </c>
      <c r="H88" s="14">
        <f>data!V73</f>
        <v>1072373</v>
      </c>
      <c r="I88" s="14">
        <f>data!W73</f>
        <v>6096553</v>
      </c>
    </row>
    <row r="89" spans="1:9" ht="20.100000000000001" customHeight="1">
      <c r="A89" s="23">
        <v>20</v>
      </c>
      <c r="B89" s="48" t="s">
        <v>1183</v>
      </c>
      <c r="C89" s="14">
        <f>data!Q74</f>
        <v>14716683</v>
      </c>
      <c r="D89" s="14">
        <f>data!R74</f>
        <v>12837283</v>
      </c>
      <c r="E89" s="14">
        <f>data!S74</f>
        <v>0</v>
      </c>
      <c r="F89" s="14">
        <f>data!T74</f>
        <v>155812</v>
      </c>
      <c r="G89" s="14">
        <f>data!U74</f>
        <v>43451447.710000001</v>
      </c>
      <c r="H89" s="14">
        <f>data!V74</f>
        <v>1048603.76</v>
      </c>
      <c r="I89" s="14">
        <f>data!W74</f>
        <v>15219716</v>
      </c>
    </row>
    <row r="90" spans="1:9" ht="20.100000000000001" customHeight="1">
      <c r="A90" s="23">
        <v>21</v>
      </c>
      <c r="B90" s="48" t="s">
        <v>1184</v>
      </c>
      <c r="C90" s="14">
        <f>data!Q75</f>
        <v>23652252</v>
      </c>
      <c r="D90" s="14">
        <f>data!R75</f>
        <v>26810868</v>
      </c>
      <c r="E90" s="14">
        <f>data!S75</f>
        <v>0</v>
      </c>
      <c r="F90" s="14">
        <f>data!T75</f>
        <v>5723379.9999999991</v>
      </c>
      <c r="G90" s="14">
        <f>data!U75</f>
        <v>96645042.269999996</v>
      </c>
      <c r="H90" s="14">
        <f>data!V75</f>
        <v>2120976.7599999998</v>
      </c>
      <c r="I90" s="14">
        <f>data!W75</f>
        <v>21316269</v>
      </c>
    </row>
    <row r="91" spans="1:9" ht="20.100000000000001" customHeight="1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>
      <c r="A92" s="23">
        <v>22</v>
      </c>
      <c r="B92" s="14" t="s">
        <v>1186</v>
      </c>
      <c r="C92" s="14">
        <f>data!Q76</f>
        <v>11695</v>
      </c>
      <c r="D92" s="14">
        <f>data!R76</f>
        <v>812</v>
      </c>
      <c r="E92" s="14">
        <f>data!S76</f>
        <v>18221</v>
      </c>
      <c r="F92" s="14">
        <f>data!T76</f>
        <v>1636</v>
      </c>
      <c r="G92" s="14">
        <f>data!U76</f>
        <v>17849</v>
      </c>
      <c r="H92" s="14">
        <f>data!V76</f>
        <v>10636</v>
      </c>
      <c r="I92" s="14">
        <f>data!W76</f>
        <v>5116</v>
      </c>
    </row>
    <row r="93" spans="1:9" ht="20.100000000000001" customHeight="1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>
      <c r="A94" s="23">
        <v>24</v>
      </c>
      <c r="B94" s="14" t="s">
        <v>1188</v>
      </c>
      <c r="C94" s="14">
        <f>data!Q78</f>
        <v>2709.0689569408878</v>
      </c>
      <c r="D94" s="14">
        <f>data!R78</f>
        <v>188.09439872047892</v>
      </c>
      <c r="E94" s="14">
        <f>data!S78</f>
        <v>4220.773447150058</v>
      </c>
      <c r="F94" s="14">
        <f>data!T78</f>
        <v>378.96851761909301</v>
      </c>
      <c r="G94" s="14">
        <f>data!U78</f>
        <v>4134.6021216278668</v>
      </c>
      <c r="H94" s="14">
        <f>data!V78</f>
        <v>2463.7586512204603</v>
      </c>
      <c r="I94" s="14">
        <f>data!W78</f>
        <v>1185.0873692782884</v>
      </c>
    </row>
    <row r="95" spans="1:9" ht="20.100000000000001" customHeight="1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>
      <c r="A96" s="23">
        <v>26</v>
      </c>
      <c r="B96" s="14" t="s">
        <v>252</v>
      </c>
      <c r="C96" s="84">
        <f>data!Q80</f>
        <v>0</v>
      </c>
      <c r="D96" s="84">
        <f>data!R80</f>
        <v>12.237168079452079</v>
      </c>
      <c r="E96" s="84">
        <f>data!S80</f>
        <v>0</v>
      </c>
      <c r="F96" s="84">
        <f>data!T80</f>
        <v>2.8793336657534301</v>
      </c>
      <c r="G96" s="84">
        <f>data!U80</f>
        <v>0</v>
      </c>
      <c r="H96" s="84">
        <f>data!V80</f>
        <v>2.8793336657534301</v>
      </c>
      <c r="I96" s="84">
        <f>data!W80</f>
        <v>0.35991670821917876</v>
      </c>
    </row>
    <row r="97" spans="1:9" ht="20.100000000000001" customHeight="1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>
      <c r="A100" s="79" t="str">
        <f>"HOSPITAL NAME: "&amp;data!C84</f>
        <v>HOSPITAL NAME: Deaconess Hospital - MultiCare Health Systems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>
      <c r="A105" s="23">
        <v>4</v>
      </c>
      <c r="B105" s="14" t="s">
        <v>233</v>
      </c>
      <c r="C105" s="14">
        <f>data!X59</f>
        <v>19640</v>
      </c>
      <c r="D105" s="14">
        <f>data!Y59</f>
        <v>142749</v>
      </c>
      <c r="E105" s="14">
        <f>data!Z59</f>
        <v>4882</v>
      </c>
      <c r="F105" s="14">
        <f>data!AA59</f>
        <v>15718</v>
      </c>
      <c r="G105" s="212"/>
      <c r="H105" s="14">
        <f>data!AC59</f>
        <v>58327</v>
      </c>
      <c r="I105" s="14">
        <f>data!AD59</f>
        <v>1814</v>
      </c>
    </row>
    <row r="106" spans="1:9" ht="20.100000000000001" customHeight="1">
      <c r="A106" s="23">
        <v>5</v>
      </c>
      <c r="B106" s="14" t="s">
        <v>234</v>
      </c>
      <c r="C106" s="26">
        <f>data!X60</f>
        <v>14.18</v>
      </c>
      <c r="D106" s="26">
        <f>data!Y60</f>
        <v>62.827919863013804</v>
      </c>
      <c r="E106" s="26">
        <f>data!Z60</f>
        <v>2.95</v>
      </c>
      <c r="F106" s="26">
        <f>data!AA60</f>
        <v>3.88</v>
      </c>
      <c r="G106" s="26">
        <f>data!AB60</f>
        <v>37.51</v>
      </c>
      <c r="H106" s="26">
        <f>data!AC60</f>
        <v>33.520000000000003</v>
      </c>
      <c r="I106" s="26">
        <f>data!AD60</f>
        <v>0.31</v>
      </c>
    </row>
    <row r="107" spans="1:9" ht="20.100000000000001" customHeight="1">
      <c r="A107" s="23">
        <v>6</v>
      </c>
      <c r="B107" s="14" t="s">
        <v>235</v>
      </c>
      <c r="C107" s="14">
        <f>data!X61</f>
        <v>1130688.69</v>
      </c>
      <c r="D107" s="14">
        <f>data!Y61</f>
        <v>5310915.29</v>
      </c>
      <c r="E107" s="14">
        <f>data!Z61</f>
        <v>281827.85000000003</v>
      </c>
      <c r="F107" s="14">
        <f>data!AA61</f>
        <v>387006.39</v>
      </c>
      <c r="G107" s="14">
        <f>data!AB61</f>
        <v>3541061.46</v>
      </c>
      <c r="H107" s="14">
        <f>data!AC61</f>
        <v>2609122.5699999998</v>
      </c>
      <c r="I107" s="14">
        <f>data!AD61</f>
        <v>45207.35</v>
      </c>
    </row>
    <row r="108" spans="1:9" ht="20.100000000000001" customHeight="1">
      <c r="A108" s="23">
        <v>7</v>
      </c>
      <c r="B108" s="14" t="s">
        <v>3</v>
      </c>
      <c r="C108" s="14">
        <f>data!X62</f>
        <v>110781</v>
      </c>
      <c r="D108" s="14">
        <f>data!Y62</f>
        <v>474529</v>
      </c>
      <c r="E108" s="14">
        <f>data!Z62</f>
        <v>-34661</v>
      </c>
      <c r="F108" s="14">
        <f>data!AA62</f>
        <v>34033</v>
      </c>
      <c r="G108" s="14">
        <f>data!AB62</f>
        <v>327121</v>
      </c>
      <c r="H108" s="14">
        <f>data!AC62</f>
        <v>244076</v>
      </c>
      <c r="I108" s="14">
        <f>data!AD62</f>
        <v>338</v>
      </c>
    </row>
    <row r="109" spans="1:9" ht="20.100000000000001" customHeight="1">
      <c r="A109" s="23">
        <v>8</v>
      </c>
      <c r="B109" s="14" t="s">
        <v>236</v>
      </c>
      <c r="C109" s="14">
        <f>data!X63</f>
        <v>0</v>
      </c>
      <c r="D109" s="14">
        <f>data!Y63</f>
        <v>45106.25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>
      <c r="A110" s="23">
        <v>9</v>
      </c>
      <c r="B110" s="14" t="s">
        <v>237</v>
      </c>
      <c r="C110" s="14">
        <f>data!X64</f>
        <v>264047.61000000004</v>
      </c>
      <c r="D110" s="14">
        <f>data!Y64</f>
        <v>11498212.43</v>
      </c>
      <c r="E110" s="14">
        <f>data!Z64</f>
        <v>-71562.13</v>
      </c>
      <c r="F110" s="14">
        <f>data!AA64</f>
        <v>627887.37</v>
      </c>
      <c r="G110" s="14">
        <f>data!AB64</f>
        <v>9170033.7300000004</v>
      </c>
      <c r="H110" s="14">
        <f>data!AC64</f>
        <v>652952.80999999994</v>
      </c>
      <c r="I110" s="14">
        <f>data!AD64</f>
        <v>11934.73</v>
      </c>
    </row>
    <row r="111" spans="1:9" ht="20.100000000000001" customHeight="1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>
      <c r="A112" s="23">
        <v>11</v>
      </c>
      <c r="B112" s="14" t="s">
        <v>445</v>
      </c>
      <c r="C112" s="14">
        <f>data!X66</f>
        <v>216272.49999999997</v>
      </c>
      <c r="D112" s="14">
        <f>data!Y66</f>
        <v>967541.95</v>
      </c>
      <c r="E112" s="14">
        <f>data!Z66</f>
        <v>3959810.0100000002</v>
      </c>
      <c r="F112" s="14">
        <f>data!AA66</f>
        <v>33728.629999999997</v>
      </c>
      <c r="G112" s="14">
        <f>data!AB66</f>
        <v>56504.380000000026</v>
      </c>
      <c r="H112" s="14">
        <f>data!AC66</f>
        <v>42419.869999999995</v>
      </c>
      <c r="I112" s="14">
        <f>data!AD66</f>
        <v>890088.14999999991</v>
      </c>
    </row>
    <row r="113" spans="1:9" ht="20.100000000000001" customHeight="1">
      <c r="A113" s="23">
        <v>12</v>
      </c>
      <c r="B113" s="14" t="s">
        <v>6</v>
      </c>
      <c r="C113" s="14">
        <f>data!X67</f>
        <v>115959</v>
      </c>
      <c r="D113" s="14">
        <f>data!Y67</f>
        <v>1017562</v>
      </c>
      <c r="E113" s="14">
        <f>data!Z67</f>
        <v>0</v>
      </c>
      <c r="F113" s="14">
        <f>data!AA67</f>
        <v>20052</v>
      </c>
      <c r="G113" s="14">
        <f>data!AB67</f>
        <v>32769</v>
      </c>
      <c r="H113" s="14">
        <f>data!AC67</f>
        <v>141009</v>
      </c>
      <c r="I113" s="14">
        <f>data!AD67</f>
        <v>19679</v>
      </c>
    </row>
    <row r="114" spans="1:9" ht="20.100000000000001" customHeight="1">
      <c r="A114" s="23">
        <v>13</v>
      </c>
      <c r="B114" s="14" t="s">
        <v>474</v>
      </c>
      <c r="C114" s="14">
        <f>data!X68</f>
        <v>-5097.2800000000025</v>
      </c>
      <c r="D114" s="14">
        <f>data!Y68</f>
        <v>162372.19</v>
      </c>
      <c r="E114" s="14">
        <f>data!Z68</f>
        <v>-13200</v>
      </c>
      <c r="F114" s="14">
        <f>data!AA68</f>
        <v>0</v>
      </c>
      <c r="G114" s="14">
        <f>data!AB68</f>
        <v>192516.33</v>
      </c>
      <c r="H114" s="14">
        <f>data!AC68</f>
        <v>139009.08000000002</v>
      </c>
      <c r="I114" s="14">
        <f>data!AD68</f>
        <v>0</v>
      </c>
    </row>
    <row r="115" spans="1:9" ht="20.100000000000001" customHeight="1">
      <c r="A115" s="23">
        <v>14</v>
      </c>
      <c r="B115" s="14" t="s">
        <v>241</v>
      </c>
      <c r="C115" s="14">
        <f>data!X69</f>
        <v>0</v>
      </c>
      <c r="D115" s="14">
        <f>data!Y69</f>
        <v>90090.68</v>
      </c>
      <c r="E115" s="14">
        <f>data!Z69</f>
        <v>0</v>
      </c>
      <c r="F115" s="14">
        <f>data!AA69</f>
        <v>20702.060000000001</v>
      </c>
      <c r="G115" s="14">
        <f>data!AB69</f>
        <v>20630.72</v>
      </c>
      <c r="H115" s="14">
        <f>data!AC69</f>
        <v>231.2</v>
      </c>
      <c r="I115" s="14">
        <f>data!AD69</f>
        <v>0</v>
      </c>
    </row>
    <row r="116" spans="1:9" ht="20.100000000000001" customHeight="1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>
      <c r="A117" s="23">
        <v>16</v>
      </c>
      <c r="B117" s="48" t="s">
        <v>1180</v>
      </c>
      <c r="C117" s="14">
        <f>data!X71</f>
        <v>1832651.52</v>
      </c>
      <c r="D117" s="14">
        <f>data!Y71</f>
        <v>19566329.789999999</v>
      </c>
      <c r="E117" s="14">
        <f>data!Z71</f>
        <v>4122214.7300000004</v>
      </c>
      <c r="F117" s="14">
        <f>data!AA71</f>
        <v>1123409.45</v>
      </c>
      <c r="G117" s="14">
        <f>data!AB71</f>
        <v>13340636.620000003</v>
      </c>
      <c r="H117" s="14">
        <f>data!AC71</f>
        <v>3828820.5300000003</v>
      </c>
      <c r="I117" s="14">
        <f>data!AD71</f>
        <v>967247.22999999986</v>
      </c>
    </row>
    <row r="118" spans="1:9" ht="20.100000000000001" customHeight="1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>
      <c r="A119" s="23">
        <v>18</v>
      </c>
      <c r="B119" s="14" t="s">
        <v>1181</v>
      </c>
      <c r="C119" s="48">
        <f>+data!M689</f>
        <v>2286374</v>
      </c>
      <c r="D119" s="48">
        <f>+data!M690</f>
        <v>10357234</v>
      </c>
      <c r="E119" s="48">
        <f>+data!M691</f>
        <v>1878191</v>
      </c>
      <c r="F119" s="48">
        <f>+data!M692</f>
        <v>695582</v>
      </c>
      <c r="G119" s="48">
        <f>+data!M693</f>
        <v>6931878</v>
      </c>
      <c r="H119" s="48">
        <f>+data!M694</f>
        <v>2204030</v>
      </c>
      <c r="I119" s="48">
        <f>+data!M695</f>
        <v>450843</v>
      </c>
    </row>
    <row r="120" spans="1:9" ht="20.100000000000001" customHeight="1">
      <c r="A120" s="23">
        <v>19</v>
      </c>
      <c r="B120" s="48" t="s">
        <v>1182</v>
      </c>
      <c r="C120" s="14">
        <f>data!X73</f>
        <v>32034054</v>
      </c>
      <c r="D120" s="14">
        <f>data!Y73</f>
        <v>88915044.430000007</v>
      </c>
      <c r="E120" s="14">
        <f>data!Z73</f>
        <v>479828.99999999994</v>
      </c>
      <c r="F120" s="14">
        <f>data!AA73</f>
        <v>7589990</v>
      </c>
      <c r="G120" s="14">
        <f>data!AB73</f>
        <v>101034299.13999999</v>
      </c>
      <c r="H120" s="14">
        <f>data!AC73</f>
        <v>31788451.000000004</v>
      </c>
      <c r="I120" s="14">
        <f>data!AD73</f>
        <v>8762572</v>
      </c>
    </row>
    <row r="121" spans="1:9" ht="20.100000000000001" customHeight="1">
      <c r="A121" s="23">
        <v>20</v>
      </c>
      <c r="B121" s="48" t="s">
        <v>1183</v>
      </c>
      <c r="C121" s="14">
        <f>data!X74</f>
        <v>56789871</v>
      </c>
      <c r="D121" s="14">
        <f>data!Y74</f>
        <v>114963153.89</v>
      </c>
      <c r="E121" s="14">
        <f>data!Z74</f>
        <v>34709667</v>
      </c>
      <c r="F121" s="14">
        <f>data!AA74</f>
        <v>8373040.0000000009</v>
      </c>
      <c r="G121" s="14">
        <f>data!AB74</f>
        <v>37073635.490000002</v>
      </c>
      <c r="H121" s="14">
        <f>data!AC74</f>
        <v>3356009.1799999997</v>
      </c>
      <c r="I121" s="14">
        <f>data!AD74</f>
        <v>344152</v>
      </c>
    </row>
    <row r="122" spans="1:9" ht="20.100000000000001" customHeight="1">
      <c r="A122" s="23">
        <v>21</v>
      </c>
      <c r="B122" s="48" t="s">
        <v>1184</v>
      </c>
      <c r="C122" s="14">
        <f>data!X75</f>
        <v>88823925</v>
      </c>
      <c r="D122" s="14">
        <f>data!Y75</f>
        <v>203878198.31999999</v>
      </c>
      <c r="E122" s="14">
        <f>data!Z75</f>
        <v>35189496</v>
      </c>
      <c r="F122" s="14">
        <f>data!AA75</f>
        <v>15963030</v>
      </c>
      <c r="G122" s="14">
        <f>data!AB75</f>
        <v>138107934.63</v>
      </c>
      <c r="H122" s="14">
        <f>data!AC75</f>
        <v>35144460.180000007</v>
      </c>
      <c r="I122" s="14">
        <f>data!AD75</f>
        <v>9106724</v>
      </c>
    </row>
    <row r="123" spans="1:9" ht="20.100000000000001" customHeight="1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>
      <c r="A124" s="23">
        <v>22</v>
      </c>
      <c r="B124" s="14" t="s">
        <v>1186</v>
      </c>
      <c r="C124" s="14">
        <f>data!X76</f>
        <v>6002</v>
      </c>
      <c r="D124" s="14">
        <f>data!Y76</f>
        <v>25337</v>
      </c>
      <c r="E124" s="14">
        <f>data!Z76</f>
        <v>0</v>
      </c>
      <c r="F124" s="14">
        <f>data!AA76</f>
        <v>2205</v>
      </c>
      <c r="G124" s="14">
        <f>data!AB76</f>
        <v>12909</v>
      </c>
      <c r="H124" s="14">
        <f>data!AC76</f>
        <v>6421</v>
      </c>
      <c r="I124" s="14">
        <f>data!AD76</f>
        <v>0</v>
      </c>
    </row>
    <row r="125" spans="1:9" ht="20.100000000000001" customHeight="1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>
      <c r="A126" s="23">
        <v>24</v>
      </c>
      <c r="B126" s="14" t="s">
        <v>1188</v>
      </c>
      <c r="C126" s="14">
        <f>data!X78</f>
        <v>1390.3233757639341</v>
      </c>
      <c r="D126" s="14">
        <f>data!Y78</f>
        <v>5869.147512784205</v>
      </c>
      <c r="E126" s="14">
        <f>data!Z78</f>
        <v>0</v>
      </c>
      <c r="F126" s="14">
        <f>data!AA78</f>
        <v>510.77358273233506</v>
      </c>
      <c r="G126" s="14">
        <f>data!AB78</f>
        <v>2990.2839816288947</v>
      </c>
      <c r="H126" s="14">
        <f>data!AC78</f>
        <v>1487.3819386504865</v>
      </c>
      <c r="I126" s="14">
        <f>data!AD78</f>
        <v>0</v>
      </c>
    </row>
    <row r="127" spans="1:9" ht="20.100000000000001" customHeight="1">
      <c r="A127" s="23">
        <v>25</v>
      </c>
      <c r="B127" s="14" t="s">
        <v>1189</v>
      </c>
      <c r="C127" s="14">
        <f>data!X79</f>
        <v>0</v>
      </c>
      <c r="D127" s="14">
        <f>data!Y79</f>
        <v>9899.0784000000003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11755.1556</v>
      </c>
      <c r="I127" s="14">
        <f>data!AD79</f>
        <v>0</v>
      </c>
    </row>
    <row r="128" spans="1:9" ht="20.100000000000001" customHeight="1">
      <c r="A128" s="23">
        <v>26</v>
      </c>
      <c r="B128" s="14" t="s">
        <v>252</v>
      </c>
      <c r="C128" s="26">
        <f>data!X80</f>
        <v>1.7995835410958938</v>
      </c>
      <c r="D128" s="26">
        <f>data!Y80</f>
        <v>0</v>
      </c>
      <c r="E128" s="26">
        <f>data!Z80</f>
        <v>0.71983341643835752</v>
      </c>
      <c r="F128" s="26">
        <f>data!AA80</f>
        <v>0.35991670821917876</v>
      </c>
      <c r="G128" s="26">
        <f>data!AB80</f>
        <v>0</v>
      </c>
      <c r="H128" s="26">
        <f>data!AC80</f>
        <v>8.2780842890411108</v>
      </c>
      <c r="I128" s="26">
        <f>data!AD80</f>
        <v>0</v>
      </c>
    </row>
    <row r="129" spans="1:9" ht="20.100000000000001" customHeight="1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>
      <c r="A132" s="79" t="str">
        <f>"HOSPITAL NAME: "&amp;data!C84</f>
        <v>HOSPITAL NAME: Deaconess Hospital - MultiCare Health Systems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>
      <c r="A137" s="23">
        <v>4</v>
      </c>
      <c r="B137" s="14" t="s">
        <v>233</v>
      </c>
      <c r="C137" s="14">
        <f>data!AE59</f>
        <v>23370</v>
      </c>
      <c r="D137" s="14">
        <f>data!AF59</f>
        <v>0</v>
      </c>
      <c r="E137" s="14">
        <f>data!AG59</f>
        <v>51521</v>
      </c>
      <c r="F137" s="14">
        <f>data!AH59</f>
        <v>0</v>
      </c>
      <c r="G137" s="14">
        <f>data!AI59</f>
        <v>0</v>
      </c>
      <c r="H137" s="14">
        <f>data!AJ59</f>
        <v>3630</v>
      </c>
      <c r="I137" s="14">
        <f>data!AK59</f>
        <v>11150</v>
      </c>
    </row>
    <row r="138" spans="1:9" ht="20.100000000000001" customHeight="1">
      <c r="A138" s="23">
        <v>5</v>
      </c>
      <c r="B138" s="14" t="s">
        <v>234</v>
      </c>
      <c r="C138" s="26">
        <f>data!AE60</f>
        <v>9.39</v>
      </c>
      <c r="D138" s="26">
        <f>data!AF60</f>
        <v>0</v>
      </c>
      <c r="E138" s="26">
        <f>data!AG60</f>
        <v>69.48</v>
      </c>
      <c r="F138" s="26">
        <f>data!AH60</f>
        <v>0</v>
      </c>
      <c r="G138" s="26">
        <f>data!AI60</f>
        <v>8.9590554794520685</v>
      </c>
      <c r="H138" s="26">
        <f>data!AJ60</f>
        <v>26.086837671232917</v>
      </c>
      <c r="I138" s="26">
        <f>data!AK60</f>
        <v>3.68</v>
      </c>
    </row>
    <row r="139" spans="1:9" ht="20.100000000000001" customHeight="1">
      <c r="A139" s="23">
        <v>6</v>
      </c>
      <c r="B139" s="14" t="s">
        <v>235</v>
      </c>
      <c r="C139" s="14">
        <f>data!AE61</f>
        <v>761947.07000000007</v>
      </c>
      <c r="D139" s="14">
        <f>data!AF61</f>
        <v>0</v>
      </c>
      <c r="E139" s="14">
        <f>data!AG61</f>
        <v>6154852.75</v>
      </c>
      <c r="F139" s="14">
        <f>data!AH61</f>
        <v>0</v>
      </c>
      <c r="G139" s="14">
        <f>data!AI61</f>
        <v>760078.70000000007</v>
      </c>
      <c r="H139" s="14">
        <f>data!AJ61</f>
        <v>2420922.5499999998</v>
      </c>
      <c r="I139" s="14">
        <f>data!AK61</f>
        <v>340966.25</v>
      </c>
    </row>
    <row r="140" spans="1:9" ht="20.100000000000001" customHeight="1">
      <c r="A140" s="23">
        <v>7</v>
      </c>
      <c r="B140" s="14" t="s">
        <v>3</v>
      </c>
      <c r="C140" s="14">
        <f>data!AE62</f>
        <v>71085</v>
      </c>
      <c r="D140" s="14">
        <f>data!AF62</f>
        <v>0</v>
      </c>
      <c r="E140" s="14">
        <f>data!AG62</f>
        <v>474402</v>
      </c>
      <c r="F140" s="14">
        <f>data!AH62</f>
        <v>0</v>
      </c>
      <c r="G140" s="14">
        <f>data!AI62</f>
        <v>71520</v>
      </c>
      <c r="H140" s="14">
        <f>data!AJ62</f>
        <v>226698</v>
      </c>
      <c r="I140" s="14">
        <f>data!AK62</f>
        <v>34580</v>
      </c>
    </row>
    <row r="141" spans="1:9" ht="20.100000000000001" customHeight="1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3393735.9999999995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>
      <c r="A142" s="23">
        <v>9</v>
      </c>
      <c r="B142" s="14" t="s">
        <v>237</v>
      </c>
      <c r="C142" s="14">
        <f>data!AE64</f>
        <v>5183.1000000000004</v>
      </c>
      <c r="D142" s="14">
        <f>data!AF64</f>
        <v>0</v>
      </c>
      <c r="E142" s="14">
        <f>data!AG64</f>
        <v>805562.10000000009</v>
      </c>
      <c r="F142" s="14">
        <f>data!AH64</f>
        <v>0</v>
      </c>
      <c r="G142" s="14">
        <f>data!AI64</f>
        <v>97503.790000000008</v>
      </c>
      <c r="H142" s="14">
        <f>data!AJ64</f>
        <v>3671986.78</v>
      </c>
      <c r="I142" s="14">
        <f>data!AK64</f>
        <v>1098.96</v>
      </c>
    </row>
    <row r="143" spans="1:9" ht="20.100000000000001" customHeight="1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379441.60000000009</v>
      </c>
      <c r="F144" s="14">
        <f>data!AH66</f>
        <v>0</v>
      </c>
      <c r="G144" s="14">
        <f>data!AI66</f>
        <v>5958.56</v>
      </c>
      <c r="H144" s="14">
        <f>data!AJ66</f>
        <v>110709.62</v>
      </c>
      <c r="I144" s="14">
        <f>data!AK66</f>
        <v>0</v>
      </c>
    </row>
    <row r="145" spans="1:9" ht="20.100000000000001" customHeight="1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281541</v>
      </c>
      <c r="F145" s="14">
        <f>data!AH67</f>
        <v>0</v>
      </c>
      <c r="G145" s="14">
        <f>data!AI67</f>
        <v>2958</v>
      </c>
      <c r="H145" s="14">
        <f>data!AJ67</f>
        <v>15172</v>
      </c>
      <c r="I145" s="14">
        <f>data!AK67</f>
        <v>1096</v>
      </c>
    </row>
    <row r="146" spans="1:9" ht="20.100000000000001" customHeight="1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317776.32</v>
      </c>
      <c r="F146" s="14">
        <f>data!AH68</f>
        <v>0</v>
      </c>
      <c r="G146" s="14">
        <f>data!AI68</f>
        <v>0</v>
      </c>
      <c r="H146" s="14">
        <f>data!AJ68</f>
        <v>222448.55000000002</v>
      </c>
      <c r="I146" s="14">
        <f>data!AK68</f>
        <v>0</v>
      </c>
    </row>
    <row r="147" spans="1:9" ht="20.100000000000001" customHeight="1">
      <c r="A147" s="23">
        <v>14</v>
      </c>
      <c r="B147" s="14" t="s">
        <v>241</v>
      </c>
      <c r="C147" s="14">
        <f>data!AE69</f>
        <v>34.53</v>
      </c>
      <c r="D147" s="14">
        <f>data!AF69</f>
        <v>0</v>
      </c>
      <c r="E147" s="14">
        <f>data!AG69</f>
        <v>2197892.8400000003</v>
      </c>
      <c r="F147" s="14">
        <f>data!AH69</f>
        <v>0</v>
      </c>
      <c r="G147" s="14">
        <f>data!AI69</f>
        <v>115</v>
      </c>
      <c r="H147" s="14">
        <f>data!AJ69</f>
        <v>18226.27</v>
      </c>
      <c r="I147" s="14">
        <f>data!AK69</f>
        <v>0</v>
      </c>
    </row>
    <row r="148" spans="1:9" ht="20.100000000000001" customHeight="1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>
      <c r="A149" s="23">
        <v>16</v>
      </c>
      <c r="B149" s="48" t="s">
        <v>1180</v>
      </c>
      <c r="C149" s="14">
        <f>data!AE71</f>
        <v>838249.70000000007</v>
      </c>
      <c r="D149" s="14">
        <f>data!AF71</f>
        <v>0</v>
      </c>
      <c r="E149" s="14">
        <f>data!AG71</f>
        <v>14005204.609999999</v>
      </c>
      <c r="F149" s="14">
        <f>data!AH71</f>
        <v>0</v>
      </c>
      <c r="G149" s="14">
        <f>data!AI71</f>
        <v>938134.05000000016</v>
      </c>
      <c r="H149" s="14">
        <f>data!AJ71</f>
        <v>6686163.7699999996</v>
      </c>
      <c r="I149" s="14">
        <f>data!AK71</f>
        <v>377741.21</v>
      </c>
    </row>
    <row r="150" spans="1:9" ht="20.100000000000001" customHeight="1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>
      <c r="A151" s="23">
        <v>18</v>
      </c>
      <c r="B151" s="14" t="s">
        <v>1181</v>
      </c>
      <c r="C151" s="48">
        <f>+data!M696</f>
        <v>428577</v>
      </c>
      <c r="D151" s="48">
        <f>+data!M697</f>
        <v>0</v>
      </c>
      <c r="E151" s="48">
        <f>+data!M698</f>
        <v>8226394</v>
      </c>
      <c r="F151" s="48">
        <f>+data!M699</f>
        <v>0</v>
      </c>
      <c r="G151" s="48">
        <f>+data!M700</f>
        <v>873087</v>
      </c>
      <c r="H151" s="48">
        <f>+data!M701</f>
        <v>2921516</v>
      </c>
      <c r="I151" s="48">
        <f>+data!M702</f>
        <v>177988</v>
      </c>
    </row>
    <row r="152" spans="1:9" ht="20.100000000000001" customHeight="1">
      <c r="A152" s="23">
        <v>19</v>
      </c>
      <c r="B152" s="48" t="s">
        <v>1182</v>
      </c>
      <c r="C152" s="14">
        <f>data!AE73</f>
        <v>4999851.17</v>
      </c>
      <c r="D152" s="14">
        <f>data!AF73</f>
        <v>0</v>
      </c>
      <c r="E152" s="14">
        <f>data!AG73</f>
        <v>21772330.600000001</v>
      </c>
      <c r="F152" s="14">
        <f>data!AH73</f>
        <v>0</v>
      </c>
      <c r="G152" s="14">
        <f>data!AI73</f>
        <v>594217.99999999988</v>
      </c>
      <c r="H152" s="14">
        <f>data!AJ73</f>
        <v>216121</v>
      </c>
      <c r="I152" s="14">
        <f>data!AK73</f>
        <v>3230358.1</v>
      </c>
    </row>
    <row r="153" spans="1:9" ht="20.100000000000001" customHeight="1">
      <c r="A153" s="23">
        <v>20</v>
      </c>
      <c r="B153" s="48" t="s">
        <v>1183</v>
      </c>
      <c r="C153" s="14">
        <f>data!AE74</f>
        <v>550678.19000000006</v>
      </c>
      <c r="D153" s="14">
        <f>data!AF74</f>
        <v>0</v>
      </c>
      <c r="E153" s="14">
        <f>data!AG74</f>
        <v>94582611</v>
      </c>
      <c r="F153" s="14">
        <f>data!AH74</f>
        <v>0</v>
      </c>
      <c r="G153" s="14">
        <f>data!AI74</f>
        <v>4294641</v>
      </c>
      <c r="H153" s="14">
        <f>data!AJ74</f>
        <v>47353918.559999995</v>
      </c>
      <c r="I153" s="14">
        <f>data!AK74</f>
        <v>307712.71999999997</v>
      </c>
    </row>
    <row r="154" spans="1:9" ht="20.100000000000001" customHeight="1">
      <c r="A154" s="23">
        <v>21</v>
      </c>
      <c r="B154" s="48" t="s">
        <v>1184</v>
      </c>
      <c r="C154" s="14">
        <f>data!AE75</f>
        <v>5550529.3600000003</v>
      </c>
      <c r="D154" s="14">
        <f>data!AF75</f>
        <v>0</v>
      </c>
      <c r="E154" s="14">
        <f>data!AG75</f>
        <v>116354941.59999999</v>
      </c>
      <c r="F154" s="14">
        <f>data!AH75</f>
        <v>0</v>
      </c>
      <c r="G154" s="14">
        <f>data!AI75</f>
        <v>4888859</v>
      </c>
      <c r="H154" s="14">
        <f>data!AJ75</f>
        <v>47570039.559999995</v>
      </c>
      <c r="I154" s="14">
        <f>data!AK75</f>
        <v>3538070.8200000003</v>
      </c>
    </row>
    <row r="155" spans="1:9" ht="20.100000000000001" customHeight="1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>
      <c r="A156" s="23">
        <v>22</v>
      </c>
      <c r="B156" s="14" t="s">
        <v>1186</v>
      </c>
      <c r="C156" s="14">
        <f>data!AE76</f>
        <v>2581</v>
      </c>
      <c r="D156" s="14">
        <f>data!AF76</f>
        <v>0</v>
      </c>
      <c r="E156" s="14">
        <f>data!AG76</f>
        <v>21473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4892</v>
      </c>
      <c r="F157" s="14">
        <f>data!AH77</f>
        <v>0</v>
      </c>
      <c r="G157" s="14">
        <f>data!AI77</f>
        <v>1236</v>
      </c>
      <c r="H157" s="14">
        <f>data!AJ77</f>
        <v>0</v>
      </c>
      <c r="I157" s="14">
        <f>data!AK77</f>
        <v>0</v>
      </c>
    </row>
    <row r="158" spans="1:9" ht="20.100000000000001" customHeight="1">
      <c r="A158" s="23">
        <v>24</v>
      </c>
      <c r="B158" s="14" t="s">
        <v>1188</v>
      </c>
      <c r="C158" s="14">
        <f>data!AE78</f>
        <v>597.87148164723658</v>
      </c>
      <c r="D158" s="14">
        <f>data!AF78</f>
        <v>0</v>
      </c>
      <c r="E158" s="14">
        <f>data!AG78</f>
        <v>4974.0776154246851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105177.70800000001</v>
      </c>
      <c r="F159" s="14">
        <f>data!AH79</f>
        <v>0</v>
      </c>
      <c r="G159" s="14">
        <f>data!AI79</f>
        <v>9744.4053000000004</v>
      </c>
      <c r="H159" s="14">
        <f>data!AJ79</f>
        <v>0</v>
      </c>
      <c r="I159" s="14">
        <f>data!AK79</f>
        <v>0</v>
      </c>
    </row>
    <row r="160" spans="1:9" ht="20.100000000000001" customHeight="1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37.143404288219251</v>
      </c>
      <c r="F160" s="26">
        <f>data!AH80</f>
        <v>0</v>
      </c>
      <c r="G160" s="26">
        <f>data!AI80</f>
        <v>16.556168578082222</v>
      </c>
      <c r="H160" s="26">
        <f>data!AJ80</f>
        <v>0</v>
      </c>
      <c r="I160" s="26">
        <f>data!AK80</f>
        <v>0</v>
      </c>
    </row>
    <row r="161" spans="1:9" ht="20.100000000000001" customHeight="1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>
      <c r="A164" s="79" t="str">
        <f>"HOSPITAL NAME: "&amp;data!C84</f>
        <v>HOSPITAL NAME: Deaconess Hospital - MultiCare Health Systems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>
      <c r="A169" s="23">
        <v>4</v>
      </c>
      <c r="B169" s="14" t="s">
        <v>233</v>
      </c>
      <c r="C169" s="14">
        <f>data!AL59</f>
        <v>3759</v>
      </c>
      <c r="D169" s="14">
        <f>data!AM59</f>
        <v>0</v>
      </c>
      <c r="E169" s="14">
        <f>data!AN59</f>
        <v>1714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>
      <c r="A170" s="23">
        <v>5</v>
      </c>
      <c r="B170" s="14" t="s">
        <v>234</v>
      </c>
      <c r="C170" s="26">
        <f>data!AL60</f>
        <v>1.99</v>
      </c>
      <c r="D170" s="26">
        <f>data!AM60</f>
        <v>0</v>
      </c>
      <c r="E170" s="26">
        <f>data!AN60</f>
        <v>3.1864431506849358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>
      <c r="A171" s="23">
        <v>6</v>
      </c>
      <c r="B171" s="14" t="s">
        <v>235</v>
      </c>
      <c r="C171" s="14">
        <f>data!AL61</f>
        <v>183834.23999999999</v>
      </c>
      <c r="D171" s="14">
        <f>data!AM61</f>
        <v>0</v>
      </c>
      <c r="E171" s="14">
        <f>data!AN61</f>
        <v>183994.50000000003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>
      <c r="A172" s="23">
        <v>7</v>
      </c>
      <c r="B172" s="14" t="s">
        <v>3</v>
      </c>
      <c r="C172" s="14">
        <f>data!AL62</f>
        <v>16314</v>
      </c>
      <c r="D172" s="14">
        <f>data!AM62</f>
        <v>0</v>
      </c>
      <c r="E172" s="14">
        <f>data!AN62</f>
        <v>16965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>
      <c r="A174" s="23">
        <v>9</v>
      </c>
      <c r="B174" s="14" t="s">
        <v>237</v>
      </c>
      <c r="C174" s="14">
        <f>data!AL64</f>
        <v>2461.17</v>
      </c>
      <c r="D174" s="14">
        <f>data!AM64</f>
        <v>0</v>
      </c>
      <c r="E174" s="14">
        <f>data!AN64</f>
        <v>33574.93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71240.700000000012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72436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25378.440000000002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674.1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>
      <c r="A181" s="23">
        <v>16</v>
      </c>
      <c r="B181" s="48" t="s">
        <v>1180</v>
      </c>
      <c r="C181" s="14">
        <f>data!AL71</f>
        <v>202609.41</v>
      </c>
      <c r="D181" s="14">
        <f>data!AM71</f>
        <v>0</v>
      </c>
      <c r="E181" s="14">
        <f>data!AN71</f>
        <v>404263.67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>
      <c r="A183" s="23">
        <v>18</v>
      </c>
      <c r="B183" s="14" t="s">
        <v>1181</v>
      </c>
      <c r="C183" s="48">
        <f>+data!M703</f>
        <v>146987</v>
      </c>
      <c r="D183" s="48">
        <f>+data!M704</f>
        <v>0</v>
      </c>
      <c r="E183" s="48">
        <f>+data!M705</f>
        <v>401671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>
      <c r="A184" s="23">
        <v>19</v>
      </c>
      <c r="B184" s="48" t="s">
        <v>1182</v>
      </c>
      <c r="C184" s="14">
        <f>data!AL73</f>
        <v>1776156.5300000003</v>
      </c>
      <c r="D184" s="14">
        <f>data!AM73</f>
        <v>0</v>
      </c>
      <c r="E184" s="14">
        <f>data!AN73</f>
        <v>1953592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>
      <c r="A185" s="23">
        <v>20</v>
      </c>
      <c r="B185" s="48" t="s">
        <v>1183</v>
      </c>
      <c r="C185" s="14">
        <f>data!AL74</f>
        <v>219699.65000000002</v>
      </c>
      <c r="D185" s="14">
        <f>data!AM74</f>
        <v>0</v>
      </c>
      <c r="E185" s="14">
        <f>data!AN74</f>
        <v>1181105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>
      <c r="A186" s="23">
        <v>21</v>
      </c>
      <c r="B186" s="48" t="s">
        <v>1184</v>
      </c>
      <c r="C186" s="14">
        <f>data!AL75</f>
        <v>1995856.1800000002</v>
      </c>
      <c r="D186" s="14">
        <f>data!AM75</f>
        <v>0</v>
      </c>
      <c r="E186" s="14">
        <f>data!AN75</f>
        <v>3134697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>
      <c r="A189" s="23">
        <v>23</v>
      </c>
      <c r="B189" s="14" t="s">
        <v>1187</v>
      </c>
      <c r="C189" s="14">
        <f>data!AL77</f>
        <v>1069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8.6380009972602902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>
      <c r="A196" s="79" t="str">
        <f>"HOSPITAL NAME: "&amp;data!C84</f>
        <v>HOSPITAL NAME: Deaconess Hospital - MultiCare Health Systems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145747</v>
      </c>
    </row>
    <row r="202" spans="1:9" ht="20.100000000000001" customHeight="1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22.957530821917839</v>
      </c>
      <c r="G202" s="26">
        <f>data!AW60</f>
        <v>0</v>
      </c>
      <c r="H202" s="26">
        <f>data!AX60</f>
        <v>0</v>
      </c>
      <c r="I202" s="26">
        <f>data!AY60</f>
        <v>57.55</v>
      </c>
    </row>
    <row r="203" spans="1:9" ht="20.100000000000001" customHeight="1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1984740.16</v>
      </c>
      <c r="G203" s="14">
        <f>data!AW61</f>
        <v>0</v>
      </c>
      <c r="H203" s="14">
        <f>data!AX61</f>
        <v>0</v>
      </c>
      <c r="I203" s="14">
        <f>data!AY61</f>
        <v>2234974.86</v>
      </c>
    </row>
    <row r="204" spans="1:9" ht="20.100000000000001" customHeight="1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183239</v>
      </c>
      <c r="G204" s="14">
        <f>data!AW62</f>
        <v>0</v>
      </c>
      <c r="H204" s="14">
        <f>data!AX62</f>
        <v>0</v>
      </c>
      <c r="I204" s="14">
        <f>data!AY62</f>
        <v>202026</v>
      </c>
    </row>
    <row r="205" spans="1:9" ht="20.100000000000001" customHeight="1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133166.62000000002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789538.20000000007</v>
      </c>
      <c r="G206" s="14">
        <f>data!AW64</f>
        <v>0</v>
      </c>
      <c r="H206" s="14">
        <f>data!AX64</f>
        <v>0</v>
      </c>
      <c r="I206" s="14">
        <f>data!AY64</f>
        <v>2400091.42</v>
      </c>
    </row>
    <row r="207" spans="1:9" ht="20.100000000000001" customHeight="1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488102.18</v>
      </c>
      <c r="G208" s="14">
        <f>data!AW66</f>
        <v>1646209</v>
      </c>
      <c r="H208" s="14">
        <f>data!AX66</f>
        <v>0</v>
      </c>
      <c r="I208" s="14">
        <f>data!AY66</f>
        <v>97141.84</v>
      </c>
    </row>
    <row r="209" spans="1:9" ht="20.100000000000001" customHeight="1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82421</v>
      </c>
      <c r="G209" s="14">
        <f>data!AW67</f>
        <v>0</v>
      </c>
      <c r="H209" s="14">
        <f>data!AX67</f>
        <v>0</v>
      </c>
      <c r="I209" s="14">
        <f>data!AY67</f>
        <v>46851</v>
      </c>
    </row>
    <row r="210" spans="1:9" ht="20.100000000000001" customHeight="1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20551.28</v>
      </c>
      <c r="G210" s="14">
        <f>data!AW68</f>
        <v>0</v>
      </c>
      <c r="H210" s="14">
        <f>data!AX68</f>
        <v>0</v>
      </c>
      <c r="I210" s="14">
        <f>data!AY68</f>
        <v>11565.21</v>
      </c>
    </row>
    <row r="211" spans="1:9" ht="20.100000000000001" customHeight="1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4736.1099999999997</v>
      </c>
      <c r="G211" s="14">
        <f>data!AW69</f>
        <v>0</v>
      </c>
      <c r="H211" s="14">
        <f>data!AX69</f>
        <v>0</v>
      </c>
      <c r="I211" s="14">
        <f>data!AY69</f>
        <v>309.77</v>
      </c>
    </row>
    <row r="212" spans="1:9" ht="20.100000000000001" customHeight="1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3686494.5500000003</v>
      </c>
      <c r="G213" s="14">
        <f>data!AW71</f>
        <v>1646209</v>
      </c>
      <c r="H213" s="14">
        <f>data!AX71</f>
        <v>0</v>
      </c>
      <c r="I213" s="14">
        <f>data!AY71</f>
        <v>4992960.0999999987</v>
      </c>
    </row>
    <row r="214" spans="1:9" ht="20.100000000000001" customHeight="1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7082444</v>
      </c>
      <c r="G215" s="22"/>
      <c r="H215" s="14"/>
      <c r="I215" s="14"/>
    </row>
    <row r="216" spans="1:9" ht="20.100000000000001" customHeight="1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7867572.1100000003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19894026.07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27761598.18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189545</v>
      </c>
      <c r="G220" s="14">
        <f>data!AW76</f>
        <v>0</v>
      </c>
      <c r="H220" s="14">
        <f>data!AX76</f>
        <v>0</v>
      </c>
      <c r="I220" s="85">
        <f>data!AY76</f>
        <v>12105</v>
      </c>
    </row>
    <row r="221" spans="1:9" ht="20.100000000000001" customHeight="1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1045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43906.838430385687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25830.696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4.6100000000000003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>
      <c r="A228" s="79" t="str">
        <f>"HOSPITAL NAME: "&amp;data!C84</f>
        <v>HOSPITAL NAME: Deaconess Hospital - MultiCare Health Systems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871026</v>
      </c>
      <c r="I233" s="212"/>
    </row>
    <row r="234" spans="1:9" ht="20.100000000000001" customHeight="1">
      <c r="A234" s="23">
        <v>5</v>
      </c>
      <c r="B234" s="14" t="s">
        <v>234</v>
      </c>
      <c r="C234" s="26">
        <f>data!AZ60</f>
        <v>0</v>
      </c>
      <c r="D234" s="26">
        <f>data!BA60</f>
        <v>3</v>
      </c>
      <c r="E234" s="26">
        <f>data!BB60</f>
        <v>0</v>
      </c>
      <c r="F234" s="26">
        <f>data!BC60</f>
        <v>7.39</v>
      </c>
      <c r="G234" s="26">
        <f>data!BD60</f>
        <v>17.670000000000002</v>
      </c>
      <c r="H234" s="26">
        <f>data!BE60</f>
        <v>35.891986986301426</v>
      </c>
      <c r="I234" s="26">
        <f>data!BF60</f>
        <v>60.551380821917896</v>
      </c>
    </row>
    <row r="235" spans="1:9" ht="20.100000000000001" customHeight="1">
      <c r="A235" s="23">
        <v>6</v>
      </c>
      <c r="B235" s="14" t="s">
        <v>235</v>
      </c>
      <c r="C235" s="14">
        <f>data!AZ61</f>
        <v>0</v>
      </c>
      <c r="D235" s="14">
        <f>data!BA61</f>
        <v>114242.85</v>
      </c>
      <c r="E235" s="14">
        <f>data!BB61</f>
        <v>0</v>
      </c>
      <c r="F235" s="14">
        <f>data!BC61</f>
        <v>256532.92999999996</v>
      </c>
      <c r="G235" s="14">
        <f>data!BD61</f>
        <v>822749.67000000016</v>
      </c>
      <c r="H235" s="14">
        <f>data!BE61</f>
        <v>2451297.54</v>
      </c>
      <c r="I235" s="14">
        <f>data!BF61</f>
        <v>2305738.36</v>
      </c>
    </row>
    <row r="236" spans="1:9" ht="20.100000000000001" customHeight="1">
      <c r="A236" s="23">
        <v>7</v>
      </c>
      <c r="B236" s="14" t="s">
        <v>3</v>
      </c>
      <c r="C236" s="14">
        <f>data!AZ62</f>
        <v>0</v>
      </c>
      <c r="D236" s="14">
        <f>data!BA62</f>
        <v>9807</v>
      </c>
      <c r="E236" s="14">
        <f>data!BB62</f>
        <v>0</v>
      </c>
      <c r="F236" s="14">
        <f>data!BC62</f>
        <v>21178</v>
      </c>
      <c r="G236" s="14">
        <f>data!BD62</f>
        <v>38950</v>
      </c>
      <c r="H236" s="14">
        <f>data!BE62</f>
        <v>207438</v>
      </c>
      <c r="I236" s="14">
        <f>data!BF62</f>
        <v>186097</v>
      </c>
    </row>
    <row r="237" spans="1:9" ht="20.100000000000001" customHeight="1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>
      <c r="A238" s="23">
        <v>9</v>
      </c>
      <c r="B238" s="14" t="s">
        <v>237</v>
      </c>
      <c r="C238" s="14">
        <f>data!AZ64</f>
        <v>0</v>
      </c>
      <c r="D238" s="14">
        <f>data!BA64</f>
        <v>3982.43</v>
      </c>
      <c r="E238" s="14">
        <f>data!BB64</f>
        <v>0</v>
      </c>
      <c r="F238" s="14">
        <f>data!BC64</f>
        <v>1138.7</v>
      </c>
      <c r="G238" s="14">
        <f>data!BD64</f>
        <v>-348662.00000000006</v>
      </c>
      <c r="H238" s="14">
        <f>data!BE64</f>
        <v>883639.14</v>
      </c>
      <c r="I238" s="14">
        <f>data!BF64</f>
        <v>237675.59</v>
      </c>
    </row>
    <row r="239" spans="1:9" ht="20.100000000000001" customHeight="1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3010537.9399999995</v>
      </c>
      <c r="I239" s="14">
        <f>data!BF65</f>
        <v>0</v>
      </c>
    </row>
    <row r="240" spans="1:9" ht="20.100000000000001" customHeight="1">
      <c r="A240" s="23">
        <v>11</v>
      </c>
      <c r="B240" s="14" t="s">
        <v>445</v>
      </c>
      <c r="C240" s="14">
        <f>data!AZ66</f>
        <v>0</v>
      </c>
      <c r="D240" s="14">
        <f>data!BA66</f>
        <v>1242725.99</v>
      </c>
      <c r="E240" s="14">
        <f>data!BB66</f>
        <v>0</v>
      </c>
      <c r="F240" s="14">
        <f>data!BC66</f>
        <v>1327.8400000000001</v>
      </c>
      <c r="G240" s="14">
        <f>data!BD66</f>
        <v>24229.149999999991</v>
      </c>
      <c r="H240" s="14">
        <f>data!BE66</f>
        <v>2226290.67</v>
      </c>
      <c r="I240" s="14">
        <f>data!BF66</f>
        <v>577582.63</v>
      </c>
    </row>
    <row r="241" spans="1:9" ht="20.100000000000001" customHeight="1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2923</v>
      </c>
      <c r="G241" s="14">
        <f>data!BD67</f>
        <v>5143</v>
      </c>
      <c r="H241" s="14">
        <f>data!BE67</f>
        <v>100077</v>
      </c>
      <c r="I241" s="14">
        <f>data!BF67</f>
        <v>9532</v>
      </c>
    </row>
    <row r="242" spans="1:9" ht="20.100000000000001" customHeight="1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136622.25999999998</v>
      </c>
      <c r="H242" s="14">
        <f>data!BE68</f>
        <v>17015.179999999997</v>
      </c>
      <c r="I242" s="14">
        <f>data!BF68</f>
        <v>0</v>
      </c>
    </row>
    <row r="243" spans="1:9" ht="20.100000000000001" customHeight="1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9831.83</v>
      </c>
      <c r="H243" s="14">
        <f>data!BE69</f>
        <v>306122.20000000019</v>
      </c>
      <c r="I243" s="14">
        <f>data!BF69</f>
        <v>0</v>
      </c>
    </row>
    <row r="244" spans="1:9" ht="20.100000000000001" customHeight="1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>
      <c r="A245" s="23">
        <v>16</v>
      </c>
      <c r="B245" s="48" t="s">
        <v>1180</v>
      </c>
      <c r="C245" s="14">
        <f>data!AZ71</f>
        <v>0</v>
      </c>
      <c r="D245" s="14">
        <f>data!BA71</f>
        <v>1370758.27</v>
      </c>
      <c r="E245" s="14">
        <f>data!BB71</f>
        <v>0</v>
      </c>
      <c r="F245" s="14">
        <f>data!BC71</f>
        <v>283100.46999999997</v>
      </c>
      <c r="G245" s="14">
        <f>data!BD71</f>
        <v>688863.91</v>
      </c>
      <c r="H245" s="14">
        <f>data!BE71</f>
        <v>9202417.6699999981</v>
      </c>
      <c r="I245" s="14">
        <f>data!BF71</f>
        <v>3316625.5799999996</v>
      </c>
    </row>
    <row r="246" spans="1:9" ht="20.100000000000001" customHeight="1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>
      <c r="A252" s="23">
        <v>22</v>
      </c>
      <c r="B252" s="14" t="s">
        <v>1186</v>
      </c>
      <c r="C252" s="85">
        <f>data!AZ76</f>
        <v>0</v>
      </c>
      <c r="D252" s="85">
        <f>data!BA76</f>
        <v>4542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252325</v>
      </c>
      <c r="I252" s="85">
        <f>data!BF76</f>
        <v>7666</v>
      </c>
    </row>
    <row r="253" spans="1:9" ht="20.100000000000001" customHeight="1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1052.1240874241569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>
      <c r="A260" s="79" t="str">
        <f>"HOSPITAL NAME: "&amp;data!C84</f>
        <v>HOSPITAL NAME: Deaconess Hospital - MultiCare Health Systems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>
      <c r="A266" s="23">
        <v>5</v>
      </c>
      <c r="B266" s="14" t="s">
        <v>234</v>
      </c>
      <c r="C266" s="26">
        <f>data!BG60</f>
        <v>5.35</v>
      </c>
      <c r="D266" s="26">
        <f>data!BH60</f>
        <v>1.2330452054794538</v>
      </c>
      <c r="E266" s="26">
        <f>data!BI60</f>
        <v>0</v>
      </c>
      <c r="F266" s="26">
        <f>data!BJ60</f>
        <v>10.28</v>
      </c>
      <c r="G266" s="26">
        <f>data!BK60</f>
        <v>22.135251369863045</v>
      </c>
      <c r="H266" s="26">
        <f>data!BL60</f>
        <v>10.28</v>
      </c>
      <c r="I266" s="26">
        <f>data!BM60</f>
        <v>0</v>
      </c>
    </row>
    <row r="267" spans="1:9" ht="20.100000000000001" customHeight="1">
      <c r="A267" s="23">
        <v>6</v>
      </c>
      <c r="B267" s="14" t="s">
        <v>235</v>
      </c>
      <c r="C267" s="14">
        <f>data!BG61</f>
        <v>228840.93000000002</v>
      </c>
      <c r="D267" s="14">
        <f>data!BH61</f>
        <v>6155.630000000001</v>
      </c>
      <c r="E267" s="14">
        <f>data!BI61</f>
        <v>0</v>
      </c>
      <c r="F267" s="14">
        <f>data!BJ61</f>
        <v>639375.37999999989</v>
      </c>
      <c r="G267" s="14">
        <f>data!BK61</f>
        <v>1139214.28</v>
      </c>
      <c r="H267" s="14">
        <f>data!BL61</f>
        <v>486706.36000000004</v>
      </c>
      <c r="I267" s="14">
        <f>data!BM61</f>
        <v>0</v>
      </c>
    </row>
    <row r="268" spans="1:9" ht="20.100000000000001" customHeight="1">
      <c r="A268" s="23">
        <v>7</v>
      </c>
      <c r="B268" s="14" t="s">
        <v>3</v>
      </c>
      <c r="C268" s="14">
        <f>data!BG62</f>
        <v>21355</v>
      </c>
      <c r="D268" s="14">
        <f>data!BH62</f>
        <v>0</v>
      </c>
      <c r="E268" s="14">
        <f>data!BI62</f>
        <v>0</v>
      </c>
      <c r="F268" s="14">
        <f>data!BJ62</f>
        <v>62337</v>
      </c>
      <c r="G268" s="14">
        <f>data!BK62</f>
        <v>102806</v>
      </c>
      <c r="H268" s="14">
        <f>data!BL62</f>
        <v>51663</v>
      </c>
      <c r="I268" s="14">
        <f>data!BM62</f>
        <v>0</v>
      </c>
    </row>
    <row r="269" spans="1:9" ht="20.100000000000001" customHeight="1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>
      <c r="A270" s="23">
        <v>9</v>
      </c>
      <c r="B270" s="14" t="s">
        <v>237</v>
      </c>
      <c r="C270" s="14">
        <f>data!BG64</f>
        <v>475.43</v>
      </c>
      <c r="D270" s="14">
        <f>data!BH64</f>
        <v>17609.009999999998</v>
      </c>
      <c r="E270" s="14">
        <f>data!BI64</f>
        <v>0</v>
      </c>
      <c r="F270" s="14">
        <f>data!BJ64</f>
        <v>8029.73</v>
      </c>
      <c r="G270" s="14">
        <f>data!BK64</f>
        <v>11288.55</v>
      </c>
      <c r="H270" s="14">
        <f>data!BL64</f>
        <v>3149.31</v>
      </c>
      <c r="I270" s="14">
        <f>data!BM64</f>
        <v>0</v>
      </c>
    </row>
    <row r="271" spans="1:9" ht="20.100000000000001" customHeight="1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>
      <c r="A272" s="23">
        <v>11</v>
      </c>
      <c r="B272" s="14" t="s">
        <v>445</v>
      </c>
      <c r="C272" s="14">
        <f>data!BG66</f>
        <v>101513.07999999999</v>
      </c>
      <c r="D272" s="14">
        <f>data!BH66</f>
        <v>2798934.13</v>
      </c>
      <c r="E272" s="14">
        <f>data!BI66</f>
        <v>0</v>
      </c>
      <c r="F272" s="14">
        <f>data!BJ66</f>
        <v>-128079.64000000003</v>
      </c>
      <c r="G272" s="14">
        <f>data!BK66</f>
        <v>3084948.4899999998</v>
      </c>
      <c r="H272" s="14">
        <f>data!BL66</f>
        <v>26441.85</v>
      </c>
      <c r="I272" s="14">
        <f>data!BM66</f>
        <v>0</v>
      </c>
    </row>
    <row r="273" spans="1:9" ht="20.100000000000001" customHeight="1">
      <c r="A273" s="23">
        <v>12</v>
      </c>
      <c r="B273" s="14" t="s">
        <v>6</v>
      </c>
      <c r="C273" s="14">
        <f>data!BG67</f>
        <v>0</v>
      </c>
      <c r="D273" s="14">
        <f>data!BH67</f>
        <v>3023225</v>
      </c>
      <c r="E273" s="14">
        <f>data!BI67</f>
        <v>0</v>
      </c>
      <c r="F273" s="14">
        <f>data!BJ67</f>
        <v>0</v>
      </c>
      <c r="G273" s="14">
        <f>data!BK67</f>
        <v>3145</v>
      </c>
      <c r="H273" s="14">
        <f>data!BL67</f>
        <v>0</v>
      </c>
      <c r="I273" s="14">
        <f>data!BM67</f>
        <v>0</v>
      </c>
    </row>
    <row r="274" spans="1:9" ht="20.100000000000001" customHeight="1">
      <c r="A274" s="23">
        <v>13</v>
      </c>
      <c r="B274" s="14" t="s">
        <v>474</v>
      </c>
      <c r="C274" s="14">
        <f>data!BG68</f>
        <v>0</v>
      </c>
      <c r="D274" s="14">
        <f>data!BH68</f>
        <v>113008.14</v>
      </c>
      <c r="E274" s="14">
        <f>data!BI68</f>
        <v>0</v>
      </c>
      <c r="F274" s="14">
        <f>data!BJ68</f>
        <v>389.84</v>
      </c>
      <c r="G274" s="14">
        <f>data!BK68</f>
        <v>0</v>
      </c>
      <c r="H274" s="14">
        <f>data!BL68</f>
        <v>3221.57</v>
      </c>
      <c r="I274" s="14">
        <f>data!BM68</f>
        <v>0</v>
      </c>
    </row>
    <row r="275" spans="1:9" ht="20.100000000000001" customHeight="1">
      <c r="A275" s="23">
        <v>14</v>
      </c>
      <c r="B275" s="14" t="s">
        <v>241</v>
      </c>
      <c r="C275" s="14">
        <f>data!BG69</f>
        <v>58271.41</v>
      </c>
      <c r="D275" s="14">
        <f>data!BH69</f>
        <v>155871.74</v>
      </c>
      <c r="E275" s="14">
        <f>data!BI69</f>
        <v>0</v>
      </c>
      <c r="F275" s="14">
        <f>data!BJ69</f>
        <v>756.45</v>
      </c>
      <c r="G275" s="14">
        <f>data!BK69</f>
        <v>2796.51</v>
      </c>
      <c r="H275" s="14">
        <f>data!BL69</f>
        <v>9574.4599999999991</v>
      </c>
      <c r="I275" s="14">
        <f>data!BM69</f>
        <v>0</v>
      </c>
    </row>
    <row r="276" spans="1:9" ht="20.100000000000001" customHeight="1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>
      <c r="A277" s="23">
        <v>16</v>
      </c>
      <c r="B277" s="48" t="s">
        <v>1180</v>
      </c>
      <c r="C277" s="14">
        <f>data!BG71</f>
        <v>410455.85</v>
      </c>
      <c r="D277" s="14">
        <f>data!BH71</f>
        <v>6114803.6499999994</v>
      </c>
      <c r="E277" s="14">
        <f>data!BI71</f>
        <v>0</v>
      </c>
      <c r="F277" s="14">
        <f>data!BJ71</f>
        <v>582808.75999999978</v>
      </c>
      <c r="G277" s="14">
        <f>data!BK71</f>
        <v>4344198.83</v>
      </c>
      <c r="H277" s="14">
        <f>data!BL71</f>
        <v>580756.55000000005</v>
      </c>
      <c r="I277" s="14">
        <f>data!BM71</f>
        <v>0</v>
      </c>
    </row>
    <row r="278" spans="1:9" ht="20.100000000000001" customHeight="1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>
      <c r="A284" s="23">
        <v>22</v>
      </c>
      <c r="B284" s="14" t="s">
        <v>1186</v>
      </c>
      <c r="C284" s="85">
        <f>data!BG76</f>
        <v>0</v>
      </c>
      <c r="D284" s="85">
        <f>data!BH76</f>
        <v>1797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416.26309667573969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>
      <c r="A292" s="79" t="str">
        <f>"HOSPITAL NAME: "&amp;data!C84</f>
        <v>HOSPITAL NAME: Deaconess Hospital - MultiCare Health Systems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>
      <c r="A298" s="23">
        <v>5</v>
      </c>
      <c r="B298" s="14" t="s">
        <v>234</v>
      </c>
      <c r="C298" s="26">
        <f>data!BN60</f>
        <v>12.86</v>
      </c>
      <c r="D298" s="26">
        <f>data!BO60</f>
        <v>0</v>
      </c>
      <c r="E298" s="26">
        <f>data!BP60</f>
        <v>0.25</v>
      </c>
      <c r="F298" s="26">
        <f>data!BQ60</f>
        <v>0</v>
      </c>
      <c r="G298" s="26">
        <f>data!BR60</f>
        <v>2.4947616438356199</v>
      </c>
      <c r="H298" s="26">
        <f>data!BS60</f>
        <v>0</v>
      </c>
      <c r="I298" s="26">
        <f>data!BT60</f>
        <v>-0.01</v>
      </c>
    </row>
    <row r="299" spans="1:9" ht="20.100000000000001" customHeight="1">
      <c r="A299" s="23">
        <v>6</v>
      </c>
      <c r="B299" s="14" t="s">
        <v>235</v>
      </c>
      <c r="C299" s="14">
        <f>data!BN61</f>
        <v>2656384.5499999998</v>
      </c>
      <c r="D299" s="14">
        <f>data!BO61</f>
        <v>0</v>
      </c>
      <c r="E299" s="14">
        <f>data!BP61</f>
        <v>4225.8399999999983</v>
      </c>
      <c r="F299" s="14">
        <f>data!BQ61</f>
        <v>0</v>
      </c>
      <c r="G299" s="14">
        <f>data!BR61</f>
        <v>171386.19</v>
      </c>
      <c r="H299" s="14">
        <f>data!BS61</f>
        <v>0</v>
      </c>
      <c r="I299" s="14">
        <f>data!BT61</f>
        <v>-389.28</v>
      </c>
    </row>
    <row r="300" spans="1:9" ht="20.100000000000001" customHeight="1">
      <c r="A300" s="23">
        <v>7</v>
      </c>
      <c r="B300" s="14" t="s">
        <v>3</v>
      </c>
      <c r="C300" s="14">
        <f>data!BN62</f>
        <v>63611</v>
      </c>
      <c r="D300" s="14">
        <f>data!BO62</f>
        <v>0</v>
      </c>
      <c r="E300" s="14">
        <f>data!BP62</f>
        <v>-35</v>
      </c>
      <c r="F300" s="14">
        <f>data!BQ62</f>
        <v>0</v>
      </c>
      <c r="G300" s="14">
        <f>data!BR62</f>
        <v>52496</v>
      </c>
      <c r="H300" s="14">
        <f>data!BS62</f>
        <v>0</v>
      </c>
      <c r="I300" s="14">
        <f>data!BT62</f>
        <v>-33</v>
      </c>
    </row>
    <row r="301" spans="1:9" ht="20.100000000000001" customHeight="1">
      <c r="A301" s="23">
        <v>8</v>
      </c>
      <c r="B301" s="14" t="s">
        <v>236</v>
      </c>
      <c r="C301" s="14">
        <f>data!BN63</f>
        <v>197065.09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2800</v>
      </c>
      <c r="H301" s="14">
        <f>data!BS63</f>
        <v>0</v>
      </c>
      <c r="I301" s="14">
        <f>data!BT63</f>
        <v>0</v>
      </c>
    </row>
    <row r="302" spans="1:9" ht="20.100000000000001" customHeight="1">
      <c r="A302" s="23">
        <v>9</v>
      </c>
      <c r="B302" s="14" t="s">
        <v>237</v>
      </c>
      <c r="C302" s="14">
        <f>data!BN64</f>
        <v>40499.230000000003</v>
      </c>
      <c r="D302" s="14">
        <f>data!BO64</f>
        <v>0</v>
      </c>
      <c r="E302" s="14">
        <f>data!BP64</f>
        <v>-120.29</v>
      </c>
      <c r="F302" s="14">
        <f>data!BQ64</f>
        <v>0</v>
      </c>
      <c r="G302" s="14">
        <f>data!BR64</f>
        <v>11745.599999999999</v>
      </c>
      <c r="H302" s="14">
        <f>data!BS64</f>
        <v>0</v>
      </c>
      <c r="I302" s="14">
        <f>data!BT64</f>
        <v>0</v>
      </c>
    </row>
    <row r="303" spans="1:9" ht="20.100000000000001" customHeight="1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>
      <c r="A304" s="23">
        <v>11</v>
      </c>
      <c r="B304" s="14" t="s">
        <v>445</v>
      </c>
      <c r="C304" s="14">
        <f>data!BN66</f>
        <v>7657098.3200000003</v>
      </c>
      <c r="D304" s="14">
        <f>data!BO66</f>
        <v>0</v>
      </c>
      <c r="E304" s="14">
        <f>data!BP66</f>
        <v>222028.93999999994</v>
      </c>
      <c r="F304" s="14">
        <f>data!BQ66</f>
        <v>0</v>
      </c>
      <c r="G304" s="14">
        <f>data!BR66</f>
        <v>75216.56</v>
      </c>
      <c r="H304" s="14">
        <f>data!BS66</f>
        <v>0</v>
      </c>
      <c r="I304" s="14">
        <f>data!BT66</f>
        <v>0</v>
      </c>
    </row>
    <row r="305" spans="1:9" ht="20.100000000000001" customHeight="1">
      <c r="A305" s="23">
        <v>12</v>
      </c>
      <c r="B305" s="14" t="s">
        <v>6</v>
      </c>
      <c r="C305" s="14">
        <f>data!BN67</f>
        <v>1118976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696</v>
      </c>
      <c r="H305" s="14">
        <f>data!BS67</f>
        <v>0</v>
      </c>
      <c r="I305" s="14">
        <f>data!BT67</f>
        <v>0</v>
      </c>
    </row>
    <row r="306" spans="1:9" ht="20.100000000000001" customHeight="1">
      <c r="A306" s="23">
        <v>13</v>
      </c>
      <c r="B306" s="14" t="s">
        <v>474</v>
      </c>
      <c r="C306" s="14">
        <f>data!BN68</f>
        <v>2403.8000000000002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>
      <c r="A307" s="23">
        <v>14</v>
      </c>
      <c r="B307" s="14" t="s">
        <v>241</v>
      </c>
      <c r="C307" s="14">
        <f>data!BN69</f>
        <v>112722.2</v>
      </c>
      <c r="D307" s="14">
        <f>data!BO69</f>
        <v>0</v>
      </c>
      <c r="E307" s="14">
        <f>data!BP69</f>
        <v>2130.4500000000003</v>
      </c>
      <c r="F307" s="14">
        <f>data!BQ69</f>
        <v>0</v>
      </c>
      <c r="G307" s="14">
        <f>data!BR69</f>
        <v>220557.04</v>
      </c>
      <c r="H307" s="14">
        <f>data!BS69</f>
        <v>0</v>
      </c>
      <c r="I307" s="14">
        <f>data!BT69</f>
        <v>0</v>
      </c>
    </row>
    <row r="308" spans="1:9" ht="20.100000000000001" customHeight="1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>
      <c r="A309" s="23">
        <v>16</v>
      </c>
      <c r="B309" s="48" t="s">
        <v>1180</v>
      </c>
      <c r="C309" s="14">
        <f>data!BN71</f>
        <v>11848760.189999999</v>
      </c>
      <c r="D309" s="14">
        <f>data!BO71</f>
        <v>0</v>
      </c>
      <c r="E309" s="14">
        <f>data!BP71</f>
        <v>228229.93999999994</v>
      </c>
      <c r="F309" s="14">
        <f>data!BQ71</f>
        <v>0</v>
      </c>
      <c r="G309" s="14">
        <f>data!BR71</f>
        <v>534897.39</v>
      </c>
      <c r="H309" s="14">
        <f>data!BS71</f>
        <v>0</v>
      </c>
      <c r="I309" s="14">
        <f>data!BT71</f>
        <v>-422.28</v>
      </c>
    </row>
    <row r="310" spans="1:9" ht="20.100000000000001" customHeight="1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>
      <c r="A316" s="23">
        <v>22</v>
      </c>
      <c r="B316" s="14" t="s">
        <v>1186</v>
      </c>
      <c r="C316" s="85">
        <f>data!BN76</f>
        <v>47336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3107</v>
      </c>
      <c r="H316" s="85">
        <f>data!BS76</f>
        <v>1458</v>
      </c>
      <c r="I316" s="85">
        <f>data!BT76</f>
        <v>0</v>
      </c>
    </row>
    <row r="317" spans="1:9" ht="20.100000000000001" customHeight="1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338</v>
      </c>
      <c r="I318" s="85">
        <f>data!BT78</f>
        <v>0</v>
      </c>
    </row>
    <row r="319" spans="1:9" ht="20.100000000000001" customHeight="1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>
      <c r="A324" s="79" t="str">
        <f>"HOSPITAL NAME: "&amp;data!C84</f>
        <v>HOSPITAL NAME: Deaconess Hospital - MultiCare Health Systems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>
      <c r="A330" s="23">
        <v>5</v>
      </c>
      <c r="B330" s="14" t="s">
        <v>234</v>
      </c>
      <c r="C330" s="26">
        <f>data!BU60</f>
        <v>0</v>
      </c>
      <c r="D330" s="26">
        <f>data!BV60</f>
        <v>23.803255479452091</v>
      </c>
      <c r="E330" s="26">
        <f>data!BW60</f>
        <v>5.33</v>
      </c>
      <c r="F330" s="26">
        <f>data!BX60</f>
        <v>24.336478082191817</v>
      </c>
      <c r="G330" s="26">
        <f>data!BY60</f>
        <v>14.507864383561666</v>
      </c>
      <c r="H330" s="26">
        <f>data!BZ60</f>
        <v>27.321863013698671</v>
      </c>
      <c r="I330" s="26">
        <f>data!CA60</f>
        <v>34.638603424657575</v>
      </c>
    </row>
    <row r="331" spans="1:9" ht="20.100000000000001" customHeight="1">
      <c r="A331" s="23">
        <v>6</v>
      </c>
      <c r="B331" s="14" t="s">
        <v>235</v>
      </c>
      <c r="C331" s="86">
        <f>data!BU61</f>
        <v>0</v>
      </c>
      <c r="D331" s="86">
        <f>data!BV61</f>
        <v>1240437.6200000001</v>
      </c>
      <c r="E331" s="86">
        <f>data!BW61</f>
        <v>289647.24</v>
      </c>
      <c r="F331" s="86">
        <f>data!BX61</f>
        <v>2476858.36</v>
      </c>
      <c r="G331" s="86">
        <f>data!BY61</f>
        <v>1361096.0799999998</v>
      </c>
      <c r="H331" s="86">
        <f>data!BZ61</f>
        <v>1709402.79</v>
      </c>
      <c r="I331" s="86">
        <f>data!CA61</f>
        <v>2671035.6999999997</v>
      </c>
    </row>
    <row r="332" spans="1:9" ht="20.100000000000001" customHeight="1">
      <c r="A332" s="23">
        <v>7</v>
      </c>
      <c r="B332" s="14" t="s">
        <v>3</v>
      </c>
      <c r="C332" s="86">
        <f>data!BU62</f>
        <v>0</v>
      </c>
      <c r="D332" s="86">
        <f>data!BV62</f>
        <v>118752</v>
      </c>
      <c r="E332" s="86">
        <f>data!BW62</f>
        <v>23590</v>
      </c>
      <c r="F332" s="86">
        <f>data!BX62</f>
        <v>227315</v>
      </c>
      <c r="G332" s="86">
        <f>data!BY62</f>
        <v>125044</v>
      </c>
      <c r="H332" s="86">
        <f>data!BZ62</f>
        <v>149037</v>
      </c>
      <c r="I332" s="86">
        <f>data!CA62</f>
        <v>219212</v>
      </c>
    </row>
    <row r="333" spans="1:9" ht="20.100000000000001" customHeight="1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9799.2000000000007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>
      <c r="A334" s="23">
        <v>9</v>
      </c>
      <c r="B334" s="14" t="s">
        <v>237</v>
      </c>
      <c r="C334" s="86">
        <f>data!BU64</f>
        <v>0</v>
      </c>
      <c r="D334" s="86">
        <f>data!BV64</f>
        <v>24408.620000000003</v>
      </c>
      <c r="E334" s="86">
        <f>data!BW64</f>
        <v>1757.6600000000003</v>
      </c>
      <c r="F334" s="86">
        <f>data!BX64</f>
        <v>27735.67</v>
      </c>
      <c r="G334" s="86">
        <f>data!BY64</f>
        <v>7539.75</v>
      </c>
      <c r="H334" s="86">
        <f>data!BZ64</f>
        <v>2622.67</v>
      </c>
      <c r="I334" s="86">
        <f>data!CA64</f>
        <v>22235.129999999997</v>
      </c>
    </row>
    <row r="335" spans="1:9" ht="20.100000000000001" customHeight="1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>
      <c r="A336" s="23">
        <v>11</v>
      </c>
      <c r="B336" s="14" t="s">
        <v>445</v>
      </c>
      <c r="C336" s="86">
        <f>data!BU66</f>
        <v>0</v>
      </c>
      <c r="D336" s="86">
        <f>data!BV66</f>
        <v>936985.17</v>
      </c>
      <c r="E336" s="86">
        <f>data!BW66</f>
        <v>28975.519999999997</v>
      </c>
      <c r="F336" s="86">
        <f>data!BX66</f>
        <v>351368.06999999995</v>
      </c>
      <c r="G336" s="86">
        <f>data!BY66</f>
        <v>58643.42</v>
      </c>
      <c r="H336" s="86">
        <f>data!BZ66</f>
        <v>0</v>
      </c>
      <c r="I336" s="86">
        <f>data!CA66</f>
        <v>-5510.92</v>
      </c>
    </row>
    <row r="337" spans="1:9" ht="20.100000000000001" customHeight="1">
      <c r="A337" s="23">
        <v>12</v>
      </c>
      <c r="B337" s="14" t="s">
        <v>6</v>
      </c>
      <c r="C337" s="86">
        <f>data!BU67</f>
        <v>0</v>
      </c>
      <c r="D337" s="86">
        <f>data!BV67</f>
        <v>303</v>
      </c>
      <c r="E337" s="86">
        <f>data!BW67</f>
        <v>0</v>
      </c>
      <c r="F337" s="86">
        <f>data!BX67</f>
        <v>0</v>
      </c>
      <c r="G337" s="86">
        <f>data!BY67</f>
        <v>410543</v>
      </c>
      <c r="H337" s="86">
        <f>data!BZ67</f>
        <v>0</v>
      </c>
      <c r="I337" s="86">
        <f>data!CA67</f>
        <v>0</v>
      </c>
    </row>
    <row r="338" spans="1:9" ht="20.100000000000001" customHeight="1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>
      <c r="A339" s="23">
        <v>14</v>
      </c>
      <c r="B339" s="14" t="s">
        <v>241</v>
      </c>
      <c r="C339" s="86">
        <f>data!BU69</f>
        <v>0</v>
      </c>
      <c r="D339" s="86">
        <f>data!BV69</f>
        <v>15498.86</v>
      </c>
      <c r="E339" s="86">
        <f>data!BW69</f>
        <v>15498.68</v>
      </c>
      <c r="F339" s="86">
        <f>data!BX69</f>
        <v>95670.299999999988</v>
      </c>
      <c r="G339" s="86">
        <f>data!BY69</f>
        <v>-2432.9</v>
      </c>
      <c r="H339" s="86">
        <f>data!BZ69</f>
        <v>2165</v>
      </c>
      <c r="I339" s="86">
        <f>data!CA69</f>
        <v>6301.39</v>
      </c>
    </row>
    <row r="340" spans="1:9" ht="20.100000000000001" customHeight="1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>
      <c r="A341" s="23">
        <v>16</v>
      </c>
      <c r="B341" s="48" t="s">
        <v>1180</v>
      </c>
      <c r="C341" s="14">
        <f>data!BU71</f>
        <v>0</v>
      </c>
      <c r="D341" s="14">
        <f>data!BV71</f>
        <v>2336385.27</v>
      </c>
      <c r="E341" s="14">
        <f>data!BW71</f>
        <v>369268.3</v>
      </c>
      <c r="F341" s="14">
        <f>data!BX71</f>
        <v>3178947.3999999994</v>
      </c>
      <c r="G341" s="14">
        <f>data!BY71</f>
        <v>1960433.3499999999</v>
      </c>
      <c r="H341" s="14">
        <f>data!BZ71</f>
        <v>1863227.46</v>
      </c>
      <c r="I341" s="14">
        <f>data!CA71</f>
        <v>2913273.3</v>
      </c>
    </row>
    <row r="342" spans="1:9" ht="20.100000000000001" customHeight="1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>
      <c r="A348" s="23">
        <v>22</v>
      </c>
      <c r="B348" s="14" t="s">
        <v>1186</v>
      </c>
      <c r="C348" s="85">
        <f>data!BU76</f>
        <v>0</v>
      </c>
      <c r="D348" s="85">
        <f>data!BV76</f>
        <v>8482</v>
      </c>
      <c r="E348" s="85">
        <f>data!BW76</f>
        <v>0</v>
      </c>
      <c r="F348" s="85">
        <f>data!BX76</f>
        <v>890</v>
      </c>
      <c r="G348" s="85">
        <f>data!BY76</f>
        <v>13470</v>
      </c>
      <c r="H348" s="85">
        <f>data!BZ76</f>
        <v>0</v>
      </c>
      <c r="I348" s="85">
        <f>data!CA76</f>
        <v>1139</v>
      </c>
    </row>
    <row r="349" spans="1:9" ht="20.100000000000001" customHeight="1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>
      <c r="A350" s="23">
        <v>24</v>
      </c>
      <c r="B350" s="14" t="s">
        <v>1188</v>
      </c>
      <c r="C350" s="85">
        <f>data!BU78</f>
        <v>0</v>
      </c>
      <c r="D350" s="85">
        <f>data!BV78</f>
        <v>1965</v>
      </c>
      <c r="E350" s="85">
        <f>data!BW78</f>
        <v>0</v>
      </c>
      <c r="F350" s="85">
        <f>data!BX78</f>
        <v>206</v>
      </c>
      <c r="G350" s="85">
        <f>data!BY78</f>
        <v>3120</v>
      </c>
      <c r="H350" s="85">
        <f>data!BZ78</f>
        <v>0</v>
      </c>
      <c r="I350" s="85">
        <f>data!CA78</f>
        <v>264</v>
      </c>
    </row>
    <row r="351" spans="1:9" ht="20.100000000000001" customHeight="1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>
      <c r="A356" s="79" t="str">
        <f>"HOSPITAL NAME: "&amp;data!C84</f>
        <v>HOSPITAL NAME: Deaconess Hospital - MultiCare Health Systems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>
      <c r="A362" s="23">
        <v>5</v>
      </c>
      <c r="B362" s="14" t="s">
        <v>234</v>
      </c>
      <c r="C362" s="26">
        <f>data!CB60</f>
        <v>0</v>
      </c>
      <c r="D362" s="26">
        <f>data!CC60</f>
        <v>49.181787671232897</v>
      </c>
      <c r="E362" s="217"/>
      <c r="F362" s="211"/>
      <c r="G362" s="211"/>
      <c r="H362" s="211"/>
      <c r="I362" s="87">
        <f>data!CE60</f>
        <v>1377.8025993150693</v>
      </c>
    </row>
    <row r="363" spans="1:9" ht="20.100000000000001" customHeight="1">
      <c r="A363" s="23">
        <v>6</v>
      </c>
      <c r="B363" s="14" t="s">
        <v>235</v>
      </c>
      <c r="C363" s="86">
        <f>data!CB61</f>
        <v>0</v>
      </c>
      <c r="D363" s="86">
        <f>data!CC61</f>
        <v>3431684.69</v>
      </c>
      <c r="E363" s="218"/>
      <c r="F363" s="219"/>
      <c r="G363" s="219"/>
      <c r="H363" s="219"/>
      <c r="I363" s="86">
        <f>data!CE61</f>
        <v>103639434.38999999</v>
      </c>
    </row>
    <row r="364" spans="1:9" ht="20.100000000000001" customHeight="1">
      <c r="A364" s="23">
        <v>7</v>
      </c>
      <c r="B364" s="14" t="s">
        <v>3</v>
      </c>
      <c r="C364" s="86">
        <f>data!CB62</f>
        <v>0</v>
      </c>
      <c r="D364" s="86">
        <f>data!CC62</f>
        <v>17156871</v>
      </c>
      <c r="E364" s="218"/>
      <c r="F364" s="219"/>
      <c r="G364" s="219"/>
      <c r="H364" s="219"/>
      <c r="I364" s="86">
        <f>data!CE62</f>
        <v>25773595</v>
      </c>
    </row>
    <row r="365" spans="1:9" ht="20.100000000000001" customHeight="1">
      <c r="A365" s="23">
        <v>8</v>
      </c>
      <c r="B365" s="14" t="s">
        <v>236</v>
      </c>
      <c r="C365" s="86">
        <f>data!CB63</f>
        <v>0</v>
      </c>
      <c r="D365" s="86">
        <f>data!CC63</f>
        <v>7868711.4800000004</v>
      </c>
      <c r="E365" s="218"/>
      <c r="F365" s="219"/>
      <c r="G365" s="219"/>
      <c r="H365" s="219"/>
      <c r="I365" s="86">
        <f>data!CE63</f>
        <v>17609161.609999999</v>
      </c>
    </row>
    <row r="366" spans="1:9" ht="20.100000000000001" customHeight="1">
      <c r="A366" s="23">
        <v>9</v>
      </c>
      <c r="B366" s="14" t="s">
        <v>237</v>
      </c>
      <c r="C366" s="86">
        <f>data!CB64</f>
        <v>0</v>
      </c>
      <c r="D366" s="86">
        <f>data!CC64</f>
        <v>863318.97</v>
      </c>
      <c r="E366" s="218"/>
      <c r="F366" s="219"/>
      <c r="G366" s="219"/>
      <c r="H366" s="219"/>
      <c r="I366" s="86">
        <f>data!CE64</f>
        <v>67163968.250000015</v>
      </c>
    </row>
    <row r="367" spans="1:9" ht="20.100000000000001" customHeight="1">
      <c r="A367" s="23">
        <v>10</v>
      </c>
      <c r="B367" s="14" t="s">
        <v>444</v>
      </c>
      <c r="C367" s="86">
        <f>data!CB65</f>
        <v>0</v>
      </c>
      <c r="D367" s="86">
        <f>data!CC65</f>
        <v>377735.51000000007</v>
      </c>
      <c r="E367" s="218"/>
      <c r="F367" s="219"/>
      <c r="G367" s="219"/>
      <c r="H367" s="219"/>
      <c r="I367" s="86">
        <f>data!CE65</f>
        <v>3388273.4499999997</v>
      </c>
    </row>
    <row r="368" spans="1:9" ht="20.100000000000001" customHeight="1">
      <c r="A368" s="23">
        <v>11</v>
      </c>
      <c r="B368" s="14" t="s">
        <v>445</v>
      </c>
      <c r="C368" s="86">
        <f>data!CB66</f>
        <v>0</v>
      </c>
      <c r="D368" s="86">
        <f>data!CC66</f>
        <v>1470223.24</v>
      </c>
      <c r="E368" s="218"/>
      <c r="F368" s="219"/>
      <c r="G368" s="219"/>
      <c r="H368" s="219"/>
      <c r="I368" s="86">
        <f>data!CE66</f>
        <v>33310914.109999999</v>
      </c>
    </row>
    <row r="369" spans="1:9" ht="20.100000000000001" customHeight="1">
      <c r="A369" s="23">
        <v>12</v>
      </c>
      <c r="B369" s="14" t="s">
        <v>6</v>
      </c>
      <c r="C369" s="86">
        <f>data!CB67</f>
        <v>0</v>
      </c>
      <c r="D369" s="86">
        <f>data!CC67</f>
        <v>7480382</v>
      </c>
      <c r="E369" s="218"/>
      <c r="F369" s="219"/>
      <c r="G369" s="219"/>
      <c r="H369" s="219"/>
      <c r="I369" s="86">
        <f>data!CE67</f>
        <v>17658622</v>
      </c>
    </row>
    <row r="370" spans="1:9" ht="20.100000000000001" customHeight="1">
      <c r="A370" s="23">
        <v>13</v>
      </c>
      <c r="B370" s="14" t="s">
        <v>474</v>
      </c>
      <c r="C370" s="86">
        <f>data!CB68</f>
        <v>0</v>
      </c>
      <c r="D370" s="86">
        <f>data!CC68</f>
        <v>1369459.0599999998</v>
      </c>
      <c r="E370" s="218"/>
      <c r="F370" s="219"/>
      <c r="G370" s="219"/>
      <c r="H370" s="219"/>
      <c r="I370" s="86">
        <f>data!CE68</f>
        <v>4488782.4399999985</v>
      </c>
    </row>
    <row r="371" spans="1:9" ht="20.100000000000001" customHeight="1">
      <c r="A371" s="23">
        <v>14</v>
      </c>
      <c r="B371" s="14" t="s">
        <v>241</v>
      </c>
      <c r="C371" s="86">
        <f>data!CB69</f>
        <v>0</v>
      </c>
      <c r="D371" s="86">
        <f>data!CC69</f>
        <v>14531283.859999999</v>
      </c>
      <c r="E371" s="86">
        <f>data!CD69</f>
        <v>0</v>
      </c>
      <c r="F371" s="219"/>
      <c r="G371" s="219"/>
      <c r="H371" s="219"/>
      <c r="I371" s="86">
        <f>data!CE69</f>
        <v>18122423.130000003</v>
      </c>
    </row>
    <row r="372" spans="1:9" ht="20.100000000000001" customHeight="1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>
      <c r="A373" s="23">
        <v>16</v>
      </c>
      <c r="B373" s="48" t="s">
        <v>1180</v>
      </c>
      <c r="C373" s="86">
        <f>data!CB71</f>
        <v>0</v>
      </c>
      <c r="D373" s="86">
        <f>data!CC71</f>
        <v>54549669.810000002</v>
      </c>
      <c r="E373" s="86">
        <f>data!CD71</f>
        <v>0</v>
      </c>
      <c r="F373" s="219"/>
      <c r="G373" s="219"/>
      <c r="H373" s="219"/>
      <c r="I373" s="14">
        <f>data!CE71</f>
        <v>291155174.38</v>
      </c>
    </row>
    <row r="374" spans="1:9" ht="20.100000000000001" customHeight="1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785563547.00999999</v>
      </c>
    </row>
    <row r="377" spans="1:9" ht="20.100000000000001" customHeight="1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699419515.96000004</v>
      </c>
    </row>
    <row r="378" spans="1:9" ht="20.100000000000001" customHeight="1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1484983062.97</v>
      </c>
    </row>
    <row r="379" spans="1:9" ht="20.100000000000001" customHeight="1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>
      <c r="A380" s="23">
        <v>22</v>
      </c>
      <c r="B380" s="14" t="s">
        <v>1186</v>
      </c>
      <c r="C380" s="85">
        <f>data!CB76</f>
        <v>0</v>
      </c>
      <c r="D380" s="85">
        <f>data!CC76</f>
        <v>3283</v>
      </c>
      <c r="E380" s="214"/>
      <c r="F380" s="211"/>
      <c r="G380" s="211"/>
      <c r="H380" s="211"/>
      <c r="I380" s="14">
        <f>data!CE76</f>
        <v>871026</v>
      </c>
    </row>
    <row r="381" spans="1:9" ht="20.100000000000001" customHeight="1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145747</v>
      </c>
    </row>
    <row r="382" spans="1:9" ht="20.100000000000001" customHeight="1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126293.10486570165</v>
      </c>
    </row>
    <row r="383" spans="1:9" ht="20.100000000000001" customHeight="1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1546731.2883000001</v>
      </c>
    </row>
    <row r="384" spans="1:9" ht="20.100000000000001" customHeight="1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359.91977435397337</v>
      </c>
    </row>
  </sheetData>
  <customSheetViews>
    <customSheetView guid="{D74B16BB-9BDF-4AEC-AA99-B864B9498389}" scale="65" showGridLines="0" topLeftCell="A343">
      <selection activeCell="H169" sqref="H169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1"/>
      <headerFooter alignWithMargins="0"/>
    </customSheetView>
    <customSheetView guid="{78E778D5-69A8-4E35-B0F3-6D26A1845557}" scale="65" showGridLines="0">
      <selection activeCell="A386" sqref="A386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2"/>
      <headerFooter alignWithMargins="0"/>
    </customSheetView>
    <customSheetView guid="{783D34AB-F88A-4C40-8B8F-D04647EC64BD}" scale="65" showGridLines="0">
      <selection activeCell="A386" sqref="A386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3"/>
      <headerFooter alignWithMargins="0"/>
    </customSheetView>
    <customSheetView guid="{D74738EB-3446-4A41-91B2-3626AA7FCC94}" scale="65" showGridLines="0">
      <selection activeCell="A386" sqref="A386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4"/>
      <headerFooter alignWithMargins="0"/>
    </customSheetView>
    <customSheetView guid="{37DA5E57-E52E-47A3-B98A-9CAA60A4BD45}" scale="65" showGridLines="0" topLeftCell="A343">
      <selection activeCell="H169" sqref="H169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5"/>
      <headerFooter alignWithMargins="0"/>
    </customSheetView>
  </customSheetViews>
  <phoneticPr fontId="0" type="noConversion"/>
  <printOptions horizontalCentered="1" verticalCentered="1"/>
  <pageMargins left="0" right="0" top="0" bottom="0" header="0" footer="0"/>
  <pageSetup scale="83" fitToHeight="12" orientation="landscape" r:id="rId6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G716" sqref="G716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" customHeight="1">
      <c r="A22" s="237" t="s">
        <v>1254</v>
      </c>
      <c r="B22" s="238"/>
      <c r="C22" s="239"/>
      <c r="D22" s="237"/>
      <c r="E22" s="237"/>
    </row>
    <row r="23" spans="1:6" ht="12.6" customHeight="1">
      <c r="B23" s="199"/>
      <c r="C23" s="236"/>
    </row>
    <row r="24" spans="1:6" ht="12.6" customHeight="1">
      <c r="A24" s="240" t="s">
        <v>3</v>
      </c>
      <c r="C24" s="236"/>
    </row>
    <row r="25" spans="1:6" ht="12.6" customHeight="1">
      <c r="A25" s="198" t="s">
        <v>1235</v>
      </c>
      <c r="C25" s="236"/>
    </row>
    <row r="26" spans="1:6" ht="12.6" customHeight="1">
      <c r="A26" s="199" t="s">
        <v>4</v>
      </c>
      <c r="C26" s="236"/>
    </row>
    <row r="27" spans="1:6" ht="12.6" customHeight="1">
      <c r="A27" s="198" t="s">
        <v>1236</v>
      </c>
      <c r="C27" s="236"/>
    </row>
    <row r="28" spans="1:6" ht="12.6" customHeight="1">
      <c r="A28" s="199" t="s">
        <v>5</v>
      </c>
      <c r="C28" s="236"/>
    </row>
    <row r="29" spans="1:6" ht="12.6" customHeight="1">
      <c r="A29" s="198"/>
      <c r="C29" s="236"/>
    </row>
    <row r="30" spans="1:6" ht="12.6" customHeight="1">
      <c r="A30" s="180" t="s">
        <v>6</v>
      </c>
      <c r="C30" s="236"/>
    </row>
    <row r="31" spans="1:6" ht="12.6" customHeight="1">
      <c r="A31" s="199" t="s">
        <v>7</v>
      </c>
      <c r="C31" s="236"/>
    </row>
    <row r="32" spans="1:6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>
        <v>25773593.699999992</v>
      </c>
      <c r="C47" s="184">
        <v>867641.16999999993</v>
      </c>
      <c r="D47" s="184">
        <v>695364.56</v>
      </c>
      <c r="E47" s="184">
        <v>795840.12</v>
      </c>
      <c r="F47" s="184">
        <v>177745.62000000002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31574.63</v>
      </c>
      <c r="O47" s="184">
        <v>283233.11</v>
      </c>
      <c r="P47" s="184">
        <v>954858.6</v>
      </c>
      <c r="Q47" s="184">
        <v>163665.92000000001</v>
      </c>
      <c r="R47" s="184">
        <v>17121.09</v>
      </c>
      <c r="S47" s="184">
        <v>80684.83</v>
      </c>
      <c r="T47" s="184">
        <v>33393.96</v>
      </c>
      <c r="U47" s="184">
        <v>317928.73000000004</v>
      </c>
      <c r="V47" s="184">
        <v>14355.349999999999</v>
      </c>
      <c r="W47" s="184">
        <v>49649.440000000002</v>
      </c>
      <c r="X47" s="184">
        <v>110781.2</v>
      </c>
      <c r="Y47" s="184">
        <v>474529.34</v>
      </c>
      <c r="Z47" s="184">
        <v>-34661.360000000001</v>
      </c>
      <c r="AA47" s="184">
        <v>34033.310000000005</v>
      </c>
      <c r="AB47" s="184">
        <v>327121.06</v>
      </c>
      <c r="AC47" s="184">
        <v>244075.81</v>
      </c>
      <c r="AD47" s="184">
        <v>338.05</v>
      </c>
      <c r="AE47" s="184">
        <v>71084.820000000022</v>
      </c>
      <c r="AF47" s="184">
        <v>0</v>
      </c>
      <c r="AG47" s="184">
        <v>474401.5</v>
      </c>
      <c r="AH47" s="184">
        <v>0</v>
      </c>
      <c r="AI47" s="184">
        <v>71520.39</v>
      </c>
      <c r="AJ47" s="184">
        <v>226697.95</v>
      </c>
      <c r="AK47" s="184">
        <v>34580.47</v>
      </c>
      <c r="AL47" s="184">
        <v>16314.140000000001</v>
      </c>
      <c r="AM47" s="184">
        <v>0</v>
      </c>
      <c r="AN47" s="184">
        <v>16965.05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183238.99000000002</v>
      </c>
      <c r="AW47" s="184">
        <v>0</v>
      </c>
      <c r="AX47" s="184">
        <v>0</v>
      </c>
      <c r="AY47" s="184">
        <v>202025.58999999997</v>
      </c>
      <c r="AZ47" s="184">
        <v>0</v>
      </c>
      <c r="BA47" s="184">
        <v>9807.06</v>
      </c>
      <c r="BB47" s="184">
        <v>0</v>
      </c>
      <c r="BC47" s="184">
        <v>21177.880000000005</v>
      </c>
      <c r="BD47" s="184">
        <v>38949.800000000003</v>
      </c>
      <c r="BE47" s="184">
        <v>207437.56</v>
      </c>
      <c r="BF47" s="184">
        <v>186097.02</v>
      </c>
      <c r="BG47" s="184">
        <v>21354.97</v>
      </c>
      <c r="BH47" s="184">
        <v>0</v>
      </c>
      <c r="BI47" s="184">
        <v>0</v>
      </c>
      <c r="BJ47" s="184">
        <v>62337.11</v>
      </c>
      <c r="BK47" s="184">
        <v>102806.12999999999</v>
      </c>
      <c r="BL47" s="184">
        <v>51662.8</v>
      </c>
      <c r="BM47" s="184">
        <v>0</v>
      </c>
      <c r="BN47" s="184">
        <v>63610.87000000001</v>
      </c>
      <c r="BO47" s="184">
        <v>0</v>
      </c>
      <c r="BP47" s="184">
        <v>-34.60999999999995</v>
      </c>
      <c r="BQ47" s="184">
        <v>0</v>
      </c>
      <c r="BR47" s="184">
        <v>52495.64</v>
      </c>
      <c r="BS47" s="184">
        <v>0</v>
      </c>
      <c r="BT47" s="184">
        <v>-33.340000000000003</v>
      </c>
      <c r="BU47" s="184">
        <v>0</v>
      </c>
      <c r="BV47" s="184">
        <v>118752.42</v>
      </c>
      <c r="BW47" s="184">
        <v>23589.620000000003</v>
      </c>
      <c r="BX47" s="184">
        <v>227315.17</v>
      </c>
      <c r="BY47" s="184">
        <v>125043.77</v>
      </c>
      <c r="BZ47" s="184">
        <v>149037.44999999998</v>
      </c>
      <c r="CA47" s="184">
        <v>219212.43000000002</v>
      </c>
      <c r="CB47" s="184">
        <v>0</v>
      </c>
      <c r="CC47" s="184">
        <v>17156870.509999998</v>
      </c>
      <c r="CD47" s="195"/>
      <c r="CE47" s="195">
        <f>SUM(C47:CC47)</f>
        <v>25773593.699999992</v>
      </c>
    </row>
    <row r="48" spans="1:83" ht="12.6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>
      <c r="A49" s="175" t="s">
        <v>206</v>
      </c>
      <c r="B49" s="195">
        <f>B47+B48</f>
        <v>25773593.699999992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184">
        <v>17658620.43</v>
      </c>
      <c r="C51" s="184">
        <v>275315.59000000003</v>
      </c>
      <c r="D51" s="184">
        <v>157643.75</v>
      </c>
      <c r="E51" s="184">
        <v>820.28000000000009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179008.61</v>
      </c>
      <c r="P51" s="184">
        <v>2467231.8199999998</v>
      </c>
      <c r="Q51" s="184">
        <v>7012.42</v>
      </c>
      <c r="R51" s="184">
        <v>309928.8</v>
      </c>
      <c r="S51" s="184">
        <v>19242.669999999998</v>
      </c>
      <c r="T51" s="184">
        <v>0</v>
      </c>
      <c r="U51" s="184">
        <v>85007.02</v>
      </c>
      <c r="V51" s="184">
        <v>0</v>
      </c>
      <c r="W51" s="184">
        <v>152959.64000000001</v>
      </c>
      <c r="X51" s="184">
        <v>115958.56999999998</v>
      </c>
      <c r="Y51" s="184">
        <v>1017561.5</v>
      </c>
      <c r="Z51" s="184">
        <v>0</v>
      </c>
      <c r="AA51" s="184">
        <v>20052.259999999998</v>
      </c>
      <c r="AB51" s="184">
        <v>32768.82</v>
      </c>
      <c r="AC51" s="184">
        <v>141009.12</v>
      </c>
      <c r="AD51" s="184">
        <v>19679.400000000005</v>
      </c>
      <c r="AE51" s="184">
        <v>0</v>
      </c>
      <c r="AF51" s="184">
        <v>0</v>
      </c>
      <c r="AG51" s="184">
        <v>281540.87</v>
      </c>
      <c r="AH51" s="184">
        <v>0</v>
      </c>
      <c r="AI51" s="184">
        <v>2958</v>
      </c>
      <c r="AJ51" s="184">
        <v>15172.37</v>
      </c>
      <c r="AK51" s="184">
        <v>1096.2</v>
      </c>
      <c r="AL51" s="184">
        <v>0</v>
      </c>
      <c r="AM51" s="184">
        <v>0</v>
      </c>
      <c r="AN51" s="184">
        <v>72436.22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82421.310000000012</v>
      </c>
      <c r="AW51" s="184">
        <v>0</v>
      </c>
      <c r="AX51" s="184">
        <v>0</v>
      </c>
      <c r="AY51" s="184">
        <v>46850.740000000005</v>
      </c>
      <c r="AZ51" s="184">
        <v>0</v>
      </c>
      <c r="BA51" s="184">
        <v>0</v>
      </c>
      <c r="BB51" s="184">
        <v>0</v>
      </c>
      <c r="BC51" s="184">
        <v>2923.1999999999994</v>
      </c>
      <c r="BD51" s="184">
        <v>5142.93</v>
      </c>
      <c r="BE51" s="184">
        <v>100076.98</v>
      </c>
      <c r="BF51" s="184">
        <v>9531.7199999999975</v>
      </c>
      <c r="BG51" s="184">
        <v>0</v>
      </c>
      <c r="BH51" s="184">
        <v>3023224.67</v>
      </c>
      <c r="BI51" s="184">
        <v>0</v>
      </c>
      <c r="BJ51" s="184">
        <v>0</v>
      </c>
      <c r="BK51" s="184">
        <v>3145.26</v>
      </c>
      <c r="BL51" s="184">
        <v>0</v>
      </c>
      <c r="BM51" s="184">
        <v>0</v>
      </c>
      <c r="BN51" s="184">
        <v>1118976.31</v>
      </c>
      <c r="BO51" s="184">
        <v>0</v>
      </c>
      <c r="BP51" s="184">
        <v>0</v>
      </c>
      <c r="BQ51" s="184">
        <v>0</v>
      </c>
      <c r="BR51" s="184">
        <v>696</v>
      </c>
      <c r="BS51" s="184">
        <v>0</v>
      </c>
      <c r="BT51" s="184">
        <v>0</v>
      </c>
      <c r="BU51" s="184">
        <v>0</v>
      </c>
      <c r="BV51" s="184">
        <v>303.05000000000007</v>
      </c>
      <c r="BW51" s="184">
        <v>0</v>
      </c>
      <c r="BX51" s="184">
        <v>0</v>
      </c>
      <c r="BY51" s="184">
        <v>410542.79000000004</v>
      </c>
      <c r="BZ51" s="184">
        <v>0</v>
      </c>
      <c r="CA51" s="184">
        <v>0</v>
      </c>
      <c r="CB51" s="184">
        <v>0</v>
      </c>
      <c r="CC51" s="184">
        <v>7480381.54</v>
      </c>
      <c r="CD51" s="195"/>
      <c r="CE51" s="195">
        <f>SUM(C51:CD51)</f>
        <v>17658620.43</v>
      </c>
    </row>
    <row r="52" spans="1:84" ht="12.6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>
      <c r="A53" s="175" t="s">
        <v>206</v>
      </c>
      <c r="B53" s="195">
        <f>B51+B52</f>
        <v>17658620.43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184">
        <v>8755</v>
      </c>
      <c r="D59" s="184">
        <v>17572</v>
      </c>
      <c r="E59" s="184">
        <v>23085</v>
      </c>
      <c r="F59" s="184">
        <v>4308</v>
      </c>
      <c r="G59" s="184"/>
      <c r="H59" s="184"/>
      <c r="I59" s="184"/>
      <c r="J59" s="184"/>
      <c r="K59" s="184"/>
      <c r="L59" s="184"/>
      <c r="M59" s="184"/>
      <c r="N59" s="184">
        <v>936</v>
      </c>
      <c r="O59" s="184">
        <v>1329</v>
      </c>
      <c r="P59" s="185">
        <v>1457858</v>
      </c>
      <c r="Q59" s="185">
        <v>999457.39436619717</v>
      </c>
      <c r="R59" s="185">
        <v>1562437</v>
      </c>
      <c r="S59" s="248"/>
      <c r="T59" s="248"/>
      <c r="U59" s="224">
        <v>709344</v>
      </c>
      <c r="V59" s="185">
        <v>14084</v>
      </c>
      <c r="W59" s="185">
        <v>35154.795070422537</v>
      </c>
      <c r="X59" s="185">
        <v>19640</v>
      </c>
      <c r="Y59" s="185">
        <v>142749</v>
      </c>
      <c r="Z59" s="185">
        <v>4882</v>
      </c>
      <c r="AA59" s="185">
        <v>15718</v>
      </c>
      <c r="AB59" s="248"/>
      <c r="AC59" s="185">
        <v>58327</v>
      </c>
      <c r="AD59" s="185">
        <v>1814</v>
      </c>
      <c r="AE59" s="185">
        <v>23370</v>
      </c>
      <c r="AF59" s="185"/>
      <c r="AG59" s="185">
        <v>51521</v>
      </c>
      <c r="AH59" s="185"/>
      <c r="AI59" s="185">
        <v>0</v>
      </c>
      <c r="AJ59" s="185">
        <v>3630</v>
      </c>
      <c r="AK59" s="185">
        <v>11150</v>
      </c>
      <c r="AL59" s="185">
        <v>3759</v>
      </c>
      <c r="AM59" s="185"/>
      <c r="AN59" s="185">
        <v>1714</v>
      </c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145747</v>
      </c>
      <c r="AZ59" s="185"/>
      <c r="BA59" s="248"/>
      <c r="BB59" s="248"/>
      <c r="BC59" s="248"/>
      <c r="BD59" s="248"/>
      <c r="BE59" s="185">
        <v>871026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186">
        <v>93.367443150685091</v>
      </c>
      <c r="D60" s="187">
        <v>105.55631301369881</v>
      </c>
      <c r="E60" s="187">
        <v>130.17418630137004</v>
      </c>
      <c r="F60" s="223">
        <v>23.29</v>
      </c>
      <c r="G60" s="187"/>
      <c r="H60" s="187"/>
      <c r="I60" s="187"/>
      <c r="J60" s="223"/>
      <c r="K60" s="187"/>
      <c r="L60" s="187"/>
      <c r="M60" s="187"/>
      <c r="N60" s="187">
        <v>9.0945630136986431</v>
      </c>
      <c r="O60" s="187">
        <v>34.049999999999997</v>
      </c>
      <c r="P60" s="221">
        <v>140.6724890410961</v>
      </c>
      <c r="Q60" s="221">
        <v>18.576935616438384</v>
      </c>
      <c r="R60" s="221">
        <v>5.5466513698630227</v>
      </c>
      <c r="S60" s="221">
        <v>19.420000000000002</v>
      </c>
      <c r="T60" s="221">
        <v>3.08</v>
      </c>
      <c r="U60" s="221">
        <v>57.35</v>
      </c>
      <c r="V60" s="221">
        <v>3.91</v>
      </c>
      <c r="W60" s="221">
        <v>6.7599527397260371</v>
      </c>
      <c r="X60" s="221">
        <v>14.18</v>
      </c>
      <c r="Y60" s="221">
        <v>62.827919863013804</v>
      </c>
      <c r="Z60" s="221">
        <v>2.95</v>
      </c>
      <c r="AA60" s="221">
        <v>3.88</v>
      </c>
      <c r="AB60" s="221">
        <v>37.51</v>
      </c>
      <c r="AC60" s="221">
        <v>33.520000000000003</v>
      </c>
      <c r="AD60" s="221">
        <v>0.31</v>
      </c>
      <c r="AE60" s="221">
        <v>9.39</v>
      </c>
      <c r="AF60" s="221"/>
      <c r="AG60" s="221">
        <v>69.48</v>
      </c>
      <c r="AH60" s="221"/>
      <c r="AI60" s="221">
        <v>8.9590554794520685</v>
      </c>
      <c r="AJ60" s="221">
        <v>26.086837671232917</v>
      </c>
      <c r="AK60" s="221">
        <v>3.68</v>
      </c>
      <c r="AL60" s="221">
        <v>1.99</v>
      </c>
      <c r="AM60" s="221"/>
      <c r="AN60" s="221">
        <v>3.1864431506849358</v>
      </c>
      <c r="AO60" s="221">
        <v>0</v>
      </c>
      <c r="AP60" s="221"/>
      <c r="AQ60" s="221"/>
      <c r="AR60" s="221"/>
      <c r="AS60" s="221"/>
      <c r="AT60" s="221"/>
      <c r="AU60" s="221"/>
      <c r="AV60" s="221">
        <v>22.957530821917839</v>
      </c>
      <c r="AW60" s="221"/>
      <c r="AX60" s="221"/>
      <c r="AY60" s="221">
        <v>57.55</v>
      </c>
      <c r="AZ60" s="221"/>
      <c r="BA60" s="221">
        <v>3</v>
      </c>
      <c r="BB60" s="221"/>
      <c r="BC60" s="221">
        <v>7.39</v>
      </c>
      <c r="BD60" s="221">
        <v>17.670000000000002</v>
      </c>
      <c r="BE60" s="221">
        <v>35.891986986301426</v>
      </c>
      <c r="BF60" s="221">
        <v>60.551380821917896</v>
      </c>
      <c r="BG60" s="221">
        <v>5.35</v>
      </c>
      <c r="BH60" s="221">
        <v>1.2330452054794538</v>
      </c>
      <c r="BI60" s="221"/>
      <c r="BJ60" s="221">
        <v>10.28</v>
      </c>
      <c r="BK60" s="221">
        <v>22.135251369863045</v>
      </c>
      <c r="BL60" s="221">
        <v>10.28</v>
      </c>
      <c r="BM60" s="221"/>
      <c r="BN60" s="221">
        <v>12.86</v>
      </c>
      <c r="BO60" s="221"/>
      <c r="BP60" s="221">
        <v>0.25</v>
      </c>
      <c r="BQ60" s="221"/>
      <c r="BR60" s="221">
        <v>2.4947616438356199</v>
      </c>
      <c r="BS60" s="221"/>
      <c r="BT60" s="221">
        <v>-0.01</v>
      </c>
      <c r="BU60" s="221"/>
      <c r="BV60" s="221">
        <v>23.803255479452091</v>
      </c>
      <c r="BW60" s="221">
        <v>5.33</v>
      </c>
      <c r="BX60" s="221">
        <v>24.336478082191817</v>
      </c>
      <c r="BY60" s="221">
        <v>14.507864383561666</v>
      </c>
      <c r="BZ60" s="221">
        <v>27.321863013698671</v>
      </c>
      <c r="CA60" s="221">
        <v>34.638603424657575</v>
      </c>
      <c r="CB60" s="221"/>
      <c r="CC60" s="221">
        <v>49.181787671232897</v>
      </c>
      <c r="CD60" s="249" t="s">
        <v>221</v>
      </c>
      <c r="CE60" s="251">
        <f t="shared" ref="CE60:CE70" si="0">SUM(C60:CD60)</f>
        <v>1377.8025993150693</v>
      </c>
    </row>
    <row r="61" spans="1:84" ht="12.6" customHeight="1">
      <c r="A61" s="171" t="s">
        <v>235</v>
      </c>
      <c r="B61" s="175"/>
      <c r="C61" s="184">
        <v>9319605.3899999987</v>
      </c>
      <c r="D61" s="184">
        <v>8042311.0599999996</v>
      </c>
      <c r="E61" s="184">
        <v>9900373.3500000015</v>
      </c>
      <c r="F61" s="184">
        <v>2061134.5299999998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395854.65</v>
      </c>
      <c r="O61" s="184">
        <v>3040598.18</v>
      </c>
      <c r="P61" s="184">
        <v>10304223.77</v>
      </c>
      <c r="Q61" s="184">
        <v>1875226.8699999999</v>
      </c>
      <c r="R61" s="184">
        <v>188387.20999999996</v>
      </c>
      <c r="S61" s="184">
        <v>901269.79</v>
      </c>
      <c r="T61" s="184">
        <v>335861.66000000003</v>
      </c>
      <c r="U61" s="184">
        <v>3758174.75</v>
      </c>
      <c r="V61" s="184">
        <v>179917.56</v>
      </c>
      <c r="W61" s="184">
        <v>541731.2300000001</v>
      </c>
      <c r="X61" s="184">
        <v>1130688.69</v>
      </c>
      <c r="Y61" s="184">
        <v>5310915.29</v>
      </c>
      <c r="Z61" s="184">
        <v>281827.85000000003</v>
      </c>
      <c r="AA61" s="184">
        <v>387006.39</v>
      </c>
      <c r="AB61" s="184">
        <v>3541061.46</v>
      </c>
      <c r="AC61" s="184">
        <v>2609122.5699999998</v>
      </c>
      <c r="AD61" s="184">
        <v>45207.35</v>
      </c>
      <c r="AE61" s="184">
        <v>761947.07000000007</v>
      </c>
      <c r="AF61" s="184">
        <v>0</v>
      </c>
      <c r="AG61" s="184">
        <v>6154852.75</v>
      </c>
      <c r="AH61" s="184">
        <v>0</v>
      </c>
      <c r="AI61" s="184">
        <v>760078.70000000007</v>
      </c>
      <c r="AJ61" s="184">
        <v>2420922.5499999998</v>
      </c>
      <c r="AK61" s="184">
        <v>340966.25</v>
      </c>
      <c r="AL61" s="184">
        <v>183834.23999999999</v>
      </c>
      <c r="AM61" s="184">
        <v>0</v>
      </c>
      <c r="AN61" s="184">
        <v>183994.50000000003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1984740.16</v>
      </c>
      <c r="AW61" s="184">
        <v>0</v>
      </c>
      <c r="AX61" s="184">
        <v>0</v>
      </c>
      <c r="AY61" s="184">
        <v>2234974.86</v>
      </c>
      <c r="AZ61" s="184">
        <v>0</v>
      </c>
      <c r="BA61" s="184">
        <v>114242.85</v>
      </c>
      <c r="BB61" s="184">
        <v>0</v>
      </c>
      <c r="BC61" s="184">
        <v>256532.92999999996</v>
      </c>
      <c r="BD61" s="184">
        <v>822749.67000000016</v>
      </c>
      <c r="BE61" s="184">
        <v>2451297.54</v>
      </c>
      <c r="BF61" s="184">
        <v>2305738.36</v>
      </c>
      <c r="BG61" s="184">
        <v>228840.93000000002</v>
      </c>
      <c r="BH61" s="184">
        <v>6155.630000000001</v>
      </c>
      <c r="BI61" s="184">
        <v>0</v>
      </c>
      <c r="BJ61" s="184">
        <v>639375.37999999989</v>
      </c>
      <c r="BK61" s="184">
        <v>1139214.28</v>
      </c>
      <c r="BL61" s="184">
        <v>486706.36000000004</v>
      </c>
      <c r="BM61" s="184">
        <v>0</v>
      </c>
      <c r="BN61" s="184">
        <v>2656384.5499999998</v>
      </c>
      <c r="BO61" s="184">
        <v>0</v>
      </c>
      <c r="BP61" s="184">
        <v>4225.8399999999983</v>
      </c>
      <c r="BQ61" s="184">
        <v>0</v>
      </c>
      <c r="BR61" s="184">
        <v>171386.19</v>
      </c>
      <c r="BS61" s="184">
        <v>0</v>
      </c>
      <c r="BT61" s="184">
        <v>-389.28</v>
      </c>
      <c r="BU61" s="184">
        <v>0</v>
      </c>
      <c r="BV61" s="184">
        <v>1240437.6200000001</v>
      </c>
      <c r="BW61" s="184">
        <v>289647.24</v>
      </c>
      <c r="BX61" s="184">
        <v>2476858.36</v>
      </c>
      <c r="BY61" s="184">
        <v>1361096.0799999998</v>
      </c>
      <c r="BZ61" s="184">
        <v>1709402.79</v>
      </c>
      <c r="CA61" s="184">
        <v>2671035.6999999997</v>
      </c>
      <c r="CB61" s="184">
        <v>0</v>
      </c>
      <c r="CC61" s="184">
        <v>3431684.69</v>
      </c>
      <c r="CD61" s="249" t="s">
        <v>221</v>
      </c>
      <c r="CE61" s="195">
        <f t="shared" si="0"/>
        <v>103639434.38999999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867641</v>
      </c>
      <c r="D62" s="195">
        <f t="shared" si="1"/>
        <v>695365</v>
      </c>
      <c r="E62" s="195">
        <f t="shared" si="1"/>
        <v>795840</v>
      </c>
      <c r="F62" s="195">
        <f t="shared" si="1"/>
        <v>177746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31575</v>
      </c>
      <c r="O62" s="195">
        <f t="shared" si="1"/>
        <v>283233</v>
      </c>
      <c r="P62" s="195">
        <f t="shared" si="1"/>
        <v>954859</v>
      </c>
      <c r="Q62" s="195">
        <f t="shared" si="1"/>
        <v>163666</v>
      </c>
      <c r="R62" s="195">
        <f t="shared" si="1"/>
        <v>17121</v>
      </c>
      <c r="S62" s="195">
        <f t="shared" si="1"/>
        <v>80685</v>
      </c>
      <c r="T62" s="195">
        <f t="shared" si="1"/>
        <v>33394</v>
      </c>
      <c r="U62" s="195">
        <f t="shared" si="1"/>
        <v>317929</v>
      </c>
      <c r="V62" s="195">
        <f t="shared" si="1"/>
        <v>14355</v>
      </c>
      <c r="W62" s="195">
        <f t="shared" si="1"/>
        <v>49649</v>
      </c>
      <c r="X62" s="195">
        <f t="shared" si="1"/>
        <v>110781</v>
      </c>
      <c r="Y62" s="195">
        <f t="shared" si="1"/>
        <v>474529</v>
      </c>
      <c r="Z62" s="195">
        <f t="shared" si="1"/>
        <v>-34661</v>
      </c>
      <c r="AA62" s="195">
        <f t="shared" si="1"/>
        <v>34033</v>
      </c>
      <c r="AB62" s="195">
        <f t="shared" si="1"/>
        <v>327121</v>
      </c>
      <c r="AC62" s="195">
        <f t="shared" si="1"/>
        <v>244076</v>
      </c>
      <c r="AD62" s="195">
        <f t="shared" si="1"/>
        <v>338</v>
      </c>
      <c r="AE62" s="195">
        <f t="shared" si="1"/>
        <v>71085</v>
      </c>
      <c r="AF62" s="195">
        <f t="shared" si="1"/>
        <v>0</v>
      </c>
      <c r="AG62" s="195">
        <f t="shared" si="1"/>
        <v>474402</v>
      </c>
      <c r="AH62" s="195">
        <f t="shared" si="1"/>
        <v>0</v>
      </c>
      <c r="AI62" s="195">
        <f t="shared" si="1"/>
        <v>71520</v>
      </c>
      <c r="AJ62" s="195">
        <f t="shared" si="1"/>
        <v>226698</v>
      </c>
      <c r="AK62" s="195">
        <f t="shared" si="1"/>
        <v>34580</v>
      </c>
      <c r="AL62" s="195">
        <f t="shared" si="1"/>
        <v>16314</v>
      </c>
      <c r="AM62" s="195">
        <f t="shared" si="1"/>
        <v>0</v>
      </c>
      <c r="AN62" s="195">
        <f t="shared" si="1"/>
        <v>16965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183239</v>
      </c>
      <c r="AW62" s="195">
        <f t="shared" si="1"/>
        <v>0</v>
      </c>
      <c r="AX62" s="195">
        <f t="shared" si="1"/>
        <v>0</v>
      </c>
      <c r="AY62" s="195">
        <f>ROUND(AY47+AY48,0)</f>
        <v>202026</v>
      </c>
      <c r="AZ62" s="195">
        <f>ROUND(AZ47+AZ48,0)</f>
        <v>0</v>
      </c>
      <c r="BA62" s="195">
        <f>ROUND(BA47+BA48,0)</f>
        <v>9807</v>
      </c>
      <c r="BB62" s="195">
        <f t="shared" si="1"/>
        <v>0</v>
      </c>
      <c r="BC62" s="195">
        <f t="shared" si="1"/>
        <v>21178</v>
      </c>
      <c r="BD62" s="195">
        <f t="shared" si="1"/>
        <v>38950</v>
      </c>
      <c r="BE62" s="195">
        <f t="shared" si="1"/>
        <v>207438</v>
      </c>
      <c r="BF62" s="195">
        <f t="shared" si="1"/>
        <v>186097</v>
      </c>
      <c r="BG62" s="195">
        <f t="shared" si="1"/>
        <v>21355</v>
      </c>
      <c r="BH62" s="195">
        <f t="shared" si="1"/>
        <v>0</v>
      </c>
      <c r="BI62" s="195">
        <f t="shared" si="1"/>
        <v>0</v>
      </c>
      <c r="BJ62" s="195">
        <f t="shared" si="1"/>
        <v>62337</v>
      </c>
      <c r="BK62" s="195">
        <f t="shared" si="1"/>
        <v>102806</v>
      </c>
      <c r="BL62" s="195">
        <f t="shared" si="1"/>
        <v>51663</v>
      </c>
      <c r="BM62" s="195">
        <f t="shared" si="1"/>
        <v>0</v>
      </c>
      <c r="BN62" s="195">
        <f t="shared" si="1"/>
        <v>63611</v>
      </c>
      <c r="BO62" s="195">
        <f t="shared" ref="BO62:CC62" si="2">ROUND(BO47+BO48,0)</f>
        <v>0</v>
      </c>
      <c r="BP62" s="195">
        <f t="shared" si="2"/>
        <v>-35</v>
      </c>
      <c r="BQ62" s="195">
        <f t="shared" si="2"/>
        <v>0</v>
      </c>
      <c r="BR62" s="195">
        <f t="shared" si="2"/>
        <v>52496</v>
      </c>
      <c r="BS62" s="195">
        <f t="shared" si="2"/>
        <v>0</v>
      </c>
      <c r="BT62" s="195">
        <f t="shared" si="2"/>
        <v>-33</v>
      </c>
      <c r="BU62" s="195">
        <f t="shared" si="2"/>
        <v>0</v>
      </c>
      <c r="BV62" s="195">
        <f t="shared" si="2"/>
        <v>118752</v>
      </c>
      <c r="BW62" s="195">
        <f t="shared" si="2"/>
        <v>23590</v>
      </c>
      <c r="BX62" s="195">
        <f t="shared" si="2"/>
        <v>227315</v>
      </c>
      <c r="BY62" s="195">
        <f t="shared" si="2"/>
        <v>125044</v>
      </c>
      <c r="BZ62" s="195">
        <f t="shared" si="2"/>
        <v>149037</v>
      </c>
      <c r="CA62" s="195">
        <f t="shared" si="2"/>
        <v>219212</v>
      </c>
      <c r="CB62" s="195">
        <f t="shared" si="2"/>
        <v>0</v>
      </c>
      <c r="CC62" s="195">
        <f t="shared" si="2"/>
        <v>17156871</v>
      </c>
      <c r="CD62" s="249" t="s">
        <v>221</v>
      </c>
      <c r="CE62" s="195">
        <f t="shared" si="0"/>
        <v>25773595</v>
      </c>
      <c r="CF62" s="252"/>
    </row>
    <row r="63" spans="1:84" ht="12.6" customHeight="1">
      <c r="A63" s="171" t="s">
        <v>236</v>
      </c>
      <c r="B63" s="175"/>
      <c r="C63" s="184">
        <v>1131994.75</v>
      </c>
      <c r="D63" s="184">
        <v>150</v>
      </c>
      <c r="E63" s="184">
        <v>450</v>
      </c>
      <c r="F63" s="184">
        <v>1263600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11830.5</v>
      </c>
      <c r="P63" s="184">
        <v>950255.42999999993</v>
      </c>
      <c r="Q63" s="184">
        <v>0</v>
      </c>
      <c r="R63" s="184">
        <v>2572170.5099999998</v>
      </c>
      <c r="S63" s="184">
        <v>0</v>
      </c>
      <c r="T63" s="184">
        <v>0</v>
      </c>
      <c r="U63" s="184">
        <v>15375.78</v>
      </c>
      <c r="V63" s="184">
        <v>7750</v>
      </c>
      <c r="W63" s="184">
        <v>5200</v>
      </c>
      <c r="X63" s="184">
        <v>0</v>
      </c>
      <c r="Y63" s="184">
        <v>45106.25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3393735.9999999995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133166.62000000002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197065.09</v>
      </c>
      <c r="BO63" s="184">
        <v>0</v>
      </c>
      <c r="BP63" s="184">
        <v>0</v>
      </c>
      <c r="BQ63" s="184">
        <v>0</v>
      </c>
      <c r="BR63" s="184">
        <v>2800</v>
      </c>
      <c r="BS63" s="184">
        <v>0</v>
      </c>
      <c r="BT63" s="184">
        <v>0</v>
      </c>
      <c r="BU63" s="184">
        <v>0</v>
      </c>
      <c r="BV63" s="184">
        <v>0</v>
      </c>
      <c r="BW63" s="184">
        <v>9799.2000000000007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7868711.4800000004</v>
      </c>
      <c r="CD63" s="249" t="s">
        <v>221</v>
      </c>
      <c r="CE63" s="195">
        <f t="shared" si="0"/>
        <v>17609161.609999999</v>
      </c>
      <c r="CF63" s="252"/>
    </row>
    <row r="64" spans="1:84" ht="12.6" customHeight="1">
      <c r="A64" s="171" t="s">
        <v>237</v>
      </c>
      <c r="B64" s="175"/>
      <c r="C64" s="184">
        <v>1055010.1499999999</v>
      </c>
      <c r="D64" s="184">
        <v>783656.46</v>
      </c>
      <c r="E64" s="184">
        <v>1059869.6599999999</v>
      </c>
      <c r="F64" s="184">
        <v>125917.24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12972.949999999997</v>
      </c>
      <c r="O64" s="184">
        <v>447959.58999999997</v>
      </c>
      <c r="P64" s="184">
        <v>26426430.109999999</v>
      </c>
      <c r="Q64" s="184">
        <v>244402.91000000003</v>
      </c>
      <c r="R64" s="184">
        <v>643067.25</v>
      </c>
      <c r="S64" s="184">
        <v>504958.31</v>
      </c>
      <c r="T64" s="184">
        <v>264893.27</v>
      </c>
      <c r="U64" s="184">
        <v>3786335.92</v>
      </c>
      <c r="V64" s="184">
        <v>3196.4700000000007</v>
      </c>
      <c r="W64" s="184">
        <v>24722.06</v>
      </c>
      <c r="X64" s="184">
        <v>264047.61000000004</v>
      </c>
      <c r="Y64" s="184">
        <v>11498212.43</v>
      </c>
      <c r="Z64" s="184">
        <v>-71562.13</v>
      </c>
      <c r="AA64" s="184">
        <v>627887.37</v>
      </c>
      <c r="AB64" s="184">
        <v>9170033.7300000004</v>
      </c>
      <c r="AC64" s="184">
        <v>652952.80999999994</v>
      </c>
      <c r="AD64" s="184">
        <v>11934.73</v>
      </c>
      <c r="AE64" s="184">
        <v>5183.1000000000004</v>
      </c>
      <c r="AF64" s="184">
        <v>0</v>
      </c>
      <c r="AG64" s="184">
        <v>805562.10000000009</v>
      </c>
      <c r="AH64" s="184">
        <v>0</v>
      </c>
      <c r="AI64" s="184">
        <v>97503.790000000008</v>
      </c>
      <c r="AJ64" s="184">
        <v>3671986.78</v>
      </c>
      <c r="AK64" s="184">
        <v>1098.96</v>
      </c>
      <c r="AL64" s="184">
        <v>2461.17</v>
      </c>
      <c r="AM64" s="184">
        <v>0</v>
      </c>
      <c r="AN64" s="184">
        <v>33574.93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789538.20000000007</v>
      </c>
      <c r="AW64" s="184">
        <v>0</v>
      </c>
      <c r="AX64" s="184">
        <v>0</v>
      </c>
      <c r="AY64" s="184">
        <v>2400091.42</v>
      </c>
      <c r="AZ64" s="184">
        <v>0</v>
      </c>
      <c r="BA64" s="184">
        <v>3982.43</v>
      </c>
      <c r="BB64" s="184">
        <v>0</v>
      </c>
      <c r="BC64" s="184">
        <v>1138.7</v>
      </c>
      <c r="BD64" s="184">
        <v>-348662.00000000006</v>
      </c>
      <c r="BE64" s="184">
        <v>883639.14</v>
      </c>
      <c r="BF64" s="184">
        <v>237675.59</v>
      </c>
      <c r="BG64" s="184">
        <v>475.43</v>
      </c>
      <c r="BH64" s="184">
        <v>17609.009999999998</v>
      </c>
      <c r="BI64" s="184">
        <v>0</v>
      </c>
      <c r="BJ64" s="184">
        <v>8029.73</v>
      </c>
      <c r="BK64" s="184">
        <v>11288.55</v>
      </c>
      <c r="BL64" s="184">
        <v>3149.31</v>
      </c>
      <c r="BM64" s="184">
        <v>0</v>
      </c>
      <c r="BN64" s="184">
        <v>40499.230000000003</v>
      </c>
      <c r="BO64" s="184">
        <v>0</v>
      </c>
      <c r="BP64" s="184">
        <v>-120.29</v>
      </c>
      <c r="BQ64" s="184">
        <v>0</v>
      </c>
      <c r="BR64" s="184">
        <v>11745.599999999999</v>
      </c>
      <c r="BS64" s="184">
        <v>0</v>
      </c>
      <c r="BT64" s="184">
        <v>0</v>
      </c>
      <c r="BU64" s="184">
        <v>0</v>
      </c>
      <c r="BV64" s="184">
        <v>24408.620000000003</v>
      </c>
      <c r="BW64" s="184">
        <v>1757.6600000000003</v>
      </c>
      <c r="BX64" s="184">
        <v>27735.67</v>
      </c>
      <c r="BY64" s="184">
        <v>7539.75</v>
      </c>
      <c r="BZ64" s="184">
        <v>2622.67</v>
      </c>
      <c r="CA64" s="184">
        <v>22235.129999999997</v>
      </c>
      <c r="CB64" s="184">
        <v>0</v>
      </c>
      <c r="CC64" s="184">
        <v>863318.97</v>
      </c>
      <c r="CD64" s="249" t="s">
        <v>221</v>
      </c>
      <c r="CE64" s="195">
        <f t="shared" si="0"/>
        <v>67163968.250000015</v>
      </c>
      <c r="CF64" s="252"/>
    </row>
    <row r="65" spans="1:84" ht="12.6" customHeight="1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3010537.9399999995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377735.51000000007</v>
      </c>
      <c r="CD65" s="249" t="s">
        <v>221</v>
      </c>
      <c r="CE65" s="195">
        <f t="shared" si="0"/>
        <v>3388273.4499999997</v>
      </c>
      <c r="CF65" s="252"/>
    </row>
    <row r="66" spans="1:84" ht="12.6" customHeight="1">
      <c r="A66" s="171" t="s">
        <v>239</v>
      </c>
      <c r="B66" s="175"/>
      <c r="C66" s="184">
        <v>24382.240000000002</v>
      </c>
      <c r="D66" s="184">
        <v>55106.149999999994</v>
      </c>
      <c r="E66" s="184">
        <v>17969.82</v>
      </c>
      <c r="F66" s="184">
        <v>2032.42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-6366.8199999999979</v>
      </c>
      <c r="O66" s="184">
        <v>184882.87</v>
      </c>
      <c r="P66" s="184">
        <v>2252189.98</v>
      </c>
      <c r="Q66" s="184">
        <v>10483.530000000001</v>
      </c>
      <c r="R66" s="184">
        <v>19305.289999999997</v>
      </c>
      <c r="S66" s="184">
        <v>123291.30999999997</v>
      </c>
      <c r="T66" s="184">
        <v>-150.73999999999998</v>
      </c>
      <c r="U66" s="184">
        <v>621667.94999999995</v>
      </c>
      <c r="V66" s="184">
        <v>1698.55</v>
      </c>
      <c r="W66" s="184">
        <v>288310.06</v>
      </c>
      <c r="X66" s="184">
        <v>216272.49999999997</v>
      </c>
      <c r="Y66" s="184">
        <v>967541.95</v>
      </c>
      <c r="Z66" s="184">
        <v>3959810.0100000002</v>
      </c>
      <c r="AA66" s="184">
        <v>33728.629999999997</v>
      </c>
      <c r="AB66" s="184">
        <v>56504.380000000026</v>
      </c>
      <c r="AC66" s="184">
        <v>42419.869999999995</v>
      </c>
      <c r="AD66" s="184">
        <v>890088.14999999991</v>
      </c>
      <c r="AE66" s="184">
        <v>0</v>
      </c>
      <c r="AF66" s="184">
        <v>0</v>
      </c>
      <c r="AG66" s="184">
        <v>379441.60000000009</v>
      </c>
      <c r="AH66" s="184">
        <v>0</v>
      </c>
      <c r="AI66" s="184">
        <v>5958.56</v>
      </c>
      <c r="AJ66" s="184">
        <v>110709.62</v>
      </c>
      <c r="AK66" s="184">
        <v>0</v>
      </c>
      <c r="AL66" s="184">
        <v>0</v>
      </c>
      <c r="AM66" s="184">
        <v>0</v>
      </c>
      <c r="AN66" s="184">
        <v>71240.700000000012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488102.18</v>
      </c>
      <c r="AW66" s="184">
        <v>1646209</v>
      </c>
      <c r="AX66" s="184">
        <v>0</v>
      </c>
      <c r="AY66" s="184">
        <v>97141.84</v>
      </c>
      <c r="AZ66" s="184">
        <v>0</v>
      </c>
      <c r="BA66" s="184">
        <v>1242725.99</v>
      </c>
      <c r="BB66" s="184">
        <v>0</v>
      </c>
      <c r="BC66" s="184">
        <v>1327.8400000000001</v>
      </c>
      <c r="BD66" s="184">
        <v>24229.149999999991</v>
      </c>
      <c r="BE66" s="184">
        <v>2226290.67</v>
      </c>
      <c r="BF66" s="184">
        <v>577582.63</v>
      </c>
      <c r="BG66" s="184">
        <v>101513.07999999999</v>
      </c>
      <c r="BH66" s="184">
        <v>2798934.13</v>
      </c>
      <c r="BI66" s="184">
        <v>0</v>
      </c>
      <c r="BJ66" s="184">
        <v>-128079.64000000003</v>
      </c>
      <c r="BK66" s="184">
        <v>3084948.4899999998</v>
      </c>
      <c r="BL66" s="184">
        <v>26441.85</v>
      </c>
      <c r="BM66" s="184">
        <v>0</v>
      </c>
      <c r="BN66" s="184">
        <v>7657098.3200000003</v>
      </c>
      <c r="BO66" s="184">
        <v>0</v>
      </c>
      <c r="BP66" s="184">
        <v>222028.93999999994</v>
      </c>
      <c r="BQ66" s="184">
        <v>0</v>
      </c>
      <c r="BR66" s="184">
        <v>75216.56</v>
      </c>
      <c r="BS66" s="184">
        <v>0</v>
      </c>
      <c r="BT66" s="184">
        <v>0</v>
      </c>
      <c r="BU66" s="184">
        <v>0</v>
      </c>
      <c r="BV66" s="184">
        <v>936985.17</v>
      </c>
      <c r="BW66" s="184">
        <v>28975.519999999997</v>
      </c>
      <c r="BX66" s="184">
        <v>351368.06999999995</v>
      </c>
      <c r="BY66" s="184">
        <v>58643.42</v>
      </c>
      <c r="BZ66" s="184">
        <v>0</v>
      </c>
      <c r="CA66" s="184">
        <v>-5510.92</v>
      </c>
      <c r="CB66" s="184">
        <v>0</v>
      </c>
      <c r="CC66" s="184">
        <v>1470223.24</v>
      </c>
      <c r="CD66" s="249" t="s">
        <v>221</v>
      </c>
      <c r="CE66" s="195">
        <f t="shared" si="0"/>
        <v>33310914.109999999</v>
      </c>
      <c r="CF66" s="252"/>
    </row>
    <row r="67" spans="1:84" ht="12.6" customHeight="1">
      <c r="A67" s="171" t="s">
        <v>6</v>
      </c>
      <c r="B67" s="175"/>
      <c r="C67" s="195">
        <f>ROUND(C51+C52,0)</f>
        <v>275316</v>
      </c>
      <c r="D67" s="195">
        <f>ROUND(D51+D52,0)</f>
        <v>157644</v>
      </c>
      <c r="E67" s="195">
        <f t="shared" ref="E67:BP67" si="3">ROUND(E51+E52,0)</f>
        <v>820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179009</v>
      </c>
      <c r="P67" s="195">
        <f t="shared" si="3"/>
        <v>2467232</v>
      </c>
      <c r="Q67" s="195">
        <f t="shared" si="3"/>
        <v>7012</v>
      </c>
      <c r="R67" s="195">
        <f t="shared" si="3"/>
        <v>309929</v>
      </c>
      <c r="S67" s="195">
        <f t="shared" si="3"/>
        <v>19243</v>
      </c>
      <c r="T67" s="195">
        <f t="shared" si="3"/>
        <v>0</v>
      </c>
      <c r="U67" s="195">
        <f t="shared" si="3"/>
        <v>85007</v>
      </c>
      <c r="V67" s="195">
        <f t="shared" si="3"/>
        <v>0</v>
      </c>
      <c r="W67" s="195">
        <f t="shared" si="3"/>
        <v>152960</v>
      </c>
      <c r="X67" s="195">
        <f t="shared" si="3"/>
        <v>115959</v>
      </c>
      <c r="Y67" s="195">
        <f t="shared" si="3"/>
        <v>1017562</v>
      </c>
      <c r="Z67" s="195">
        <f t="shared" si="3"/>
        <v>0</v>
      </c>
      <c r="AA67" s="195">
        <f t="shared" si="3"/>
        <v>20052</v>
      </c>
      <c r="AB67" s="195">
        <f t="shared" si="3"/>
        <v>32769</v>
      </c>
      <c r="AC67" s="195">
        <f t="shared" si="3"/>
        <v>141009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281541</v>
      </c>
      <c r="AH67" s="195">
        <f t="shared" si="3"/>
        <v>0</v>
      </c>
      <c r="AI67" s="195">
        <f t="shared" si="3"/>
        <v>2958</v>
      </c>
      <c r="AJ67" s="195">
        <f t="shared" si="3"/>
        <v>15172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72436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82421</v>
      </c>
      <c r="AW67" s="195">
        <f t="shared" si="3"/>
        <v>0</v>
      </c>
      <c r="AX67" s="195">
        <f t="shared" si="3"/>
        <v>0</v>
      </c>
      <c r="AY67" s="195">
        <f t="shared" si="3"/>
        <v>46851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2923</v>
      </c>
      <c r="BD67" s="195">
        <f t="shared" si="3"/>
        <v>5143</v>
      </c>
      <c r="BE67" s="195">
        <f t="shared" si="3"/>
        <v>100077</v>
      </c>
      <c r="BF67" s="195">
        <f t="shared" si="3"/>
        <v>9532</v>
      </c>
      <c r="BG67" s="195">
        <f t="shared" si="3"/>
        <v>0</v>
      </c>
      <c r="BH67" s="195">
        <f t="shared" si="3"/>
        <v>3023225</v>
      </c>
      <c r="BI67" s="195">
        <f t="shared" si="3"/>
        <v>0</v>
      </c>
      <c r="BJ67" s="195">
        <f t="shared" si="3"/>
        <v>0</v>
      </c>
      <c r="BK67" s="195">
        <f t="shared" si="3"/>
        <v>3145</v>
      </c>
      <c r="BL67" s="195">
        <f t="shared" si="3"/>
        <v>0</v>
      </c>
      <c r="BM67" s="195">
        <f t="shared" si="3"/>
        <v>0</v>
      </c>
      <c r="BN67" s="195">
        <f t="shared" si="3"/>
        <v>1118976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303</v>
      </c>
      <c r="BW67" s="195">
        <f t="shared" si="4"/>
        <v>0</v>
      </c>
      <c r="BX67" s="195">
        <f t="shared" si="4"/>
        <v>0</v>
      </c>
      <c r="BY67" s="195">
        <f t="shared" si="4"/>
        <v>410543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7480382</v>
      </c>
      <c r="CD67" s="249" t="s">
        <v>221</v>
      </c>
      <c r="CE67" s="195">
        <f t="shared" si="0"/>
        <v>17658622</v>
      </c>
      <c r="CF67" s="252"/>
    </row>
    <row r="68" spans="1:84" ht="12.6" customHeight="1">
      <c r="A68" s="171" t="s">
        <v>240</v>
      </c>
      <c r="B68" s="175"/>
      <c r="C68" s="184">
        <v>27818.93</v>
      </c>
      <c r="D68" s="184">
        <v>119328.73000000001</v>
      </c>
      <c r="E68" s="184">
        <v>139926.49999999997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1325618.29</v>
      </c>
      <c r="Q68" s="184">
        <v>456.96</v>
      </c>
      <c r="R68" s="184">
        <v>0</v>
      </c>
      <c r="S68" s="184">
        <v>25309.15</v>
      </c>
      <c r="T68" s="184">
        <v>0</v>
      </c>
      <c r="U68" s="184">
        <v>134883.91</v>
      </c>
      <c r="V68" s="184">
        <v>0</v>
      </c>
      <c r="W68" s="184">
        <v>0</v>
      </c>
      <c r="X68" s="184">
        <v>-5097.2800000000025</v>
      </c>
      <c r="Y68" s="184">
        <v>162372.19</v>
      </c>
      <c r="Z68" s="184">
        <v>-13200</v>
      </c>
      <c r="AA68" s="184">
        <v>0</v>
      </c>
      <c r="AB68" s="184">
        <v>192516.33</v>
      </c>
      <c r="AC68" s="184">
        <v>139009.08000000002</v>
      </c>
      <c r="AD68" s="184">
        <v>0</v>
      </c>
      <c r="AE68" s="184">
        <v>0</v>
      </c>
      <c r="AF68" s="184">
        <v>0</v>
      </c>
      <c r="AG68" s="184">
        <v>317776.32</v>
      </c>
      <c r="AH68" s="184">
        <v>0</v>
      </c>
      <c r="AI68" s="184">
        <v>0</v>
      </c>
      <c r="AJ68" s="184">
        <v>222448.55000000002</v>
      </c>
      <c r="AK68" s="184">
        <v>0</v>
      </c>
      <c r="AL68" s="184">
        <v>0</v>
      </c>
      <c r="AM68" s="184">
        <v>0</v>
      </c>
      <c r="AN68" s="184">
        <v>25378.440000000002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20551.28</v>
      </c>
      <c r="AW68" s="184">
        <v>0</v>
      </c>
      <c r="AX68" s="184">
        <v>0</v>
      </c>
      <c r="AY68" s="184">
        <v>11565.21</v>
      </c>
      <c r="AZ68" s="184">
        <v>0</v>
      </c>
      <c r="BA68" s="184">
        <v>0</v>
      </c>
      <c r="BB68" s="184">
        <v>0</v>
      </c>
      <c r="BC68" s="184">
        <v>0</v>
      </c>
      <c r="BD68" s="184">
        <v>136622.25999999998</v>
      </c>
      <c r="BE68" s="184">
        <v>17015.179999999997</v>
      </c>
      <c r="BF68" s="184">
        <v>0</v>
      </c>
      <c r="BG68" s="184">
        <v>0</v>
      </c>
      <c r="BH68" s="184">
        <v>113008.14</v>
      </c>
      <c r="BI68" s="184">
        <v>0</v>
      </c>
      <c r="BJ68" s="184">
        <v>389.84</v>
      </c>
      <c r="BK68" s="184">
        <v>0</v>
      </c>
      <c r="BL68" s="184">
        <v>3221.57</v>
      </c>
      <c r="BM68" s="184">
        <v>0</v>
      </c>
      <c r="BN68" s="184">
        <v>2403.8000000000002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1369459.0599999998</v>
      </c>
      <c r="CD68" s="249" t="s">
        <v>221</v>
      </c>
      <c r="CE68" s="195">
        <f t="shared" si="0"/>
        <v>4488782.4399999985</v>
      </c>
      <c r="CF68" s="252"/>
    </row>
    <row r="69" spans="1:84" ht="12.6" customHeight="1">
      <c r="A69" s="171" t="s">
        <v>241</v>
      </c>
      <c r="B69" s="175"/>
      <c r="C69" s="184">
        <v>58041.440000000002</v>
      </c>
      <c r="D69" s="184">
        <v>5528.27</v>
      </c>
      <c r="E69" s="184">
        <v>53851.76</v>
      </c>
      <c r="F69" s="184">
        <v>11216.740000000002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2752.14</v>
      </c>
      <c r="P69" s="184">
        <v>43766.27</v>
      </c>
      <c r="Q69" s="184">
        <v>5255</v>
      </c>
      <c r="R69" s="184">
        <v>12225.19</v>
      </c>
      <c r="S69" s="184">
        <v>0</v>
      </c>
      <c r="T69" s="184">
        <v>93.13</v>
      </c>
      <c r="U69" s="184">
        <v>33029.919999999998</v>
      </c>
      <c r="V69" s="184">
        <v>366.79999999999995</v>
      </c>
      <c r="W69" s="184">
        <v>33.71</v>
      </c>
      <c r="X69" s="184">
        <v>0</v>
      </c>
      <c r="Y69" s="184">
        <v>90090.68</v>
      </c>
      <c r="Z69" s="184">
        <v>0</v>
      </c>
      <c r="AA69" s="184">
        <v>20702.060000000001</v>
      </c>
      <c r="AB69" s="184">
        <v>20630.72</v>
      </c>
      <c r="AC69" s="184">
        <v>231.2</v>
      </c>
      <c r="AD69" s="184">
        <v>0</v>
      </c>
      <c r="AE69" s="184">
        <v>34.53</v>
      </c>
      <c r="AF69" s="184">
        <v>0</v>
      </c>
      <c r="AG69" s="184">
        <v>2197892.8400000003</v>
      </c>
      <c r="AH69" s="184">
        <v>0</v>
      </c>
      <c r="AI69" s="184">
        <v>115</v>
      </c>
      <c r="AJ69" s="184">
        <v>18226.27</v>
      </c>
      <c r="AK69" s="184">
        <v>0</v>
      </c>
      <c r="AL69" s="184">
        <v>0</v>
      </c>
      <c r="AM69" s="184">
        <v>0</v>
      </c>
      <c r="AN69" s="184">
        <v>674.1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4736.1099999999997</v>
      </c>
      <c r="AW69" s="184">
        <v>0</v>
      </c>
      <c r="AX69" s="184">
        <v>0</v>
      </c>
      <c r="AY69" s="184">
        <v>309.77</v>
      </c>
      <c r="AZ69" s="184">
        <v>0</v>
      </c>
      <c r="BA69" s="184">
        <v>0</v>
      </c>
      <c r="BB69" s="184">
        <v>0</v>
      </c>
      <c r="BC69" s="184">
        <v>0</v>
      </c>
      <c r="BD69" s="184">
        <v>9831.83</v>
      </c>
      <c r="BE69" s="184">
        <v>306122.20000000019</v>
      </c>
      <c r="BF69" s="184">
        <v>0</v>
      </c>
      <c r="BG69" s="184">
        <v>58271.41</v>
      </c>
      <c r="BH69" s="184">
        <v>155871.74</v>
      </c>
      <c r="BI69" s="184">
        <v>0</v>
      </c>
      <c r="BJ69" s="184">
        <v>756.45</v>
      </c>
      <c r="BK69" s="184">
        <v>2796.51</v>
      </c>
      <c r="BL69" s="184">
        <v>9574.4599999999991</v>
      </c>
      <c r="BM69" s="184">
        <v>0</v>
      </c>
      <c r="BN69" s="184">
        <v>112722.2</v>
      </c>
      <c r="BO69" s="184">
        <v>0</v>
      </c>
      <c r="BP69" s="184">
        <v>2130.4500000000003</v>
      </c>
      <c r="BQ69" s="184">
        <v>0</v>
      </c>
      <c r="BR69" s="184">
        <v>220557.04</v>
      </c>
      <c r="BS69" s="184">
        <v>0</v>
      </c>
      <c r="BT69" s="184">
        <v>0</v>
      </c>
      <c r="BU69" s="184">
        <v>0</v>
      </c>
      <c r="BV69" s="184">
        <v>15498.86</v>
      </c>
      <c r="BW69" s="184">
        <v>15498.68</v>
      </c>
      <c r="BX69" s="184">
        <v>95670.299999999988</v>
      </c>
      <c r="BY69" s="184">
        <v>-2432.9</v>
      </c>
      <c r="BZ69" s="184">
        <v>2165</v>
      </c>
      <c r="CA69" s="184">
        <v>6301.39</v>
      </c>
      <c r="CB69" s="184">
        <v>0</v>
      </c>
      <c r="CC69" s="184">
        <v>14531283.859999999</v>
      </c>
      <c r="CD69" s="184">
        <v>0</v>
      </c>
      <c r="CE69" s="195">
        <f t="shared" si="0"/>
        <v>18122423.130000003</v>
      </c>
      <c r="CF69" s="252"/>
    </row>
    <row r="70" spans="1:84" ht="12.6" customHeight="1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>
      <c r="A71" s="171" t="s">
        <v>243</v>
      </c>
      <c r="B71" s="175"/>
      <c r="C71" s="195">
        <f>SUM(C61:C68)+C69-C70</f>
        <v>12759809.899999999</v>
      </c>
      <c r="D71" s="195">
        <f t="shared" ref="D71:AI71" si="5">SUM(D61:D69)-D70</f>
        <v>9859089.6699999999</v>
      </c>
      <c r="E71" s="195">
        <f t="shared" si="5"/>
        <v>11969101.090000002</v>
      </c>
      <c r="F71" s="195">
        <f t="shared" si="5"/>
        <v>3641646.93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434035.78</v>
      </c>
      <c r="O71" s="195">
        <f t="shared" si="5"/>
        <v>4150265.2800000003</v>
      </c>
      <c r="P71" s="195">
        <f t="shared" si="5"/>
        <v>44724574.850000001</v>
      </c>
      <c r="Q71" s="195">
        <f t="shared" si="5"/>
        <v>2306503.2699999996</v>
      </c>
      <c r="R71" s="195">
        <f t="shared" si="5"/>
        <v>3762205.4499999997</v>
      </c>
      <c r="S71" s="195">
        <f t="shared" si="5"/>
        <v>1654756.56</v>
      </c>
      <c r="T71" s="195">
        <f t="shared" si="5"/>
        <v>634091.32000000007</v>
      </c>
      <c r="U71" s="195">
        <f t="shared" si="5"/>
        <v>8752404.2299999986</v>
      </c>
      <c r="V71" s="195">
        <f t="shared" si="5"/>
        <v>207284.37999999998</v>
      </c>
      <c r="W71" s="195">
        <f t="shared" si="5"/>
        <v>1062606.06</v>
      </c>
      <c r="X71" s="195">
        <f t="shared" si="5"/>
        <v>1832651.52</v>
      </c>
      <c r="Y71" s="195">
        <f t="shared" si="5"/>
        <v>19566329.789999999</v>
      </c>
      <c r="Z71" s="195">
        <f t="shared" si="5"/>
        <v>4122214.7300000004</v>
      </c>
      <c r="AA71" s="195">
        <f t="shared" si="5"/>
        <v>1123409.45</v>
      </c>
      <c r="AB71" s="195">
        <f t="shared" si="5"/>
        <v>13340636.620000003</v>
      </c>
      <c r="AC71" s="195">
        <f t="shared" si="5"/>
        <v>3828820.5300000003</v>
      </c>
      <c r="AD71" s="195">
        <f t="shared" si="5"/>
        <v>967247.22999999986</v>
      </c>
      <c r="AE71" s="195">
        <f t="shared" si="5"/>
        <v>838249.70000000007</v>
      </c>
      <c r="AF71" s="195">
        <f t="shared" si="5"/>
        <v>0</v>
      </c>
      <c r="AG71" s="195">
        <f t="shared" si="5"/>
        <v>14005204.609999999</v>
      </c>
      <c r="AH71" s="195">
        <f t="shared" si="5"/>
        <v>0</v>
      </c>
      <c r="AI71" s="195">
        <f t="shared" si="5"/>
        <v>938134.05000000016</v>
      </c>
      <c r="AJ71" s="195">
        <f t="shared" ref="AJ71:BO71" si="6">SUM(AJ61:AJ69)-AJ70</f>
        <v>6686163.7699999996</v>
      </c>
      <c r="AK71" s="195">
        <f t="shared" si="6"/>
        <v>377741.21</v>
      </c>
      <c r="AL71" s="195">
        <f t="shared" si="6"/>
        <v>202609.41</v>
      </c>
      <c r="AM71" s="195">
        <f t="shared" si="6"/>
        <v>0</v>
      </c>
      <c r="AN71" s="195">
        <f t="shared" si="6"/>
        <v>404263.67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3686494.5500000003</v>
      </c>
      <c r="AW71" s="195">
        <f t="shared" si="6"/>
        <v>1646209</v>
      </c>
      <c r="AX71" s="195">
        <f t="shared" si="6"/>
        <v>0</v>
      </c>
      <c r="AY71" s="195">
        <f t="shared" si="6"/>
        <v>4992960.0999999987</v>
      </c>
      <c r="AZ71" s="195">
        <f t="shared" si="6"/>
        <v>0</v>
      </c>
      <c r="BA71" s="195">
        <f t="shared" si="6"/>
        <v>1370758.27</v>
      </c>
      <c r="BB71" s="195">
        <f t="shared" si="6"/>
        <v>0</v>
      </c>
      <c r="BC71" s="195">
        <f t="shared" si="6"/>
        <v>283100.46999999997</v>
      </c>
      <c r="BD71" s="195">
        <f t="shared" si="6"/>
        <v>688863.91</v>
      </c>
      <c r="BE71" s="195">
        <f t="shared" si="6"/>
        <v>9202417.6699999981</v>
      </c>
      <c r="BF71" s="195">
        <f t="shared" si="6"/>
        <v>3316625.5799999996</v>
      </c>
      <c r="BG71" s="195">
        <f t="shared" si="6"/>
        <v>410455.85</v>
      </c>
      <c r="BH71" s="195">
        <f t="shared" si="6"/>
        <v>6114803.6499999994</v>
      </c>
      <c r="BI71" s="195">
        <f t="shared" si="6"/>
        <v>0</v>
      </c>
      <c r="BJ71" s="195">
        <f t="shared" si="6"/>
        <v>582808.75999999978</v>
      </c>
      <c r="BK71" s="195">
        <f t="shared" si="6"/>
        <v>4344198.83</v>
      </c>
      <c r="BL71" s="195">
        <f t="shared" si="6"/>
        <v>580756.55000000005</v>
      </c>
      <c r="BM71" s="195">
        <f t="shared" si="6"/>
        <v>0</v>
      </c>
      <c r="BN71" s="195">
        <f t="shared" si="6"/>
        <v>11848760.189999999</v>
      </c>
      <c r="BO71" s="195">
        <f t="shared" si="6"/>
        <v>0</v>
      </c>
      <c r="BP71" s="195">
        <f t="shared" ref="BP71:CC71" si="7">SUM(BP61:BP69)-BP70</f>
        <v>228229.93999999994</v>
      </c>
      <c r="BQ71" s="195">
        <f t="shared" si="7"/>
        <v>0</v>
      </c>
      <c r="BR71" s="195">
        <f t="shared" si="7"/>
        <v>534897.39</v>
      </c>
      <c r="BS71" s="195">
        <f t="shared" si="7"/>
        <v>0</v>
      </c>
      <c r="BT71" s="195">
        <f t="shared" si="7"/>
        <v>-422.28</v>
      </c>
      <c r="BU71" s="195">
        <f t="shared" si="7"/>
        <v>0</v>
      </c>
      <c r="BV71" s="195">
        <f t="shared" si="7"/>
        <v>2336385.27</v>
      </c>
      <c r="BW71" s="195">
        <f t="shared" si="7"/>
        <v>369268.3</v>
      </c>
      <c r="BX71" s="195">
        <f t="shared" si="7"/>
        <v>3178947.3999999994</v>
      </c>
      <c r="BY71" s="195">
        <f t="shared" si="7"/>
        <v>1960433.3499999999</v>
      </c>
      <c r="BZ71" s="195">
        <f t="shared" si="7"/>
        <v>1863227.46</v>
      </c>
      <c r="CA71" s="195">
        <f t="shared" si="7"/>
        <v>2913273.3</v>
      </c>
      <c r="CB71" s="195">
        <f t="shared" si="7"/>
        <v>0</v>
      </c>
      <c r="CC71" s="195">
        <f t="shared" si="7"/>
        <v>54549669.810000002</v>
      </c>
      <c r="CD71" s="245">
        <f>CD69-CD70</f>
        <v>0</v>
      </c>
      <c r="CE71" s="195">
        <f>SUM(CE61:CE69)-CE70</f>
        <v>291155174.38</v>
      </c>
      <c r="CF71" s="252"/>
    </row>
    <row r="72" spans="1:84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>
      <c r="A73" s="171" t="s">
        <v>245</v>
      </c>
      <c r="B73" s="175"/>
      <c r="C73" s="184">
        <v>37976249.510000005</v>
      </c>
      <c r="D73" s="184">
        <v>39795720.860000007</v>
      </c>
      <c r="E73" s="184">
        <v>44092797</v>
      </c>
      <c r="F73" s="184">
        <v>8662464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16254088</v>
      </c>
      <c r="P73" s="184">
        <v>236928546</v>
      </c>
      <c r="Q73" s="184">
        <v>8935569</v>
      </c>
      <c r="R73" s="184">
        <v>13973584.999999998</v>
      </c>
      <c r="S73" s="184">
        <v>0</v>
      </c>
      <c r="T73" s="184">
        <v>5567567.9999999991</v>
      </c>
      <c r="U73" s="184">
        <v>53193594.559999995</v>
      </c>
      <c r="V73" s="184">
        <v>1072373</v>
      </c>
      <c r="W73" s="184">
        <v>6096553</v>
      </c>
      <c r="X73" s="184">
        <v>32034054</v>
      </c>
      <c r="Y73" s="184">
        <v>88915044.430000007</v>
      </c>
      <c r="Z73" s="184">
        <v>479828.99999999994</v>
      </c>
      <c r="AA73" s="184">
        <v>7589990</v>
      </c>
      <c r="AB73" s="184">
        <v>101034299.13999999</v>
      </c>
      <c r="AC73" s="184">
        <v>31788451.000000004</v>
      </c>
      <c r="AD73" s="184">
        <v>8762572</v>
      </c>
      <c r="AE73" s="184">
        <v>4999851.17</v>
      </c>
      <c r="AF73" s="184">
        <v>0</v>
      </c>
      <c r="AG73" s="184">
        <v>21772330.600000001</v>
      </c>
      <c r="AH73" s="184">
        <v>0</v>
      </c>
      <c r="AI73" s="184">
        <v>594217.99999999988</v>
      </c>
      <c r="AJ73" s="184">
        <v>216121</v>
      </c>
      <c r="AK73" s="184">
        <v>3230358.1</v>
      </c>
      <c r="AL73" s="184">
        <v>1776156.5300000003</v>
      </c>
      <c r="AM73" s="184">
        <v>0</v>
      </c>
      <c r="AN73" s="184">
        <v>1953592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7867572.1100000003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785563547.00999999</v>
      </c>
      <c r="CF73" s="252"/>
    </row>
    <row r="74" spans="1:84" ht="12.6" customHeight="1">
      <c r="A74" s="171" t="s">
        <v>246</v>
      </c>
      <c r="B74" s="175"/>
      <c r="C74" s="184">
        <v>879812</v>
      </c>
      <c r="D74" s="184">
        <v>7850792.7299999995</v>
      </c>
      <c r="E74" s="184">
        <v>6138586</v>
      </c>
      <c r="F74" s="184">
        <v>158194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1899207</v>
      </c>
      <c r="P74" s="184">
        <v>171069458.00999999</v>
      </c>
      <c r="Q74" s="184">
        <v>14716683</v>
      </c>
      <c r="R74" s="184">
        <v>12837283</v>
      </c>
      <c r="S74" s="184">
        <v>0</v>
      </c>
      <c r="T74" s="184">
        <v>155812</v>
      </c>
      <c r="U74" s="184">
        <v>43451447.710000001</v>
      </c>
      <c r="V74" s="184">
        <v>1048603.76</v>
      </c>
      <c r="W74" s="184">
        <v>15219716</v>
      </c>
      <c r="X74" s="184">
        <v>56789871</v>
      </c>
      <c r="Y74" s="184">
        <v>114963153.89</v>
      </c>
      <c r="Z74" s="184">
        <v>34709667</v>
      </c>
      <c r="AA74" s="184">
        <v>8373040.0000000009</v>
      </c>
      <c r="AB74" s="184">
        <v>37073635.490000002</v>
      </c>
      <c r="AC74" s="184">
        <v>3356009.1799999997</v>
      </c>
      <c r="AD74" s="184">
        <v>344152</v>
      </c>
      <c r="AE74" s="184">
        <v>550678.19000000006</v>
      </c>
      <c r="AF74" s="184">
        <v>0</v>
      </c>
      <c r="AG74" s="184">
        <v>94582611</v>
      </c>
      <c r="AH74" s="184">
        <v>0</v>
      </c>
      <c r="AI74" s="184">
        <v>4294641</v>
      </c>
      <c r="AJ74" s="184">
        <v>47353918.559999995</v>
      </c>
      <c r="AK74" s="184">
        <v>307712.71999999997</v>
      </c>
      <c r="AL74" s="184">
        <v>219699.65000000002</v>
      </c>
      <c r="AM74" s="184">
        <v>0</v>
      </c>
      <c r="AN74" s="184">
        <v>1181105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19894026.07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699419515.96000004</v>
      </c>
      <c r="CF74" s="252"/>
    </row>
    <row r="75" spans="1:84" ht="12.6" customHeight="1">
      <c r="A75" s="171" t="s">
        <v>247</v>
      </c>
      <c r="B75" s="175"/>
      <c r="C75" s="195">
        <f t="shared" ref="C75:AV75" si="9">SUM(C73:C74)</f>
        <v>38856061.510000005</v>
      </c>
      <c r="D75" s="195">
        <f t="shared" si="9"/>
        <v>47646513.590000004</v>
      </c>
      <c r="E75" s="195">
        <f t="shared" si="9"/>
        <v>50231383</v>
      </c>
      <c r="F75" s="195">
        <f t="shared" si="9"/>
        <v>8820658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18153295</v>
      </c>
      <c r="P75" s="195">
        <f t="shared" si="9"/>
        <v>407998004.00999999</v>
      </c>
      <c r="Q75" s="195">
        <f t="shared" si="9"/>
        <v>23652252</v>
      </c>
      <c r="R75" s="195">
        <f t="shared" si="9"/>
        <v>26810868</v>
      </c>
      <c r="S75" s="195">
        <f t="shared" si="9"/>
        <v>0</v>
      </c>
      <c r="T75" s="195">
        <f t="shared" si="9"/>
        <v>5723379.9999999991</v>
      </c>
      <c r="U75" s="195">
        <f t="shared" si="9"/>
        <v>96645042.269999996</v>
      </c>
      <c r="V75" s="195">
        <f t="shared" si="9"/>
        <v>2120976.7599999998</v>
      </c>
      <c r="W75" s="195">
        <f t="shared" si="9"/>
        <v>21316269</v>
      </c>
      <c r="X75" s="195">
        <f t="shared" si="9"/>
        <v>88823925</v>
      </c>
      <c r="Y75" s="195">
        <f t="shared" si="9"/>
        <v>203878198.31999999</v>
      </c>
      <c r="Z75" s="195">
        <f t="shared" si="9"/>
        <v>35189496</v>
      </c>
      <c r="AA75" s="195">
        <f t="shared" si="9"/>
        <v>15963030</v>
      </c>
      <c r="AB75" s="195">
        <f t="shared" si="9"/>
        <v>138107934.63</v>
      </c>
      <c r="AC75" s="195">
        <f t="shared" si="9"/>
        <v>35144460.180000007</v>
      </c>
      <c r="AD75" s="195">
        <f t="shared" si="9"/>
        <v>9106724</v>
      </c>
      <c r="AE75" s="195">
        <f t="shared" si="9"/>
        <v>5550529.3600000003</v>
      </c>
      <c r="AF75" s="195">
        <f t="shared" si="9"/>
        <v>0</v>
      </c>
      <c r="AG75" s="195">
        <f t="shared" si="9"/>
        <v>116354941.59999999</v>
      </c>
      <c r="AH75" s="195">
        <f t="shared" si="9"/>
        <v>0</v>
      </c>
      <c r="AI75" s="195">
        <f t="shared" si="9"/>
        <v>4888859</v>
      </c>
      <c r="AJ75" s="195">
        <f t="shared" si="9"/>
        <v>47570039.559999995</v>
      </c>
      <c r="AK75" s="195">
        <f t="shared" si="9"/>
        <v>3538070.8200000003</v>
      </c>
      <c r="AL75" s="195">
        <f t="shared" si="9"/>
        <v>1995856.1800000002</v>
      </c>
      <c r="AM75" s="195">
        <f t="shared" si="9"/>
        <v>0</v>
      </c>
      <c r="AN75" s="195">
        <f t="shared" si="9"/>
        <v>3134697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27761598.18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1484983062.97</v>
      </c>
      <c r="CF75" s="252"/>
    </row>
    <row r="76" spans="1:84" ht="12.6" customHeight="1">
      <c r="A76" s="171" t="s">
        <v>248</v>
      </c>
      <c r="B76" s="175"/>
      <c r="C76" s="184">
        <v>33795</v>
      </c>
      <c r="D76" s="184">
        <v>7529</v>
      </c>
      <c r="E76" s="184">
        <v>88391</v>
      </c>
      <c r="F76" s="184"/>
      <c r="G76" s="184"/>
      <c r="H76" s="184"/>
      <c r="I76" s="184"/>
      <c r="J76" s="184"/>
      <c r="K76" s="184"/>
      <c r="L76" s="184"/>
      <c r="M76" s="184"/>
      <c r="N76" s="184"/>
      <c r="O76" s="184">
        <v>9596</v>
      </c>
      <c r="P76" s="184">
        <v>41677</v>
      </c>
      <c r="Q76" s="184">
        <v>11695</v>
      </c>
      <c r="R76" s="184">
        <v>812</v>
      </c>
      <c r="S76" s="184">
        <v>18221</v>
      </c>
      <c r="T76" s="184">
        <v>1636</v>
      </c>
      <c r="U76" s="184">
        <v>17849</v>
      </c>
      <c r="V76" s="184">
        <v>10636</v>
      </c>
      <c r="W76" s="184">
        <v>5116</v>
      </c>
      <c r="X76" s="184">
        <v>6002</v>
      </c>
      <c r="Y76" s="184">
        <v>25337</v>
      </c>
      <c r="Z76" s="184"/>
      <c r="AA76" s="184">
        <v>2205</v>
      </c>
      <c r="AB76" s="184">
        <v>12909</v>
      </c>
      <c r="AC76" s="184">
        <v>6421</v>
      </c>
      <c r="AD76" s="184"/>
      <c r="AE76" s="184">
        <v>2581</v>
      </c>
      <c r="AF76" s="184"/>
      <c r="AG76" s="184">
        <v>21473</v>
      </c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>
        <v>189545</v>
      </c>
      <c r="AW76" s="184"/>
      <c r="AX76" s="184"/>
      <c r="AY76" s="184">
        <v>12105</v>
      </c>
      <c r="AZ76" s="184"/>
      <c r="BA76" s="184">
        <v>4542</v>
      </c>
      <c r="BB76" s="184"/>
      <c r="BC76" s="184"/>
      <c r="BD76" s="184"/>
      <c r="BE76" s="184">
        <v>252325</v>
      </c>
      <c r="BF76" s="184">
        <v>7666</v>
      </c>
      <c r="BG76" s="184"/>
      <c r="BH76" s="184">
        <v>1797</v>
      </c>
      <c r="BI76" s="184"/>
      <c r="BJ76" s="184"/>
      <c r="BK76" s="184"/>
      <c r="BL76" s="184"/>
      <c r="BM76" s="184"/>
      <c r="BN76" s="184">
        <v>47336</v>
      </c>
      <c r="BO76" s="184"/>
      <c r="BP76" s="184"/>
      <c r="BQ76" s="184"/>
      <c r="BR76" s="184">
        <v>3107</v>
      </c>
      <c r="BS76" s="184">
        <v>1458</v>
      </c>
      <c r="BT76" s="184"/>
      <c r="BU76" s="184"/>
      <c r="BV76" s="184">
        <v>8482</v>
      </c>
      <c r="BW76" s="184"/>
      <c r="BX76" s="184">
        <v>890</v>
      </c>
      <c r="BY76" s="184">
        <v>13470</v>
      </c>
      <c r="BZ76" s="184"/>
      <c r="CA76" s="184">
        <v>1139</v>
      </c>
      <c r="CB76" s="184"/>
      <c r="CC76" s="184">
        <v>3283</v>
      </c>
      <c r="CD76" s="249" t="s">
        <v>221</v>
      </c>
      <c r="CE76" s="195">
        <f t="shared" si="8"/>
        <v>871026</v>
      </c>
      <c r="CF76" s="195">
        <f>BE59-CE76</f>
        <v>0</v>
      </c>
    </row>
    <row r="77" spans="1:84" ht="12.6" customHeight="1">
      <c r="A77" s="171" t="s">
        <v>249</v>
      </c>
      <c r="B77" s="175"/>
      <c r="C77" s="184">
        <v>8354</v>
      </c>
      <c r="D77" s="184">
        <v>50619</v>
      </c>
      <c r="E77" s="184">
        <v>43434</v>
      </c>
      <c r="F77" s="184">
        <v>8960</v>
      </c>
      <c r="G77" s="184"/>
      <c r="H77" s="184"/>
      <c r="I77" s="184"/>
      <c r="J77" s="184"/>
      <c r="K77" s="184"/>
      <c r="L77" s="184"/>
      <c r="M77" s="184"/>
      <c r="N77" s="184"/>
      <c r="O77" s="184">
        <v>3900</v>
      </c>
      <c r="P77" s="184">
        <v>22238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4892</v>
      </c>
      <c r="AH77" s="184"/>
      <c r="AI77" s="184">
        <v>1236</v>
      </c>
      <c r="AJ77" s="184"/>
      <c r="AK77" s="184"/>
      <c r="AL77" s="184">
        <v>1069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1045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145747</v>
      </c>
      <c r="CF77" s="195">
        <f>AY59-CE77</f>
        <v>0</v>
      </c>
    </row>
    <row r="78" spans="1:84" ht="12.6" customHeight="1">
      <c r="A78" s="171" t="s">
        <v>250</v>
      </c>
      <c r="B78" s="175"/>
      <c r="C78" s="184">
        <v>7828.3869516731347</v>
      </c>
      <c r="D78" s="184">
        <v>1744.0427684316328</v>
      </c>
      <c r="E78" s="184">
        <v>20475.187188795386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2222.8495691154135</v>
      </c>
      <c r="P78" s="184">
        <v>9654.1998220115765</v>
      </c>
      <c r="Q78" s="184">
        <v>2709.0689569408878</v>
      </c>
      <c r="R78" s="184">
        <v>188.09439872047892</v>
      </c>
      <c r="S78" s="184">
        <v>4220.773447150058</v>
      </c>
      <c r="T78" s="184">
        <v>378.96851761909301</v>
      </c>
      <c r="U78" s="184">
        <v>4134.6021216278668</v>
      </c>
      <c r="V78" s="184">
        <v>2463.7586512204603</v>
      </c>
      <c r="W78" s="184">
        <v>1185.0873692782884</v>
      </c>
      <c r="X78" s="184">
        <v>1390.3233757639341</v>
      </c>
      <c r="Y78" s="184">
        <v>5869.147512784205</v>
      </c>
      <c r="Z78" s="184">
        <v>0</v>
      </c>
      <c r="AA78" s="184">
        <v>510.77358273233506</v>
      </c>
      <c r="AB78" s="184">
        <v>2990.2839816288947</v>
      </c>
      <c r="AC78" s="184">
        <v>1487.3819386504865</v>
      </c>
      <c r="AD78" s="184">
        <v>0</v>
      </c>
      <c r="AE78" s="184">
        <v>597.87148164723658</v>
      </c>
      <c r="AF78" s="184">
        <v>0</v>
      </c>
      <c r="AG78" s="184">
        <v>4974.0776154246851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43906.838430385687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1052.1240874241569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416.26309667573969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338</v>
      </c>
      <c r="BT78" s="184">
        <v>0</v>
      </c>
      <c r="BU78" s="184">
        <v>0</v>
      </c>
      <c r="BV78" s="184">
        <v>1965</v>
      </c>
      <c r="BW78" s="184">
        <v>0</v>
      </c>
      <c r="BX78" s="184">
        <v>206</v>
      </c>
      <c r="BY78" s="184">
        <v>3120</v>
      </c>
      <c r="BZ78" s="184">
        <v>0</v>
      </c>
      <c r="CA78" s="184">
        <v>264</v>
      </c>
      <c r="CB78" s="184">
        <v>0</v>
      </c>
      <c r="CC78" s="249" t="s">
        <v>221</v>
      </c>
      <c r="CD78" s="249" t="s">
        <v>221</v>
      </c>
      <c r="CE78" s="195">
        <f t="shared" si="8"/>
        <v>126293.10486570165</v>
      </c>
      <c r="CF78" s="195"/>
    </row>
    <row r="79" spans="1:84" ht="12.6" customHeight="1">
      <c r="A79" s="171" t="s">
        <v>251</v>
      </c>
      <c r="B79" s="175"/>
      <c r="C79" s="225">
        <v>106724.43900000001</v>
      </c>
      <c r="D79" s="225">
        <v>131472.13500000001</v>
      </c>
      <c r="E79" s="184">
        <v>651173.75099999993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40215.006000000001</v>
      </c>
      <c r="P79" s="184">
        <v>454738.91399999999</v>
      </c>
      <c r="Q79" s="184"/>
      <c r="R79" s="184"/>
      <c r="S79" s="184"/>
      <c r="T79" s="184"/>
      <c r="U79" s="184"/>
      <c r="V79" s="184"/>
      <c r="W79" s="184"/>
      <c r="X79" s="184"/>
      <c r="Y79" s="184">
        <v>9899.0784000000003</v>
      </c>
      <c r="Z79" s="184"/>
      <c r="AA79" s="184"/>
      <c r="AB79" s="184"/>
      <c r="AC79" s="184">
        <v>11755.1556</v>
      </c>
      <c r="AD79" s="184"/>
      <c r="AE79" s="184"/>
      <c r="AF79" s="184"/>
      <c r="AG79" s="184">
        <v>105177.70800000001</v>
      </c>
      <c r="AH79" s="184"/>
      <c r="AI79" s="184">
        <v>9744.4053000000004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25830.696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1546731.2883000001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41.390421445205561</v>
      </c>
      <c r="D80" s="187">
        <v>65.14492418767135</v>
      </c>
      <c r="E80" s="187">
        <v>94.298177553424836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32.752420447945269</v>
      </c>
      <c r="P80" s="187">
        <v>29.873086782191837</v>
      </c>
      <c r="Q80" s="187"/>
      <c r="R80" s="187">
        <v>12.237168079452079</v>
      </c>
      <c r="S80" s="187"/>
      <c r="T80" s="187">
        <v>2.8793336657534301</v>
      </c>
      <c r="U80" s="187"/>
      <c r="V80" s="187">
        <v>2.8793336657534301</v>
      </c>
      <c r="W80" s="187">
        <v>0.35991670821917876</v>
      </c>
      <c r="X80" s="187">
        <v>1.7995835410958938</v>
      </c>
      <c r="Y80" s="187"/>
      <c r="Z80" s="187">
        <v>0.71983341643835752</v>
      </c>
      <c r="AA80" s="187">
        <v>0.35991670821917876</v>
      </c>
      <c r="AB80" s="187"/>
      <c r="AC80" s="187">
        <v>8.2780842890411108</v>
      </c>
      <c r="AD80" s="187"/>
      <c r="AE80" s="187"/>
      <c r="AF80" s="187"/>
      <c r="AG80" s="187">
        <v>37.143404288219251</v>
      </c>
      <c r="AH80" s="187"/>
      <c r="AI80" s="187">
        <v>16.556168578082222</v>
      </c>
      <c r="AJ80" s="187"/>
      <c r="AK80" s="187"/>
      <c r="AL80" s="187"/>
      <c r="AM80" s="187"/>
      <c r="AN80" s="187">
        <v>8.6380009972602902</v>
      </c>
      <c r="AO80" s="187"/>
      <c r="AP80" s="187"/>
      <c r="AQ80" s="187"/>
      <c r="AR80" s="187"/>
      <c r="AS80" s="187"/>
      <c r="AT80" s="187"/>
      <c r="AU80" s="187"/>
      <c r="AV80" s="187">
        <v>4.6100000000000003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359.91977435397337</v>
      </c>
      <c r="CF80" s="255"/>
    </row>
    <row r="81" spans="1:5" ht="12.6" customHeight="1">
      <c r="A81" s="208" t="s">
        <v>253</v>
      </c>
      <c r="B81" s="208"/>
      <c r="C81" s="208"/>
      <c r="D81" s="208"/>
      <c r="E81" s="208"/>
    </row>
    <row r="82" spans="1:5" ht="12.6" customHeight="1">
      <c r="A82" s="171" t="s">
        <v>254</v>
      </c>
      <c r="B82" s="172"/>
      <c r="C82" s="282" t="s">
        <v>1267</v>
      </c>
      <c r="D82" s="256"/>
      <c r="E82" s="175"/>
    </row>
    <row r="83" spans="1:5" ht="12.6" customHeight="1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>
      <c r="A84" s="173" t="s">
        <v>257</v>
      </c>
      <c r="B84" s="172" t="s">
        <v>256</v>
      </c>
      <c r="C84" s="230" t="s">
        <v>1281</v>
      </c>
      <c r="D84" s="205"/>
      <c r="E84" s="204"/>
    </row>
    <row r="85" spans="1:5" ht="12.6" customHeight="1">
      <c r="A85" s="173" t="s">
        <v>1251</v>
      </c>
      <c r="B85" s="172"/>
      <c r="C85" s="271" t="s">
        <v>1272</v>
      </c>
      <c r="D85" s="205"/>
      <c r="E85" s="204"/>
    </row>
    <row r="86" spans="1:5" ht="12.6" customHeight="1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" customHeight="1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" customHeight="1">
      <c r="A89" s="173" t="s">
        <v>260</v>
      </c>
      <c r="B89" s="172" t="s">
        <v>256</v>
      </c>
      <c r="C89" s="230" t="s">
        <v>1282</v>
      </c>
      <c r="D89" s="205"/>
      <c r="E89" s="204"/>
    </row>
    <row r="90" spans="1:5" ht="12.6" customHeight="1">
      <c r="A90" s="173" t="s">
        <v>261</v>
      </c>
      <c r="B90" s="172" t="s">
        <v>256</v>
      </c>
      <c r="C90" s="230" t="s">
        <v>1292</v>
      </c>
      <c r="D90" s="205"/>
      <c r="E90" s="204"/>
    </row>
    <row r="91" spans="1:5" ht="12.6" customHeight="1">
      <c r="A91" s="173" t="s">
        <v>262</v>
      </c>
      <c r="B91" s="172" t="s">
        <v>256</v>
      </c>
      <c r="C91" s="230" t="str">
        <f>'[3]Prior Year'!C91</f>
        <v>FRANK TOMBARI</v>
      </c>
      <c r="D91" s="205"/>
      <c r="E91" s="204"/>
    </row>
    <row r="92" spans="1:5" ht="12.6" customHeight="1">
      <c r="A92" s="173" t="s">
        <v>263</v>
      </c>
      <c r="B92" s="172" t="s">
        <v>256</v>
      </c>
      <c r="C92" s="226" t="s">
        <v>1279</v>
      </c>
      <c r="D92" s="256"/>
      <c r="E92" s="175"/>
    </row>
    <row r="93" spans="1:5" ht="12.6" customHeight="1">
      <c r="A93" s="173" t="s">
        <v>264</v>
      </c>
      <c r="B93" s="172" t="s">
        <v>256</v>
      </c>
      <c r="C93" s="270" t="s">
        <v>1280</v>
      </c>
      <c r="D93" s="256"/>
      <c r="E93" s="175"/>
    </row>
    <row r="94" spans="1:5" ht="12.6" customHeight="1">
      <c r="A94" s="173"/>
      <c r="B94" s="173"/>
      <c r="C94" s="191"/>
      <c r="D94" s="175"/>
      <c r="E94" s="175"/>
    </row>
    <row r="95" spans="1:5" ht="12.6" customHeight="1">
      <c r="A95" s="208" t="s">
        <v>265</v>
      </c>
      <c r="B95" s="208"/>
      <c r="C95" s="208"/>
      <c r="D95" s="208"/>
      <c r="E95" s="208"/>
    </row>
    <row r="96" spans="1:5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9">
        <v>9708</v>
      </c>
      <c r="D111" s="174">
        <v>54656</v>
      </c>
      <c r="E111" s="175"/>
    </row>
    <row r="112" spans="1:5" ht="12.6" customHeight="1">
      <c r="A112" s="173" t="s">
        <v>279</v>
      </c>
      <c r="B112" s="172" t="s">
        <v>256</v>
      </c>
      <c r="C112" s="189"/>
      <c r="D112" s="174"/>
      <c r="E112" s="175"/>
    </row>
    <row r="113" spans="1:5" ht="12.6" customHeight="1">
      <c r="A113" s="173" t="s">
        <v>280</v>
      </c>
      <c r="B113" s="172" t="s">
        <v>256</v>
      </c>
      <c r="C113" s="189"/>
      <c r="D113" s="174"/>
      <c r="E113" s="175"/>
    </row>
    <row r="114" spans="1:5" ht="12.6" customHeight="1">
      <c r="A114" s="173" t="s">
        <v>281</v>
      </c>
      <c r="B114" s="172" t="s">
        <v>256</v>
      </c>
      <c r="C114" s="189">
        <v>1329</v>
      </c>
      <c r="D114" s="174">
        <v>1984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>
        <v>35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68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>
        <v>48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9"/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82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/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/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>
        <v>46</v>
      </c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279</v>
      </c>
    </row>
    <row r="128" spans="1:5" ht="12.6" customHeight="1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/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v>4496</v>
      </c>
      <c r="C138" s="189">
        <v>2445</v>
      </c>
      <c r="D138" s="174">
        <v>2767</v>
      </c>
      <c r="E138" s="175">
        <f>SUM(B138:D138)</f>
        <v>9708</v>
      </c>
    </row>
    <row r="139" spans="1:6" ht="12.6" customHeight="1">
      <c r="A139" s="173" t="s">
        <v>215</v>
      </c>
      <c r="B139" s="174">
        <v>25989</v>
      </c>
      <c r="C139" s="189">
        <v>13048</v>
      </c>
      <c r="D139" s="174">
        <v>15619</v>
      </c>
      <c r="E139" s="175">
        <f>SUM(B139:D139)</f>
        <v>54656</v>
      </c>
    </row>
    <row r="140" spans="1:6" ht="12.6" customHeight="1">
      <c r="A140" s="173" t="s">
        <v>298</v>
      </c>
      <c r="B140" s="174">
        <v>35610</v>
      </c>
      <c r="C140" s="174">
        <v>31830</v>
      </c>
      <c r="D140" s="174">
        <v>33842</v>
      </c>
      <c r="E140" s="175">
        <f>SUM(B140:D140)</f>
        <v>101282</v>
      </c>
    </row>
    <row r="141" spans="1:6" ht="12.6" customHeight="1">
      <c r="A141" s="173" t="s">
        <v>245</v>
      </c>
      <c r="B141" s="174">
        <v>301111785.82547444</v>
      </c>
      <c r="C141" s="189">
        <v>16280831.846610444</v>
      </c>
      <c r="D141" s="174">
        <v>468170929.33791512</v>
      </c>
      <c r="E141" s="175">
        <f>SUM(B141:D141)</f>
        <v>785563547.00999999</v>
      </c>
      <c r="F141" s="199"/>
    </row>
    <row r="142" spans="1:6" ht="12.6" customHeight="1">
      <c r="A142" s="173" t="s">
        <v>246</v>
      </c>
      <c r="B142" s="174">
        <v>220628999.39213088</v>
      </c>
      <c r="C142" s="189">
        <v>11998640.305388242</v>
      </c>
      <c r="D142" s="174">
        <v>466791876.26248097</v>
      </c>
      <c r="E142" s="175">
        <f>SUM(B142:D142)</f>
        <v>699419515.96000004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>
      <c r="A155" s="177"/>
      <c r="B155" s="177"/>
      <c r="C155" s="193"/>
      <c r="D155" s="178"/>
      <c r="E155" s="175"/>
    </row>
    <row r="156" spans="1:5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3"/>
      <c r="D158" s="175"/>
      <c r="E158" s="175"/>
    </row>
    <row r="159" spans="1:5" ht="12.6" customHeight="1">
      <c r="A159" s="177"/>
      <c r="B159" s="177"/>
      <c r="C159" s="193"/>
      <c r="D159" s="178"/>
      <c r="E159" s="175"/>
    </row>
    <row r="160" spans="1:5" ht="12.6" customHeight="1">
      <c r="A160" s="177"/>
      <c r="B160" s="177"/>
      <c r="C160" s="193"/>
      <c r="D160" s="178"/>
      <c r="E160" s="175"/>
    </row>
    <row r="161" spans="1:5" ht="12.6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4" customHeight="1">
      <c r="A163" s="207" t="s">
        <v>305</v>
      </c>
      <c r="B163" s="208"/>
      <c r="C163" s="208"/>
      <c r="D163" s="208"/>
      <c r="E163" s="208"/>
    </row>
    <row r="164" spans="1:5" ht="11.4" customHeight="1">
      <c r="A164" s="257" t="s">
        <v>306</v>
      </c>
      <c r="B164" s="257"/>
      <c r="C164" s="257"/>
      <c r="D164" s="257"/>
      <c r="E164" s="257"/>
    </row>
    <row r="165" spans="1:5" ht="11.4" customHeight="1">
      <c r="A165" s="173" t="s">
        <v>307</v>
      </c>
      <c r="B165" s="172" t="s">
        <v>256</v>
      </c>
      <c r="C165" s="189">
        <v>7221714.6300000008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189"/>
      <c r="D166" s="175"/>
      <c r="E166" s="175"/>
    </row>
    <row r="167" spans="1:5" ht="11.4" customHeight="1">
      <c r="A167" s="177" t="s">
        <v>309</v>
      </c>
      <c r="B167" s="172" t="s">
        <v>256</v>
      </c>
      <c r="C167" s="189">
        <v>28998.630000000005</v>
      </c>
      <c r="D167" s="175"/>
      <c r="E167" s="175"/>
    </row>
    <row r="168" spans="1:5" ht="11.4" customHeight="1">
      <c r="A168" s="173" t="s">
        <v>310</v>
      </c>
      <c r="B168" s="172" t="s">
        <v>256</v>
      </c>
      <c r="C168" s="189">
        <v>15376160.68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189"/>
      <c r="D169" s="175"/>
      <c r="E169" s="175"/>
    </row>
    <row r="170" spans="1:5" ht="11.4" customHeight="1">
      <c r="A170" s="173" t="s">
        <v>312</v>
      </c>
      <c r="B170" s="172" t="s">
        <v>256</v>
      </c>
      <c r="C170" s="189">
        <v>1886336.12</v>
      </c>
      <c r="D170" s="175"/>
      <c r="E170" s="175"/>
    </row>
    <row r="171" spans="1:5" ht="11.4" customHeight="1">
      <c r="A171" s="173" t="s">
        <v>313</v>
      </c>
      <c r="B171" s="172" t="s">
        <v>256</v>
      </c>
      <c r="C171" s="189">
        <v>1205696.26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9">
        <v>54687.380000000005</v>
      </c>
      <c r="D172" s="175"/>
      <c r="E172" s="175"/>
    </row>
    <row r="173" spans="1:5" ht="11.4" customHeight="1">
      <c r="A173" s="173" t="s">
        <v>203</v>
      </c>
      <c r="B173" s="175"/>
      <c r="C173" s="191"/>
      <c r="D173" s="175">
        <f>SUM(C165:C172)</f>
        <v>25773593.700000003</v>
      </c>
      <c r="E173" s="175"/>
    </row>
    <row r="174" spans="1:5" ht="11.4" customHeight="1">
      <c r="A174" s="257" t="s">
        <v>314</v>
      </c>
      <c r="B174" s="257"/>
      <c r="C174" s="257"/>
      <c r="D174" s="257"/>
      <c r="E174" s="257"/>
    </row>
    <row r="175" spans="1:5" ht="11.4" customHeight="1">
      <c r="A175" s="173" t="s">
        <v>315</v>
      </c>
      <c r="B175" s="172" t="s">
        <v>256</v>
      </c>
      <c r="C175" s="189">
        <v>1784978.8299999998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9">
        <v>2703667.38</v>
      </c>
      <c r="D176" s="175"/>
      <c r="E176" s="175"/>
    </row>
    <row r="177" spans="1:5" ht="11.4" customHeight="1">
      <c r="A177" s="173" t="s">
        <v>203</v>
      </c>
      <c r="B177" s="175"/>
      <c r="C177" s="191"/>
      <c r="D177" s="175">
        <f>SUM(C175:C176)</f>
        <v>4488646.21</v>
      </c>
      <c r="E177" s="175"/>
    </row>
    <row r="178" spans="1:5" ht="11.4" customHeight="1">
      <c r="A178" s="257" t="s">
        <v>317</v>
      </c>
      <c r="B178" s="257"/>
      <c r="C178" s="257"/>
      <c r="D178" s="257"/>
      <c r="E178" s="257"/>
    </row>
    <row r="179" spans="1:5" ht="11.4" customHeight="1">
      <c r="A179" s="173" t="s">
        <v>318</v>
      </c>
      <c r="B179" s="172" t="s">
        <v>256</v>
      </c>
      <c r="C179" s="189">
        <v>2622815.8800000008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9"/>
      <c r="D180" s="175"/>
      <c r="E180" s="175"/>
    </row>
    <row r="181" spans="1:5" ht="11.4" customHeight="1">
      <c r="A181" s="173" t="s">
        <v>203</v>
      </c>
      <c r="B181" s="175"/>
      <c r="C181" s="191"/>
      <c r="D181" s="175">
        <f>SUM(C179:C180)</f>
        <v>2622815.8800000008</v>
      </c>
      <c r="E181" s="175"/>
    </row>
    <row r="182" spans="1:5" ht="11.4" customHeight="1">
      <c r="A182" s="257" t="s">
        <v>320</v>
      </c>
      <c r="B182" s="257"/>
      <c r="C182" s="257"/>
      <c r="D182" s="257"/>
      <c r="E182" s="257"/>
    </row>
    <row r="183" spans="1:5" ht="11.4" customHeight="1">
      <c r="A183" s="173" t="s">
        <v>321</v>
      </c>
      <c r="B183" s="172" t="s">
        <v>256</v>
      </c>
      <c r="C183" s="189">
        <v>48721.2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9">
        <v>7245961.5699999994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9"/>
      <c r="D185" s="175"/>
      <c r="E185" s="175"/>
    </row>
    <row r="186" spans="1:5" ht="11.4" customHeight="1">
      <c r="A186" s="173" t="s">
        <v>203</v>
      </c>
      <c r="B186" s="175"/>
      <c r="C186" s="191"/>
      <c r="D186" s="175">
        <f>SUM(C183:C185)</f>
        <v>7294682.7699999996</v>
      </c>
      <c r="E186" s="175"/>
    </row>
    <row r="187" spans="1:5" ht="11.4" customHeight="1">
      <c r="A187" s="257" t="s">
        <v>323</v>
      </c>
      <c r="B187" s="257"/>
      <c r="C187" s="257"/>
      <c r="D187" s="257"/>
      <c r="E187" s="257"/>
    </row>
    <row r="188" spans="1:5" ht="11.4" customHeight="1">
      <c r="A188" s="173" t="s">
        <v>324</v>
      </c>
      <c r="B188" s="172" t="s">
        <v>256</v>
      </c>
      <c r="C188" s="189"/>
      <c r="D188" s="175"/>
      <c r="E188" s="175"/>
    </row>
    <row r="189" spans="1:5" ht="11.4" customHeight="1">
      <c r="A189" s="173" t="s">
        <v>325</v>
      </c>
      <c r="B189" s="172" t="s">
        <v>256</v>
      </c>
      <c r="C189" s="189">
        <v>5811909</v>
      </c>
      <c r="D189" s="175"/>
      <c r="E189" s="175"/>
    </row>
    <row r="190" spans="1:5" ht="11.4" customHeight="1">
      <c r="A190" s="173" t="s">
        <v>203</v>
      </c>
      <c r="B190" s="175"/>
      <c r="C190" s="191"/>
      <c r="D190" s="175">
        <f>SUM(C188:C189)</f>
        <v>5811909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>
        <v>19229634</v>
      </c>
      <c r="C195" s="189">
        <v>0</v>
      </c>
      <c r="D195" s="174">
        <v>0</v>
      </c>
      <c r="E195" s="175">
        <f t="shared" ref="E195:E203" si="10">SUM(B195:C195)-D195</f>
        <v>19229634</v>
      </c>
    </row>
    <row r="196" spans="1:8" ht="12.6" customHeight="1">
      <c r="A196" s="173" t="s">
        <v>333</v>
      </c>
      <c r="B196" s="174">
        <v>716319</v>
      </c>
      <c r="C196" s="189">
        <v>0</v>
      </c>
      <c r="D196" s="174">
        <v>0</v>
      </c>
      <c r="E196" s="175">
        <f t="shared" si="10"/>
        <v>716319</v>
      </c>
    </row>
    <row r="197" spans="1:8" ht="12.6" customHeight="1">
      <c r="A197" s="173" t="s">
        <v>334</v>
      </c>
      <c r="B197" s="174">
        <v>125197532.25</v>
      </c>
      <c r="C197" s="189">
        <v>1958143.38</v>
      </c>
      <c r="D197" s="174">
        <v>0</v>
      </c>
      <c r="E197" s="175">
        <f t="shared" si="10"/>
        <v>127155675.63</v>
      </c>
    </row>
    <row r="198" spans="1:8" ht="12.6" customHeight="1">
      <c r="A198" s="173" t="s">
        <v>335</v>
      </c>
      <c r="B198" s="174">
        <v>1205298</v>
      </c>
      <c r="C198" s="189">
        <v>133265.77000000002</v>
      </c>
      <c r="D198" s="174">
        <v>0</v>
      </c>
      <c r="E198" s="175">
        <f t="shared" si="10"/>
        <v>1338563.77</v>
      </c>
    </row>
    <row r="199" spans="1:8" ht="12.6" customHeight="1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>
      <c r="A200" s="173" t="s">
        <v>337</v>
      </c>
      <c r="B200" s="174">
        <v>41415406.780000031</v>
      </c>
      <c r="C200" s="189">
        <v>5559280.0899999999</v>
      </c>
      <c r="D200" s="174">
        <v>187307.96</v>
      </c>
      <c r="E200" s="175">
        <f t="shared" si="10"/>
        <v>46787378.910000034</v>
      </c>
    </row>
    <row r="201" spans="1:8" ht="12.6" customHeight="1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>
      <c r="A202" s="173" t="s">
        <v>339</v>
      </c>
      <c r="B202" s="174">
        <v>311050</v>
      </c>
      <c r="C202" s="189">
        <v>0</v>
      </c>
      <c r="D202" s="174">
        <v>0</v>
      </c>
      <c r="E202" s="175">
        <f t="shared" si="10"/>
        <v>311050</v>
      </c>
    </row>
    <row r="203" spans="1:8" ht="12.6" customHeight="1">
      <c r="A203" s="173" t="s">
        <v>340</v>
      </c>
      <c r="B203" s="174">
        <v>61993.859999999979</v>
      </c>
      <c r="C203" s="189"/>
      <c r="D203" s="174">
        <v>61993.86</v>
      </c>
      <c r="E203" s="175">
        <f t="shared" si="10"/>
        <v>0</v>
      </c>
    </row>
    <row r="204" spans="1:8" ht="12.6" customHeight="1">
      <c r="A204" s="173" t="s">
        <v>203</v>
      </c>
      <c r="B204" s="175">
        <f>SUM(B195:B203)</f>
        <v>188137233.89000005</v>
      </c>
      <c r="C204" s="191">
        <f>SUM(C195:C203)</f>
        <v>7650689.2400000002</v>
      </c>
      <c r="D204" s="175">
        <f>SUM(D195:D203)</f>
        <v>249301.82</v>
      </c>
      <c r="E204" s="175">
        <f>SUM(E195:E203)</f>
        <v>195538621.31000003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8" ht="12.6" customHeight="1">
      <c r="A209" s="173" t="s">
        <v>333</v>
      </c>
      <c r="B209" s="174">
        <v>59525.099999999977</v>
      </c>
      <c r="C209" s="189">
        <v>119050.20000000003</v>
      </c>
      <c r="D209" s="174">
        <v>0</v>
      </c>
      <c r="E209" s="175">
        <f t="shared" ref="E209:E216" si="11">SUM(B209:C209)-D209</f>
        <v>178575.3</v>
      </c>
      <c r="H209" s="259"/>
    </row>
    <row r="210" spans="1:8" ht="12.6" customHeight="1">
      <c r="A210" s="173" t="s">
        <v>334</v>
      </c>
      <c r="B210" s="174">
        <v>3202779.3999999985</v>
      </c>
      <c r="C210" s="189">
        <v>6481267.8000000017</v>
      </c>
      <c r="D210" s="174">
        <v>0</v>
      </c>
      <c r="E210" s="175">
        <f t="shared" si="11"/>
        <v>9684047.1999999993</v>
      </c>
      <c r="H210" s="259"/>
    </row>
    <row r="211" spans="1:8" ht="12.6" customHeight="1">
      <c r="A211" s="173" t="s">
        <v>335</v>
      </c>
      <c r="B211" s="174">
        <v>54940.5</v>
      </c>
      <c r="C211" s="189">
        <v>114240.67</v>
      </c>
      <c r="D211" s="174">
        <v>0</v>
      </c>
      <c r="E211" s="175">
        <f t="shared" si="11"/>
        <v>169181.16999999998</v>
      </c>
      <c r="H211" s="259"/>
    </row>
    <row r="212" spans="1:8" ht="12.6" customHeight="1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>
      <c r="A213" s="173" t="s">
        <v>337</v>
      </c>
      <c r="B213" s="174">
        <v>4828205.6000000015</v>
      </c>
      <c r="C213" s="189">
        <v>10415951.709999999</v>
      </c>
      <c r="D213" s="174">
        <v>39841.08</v>
      </c>
      <c r="E213" s="175">
        <f t="shared" si="11"/>
        <v>15204316.23</v>
      </c>
      <c r="H213" s="259"/>
    </row>
    <row r="214" spans="1:8" ht="12.6" customHeight="1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>
      <c r="A215" s="173" t="s">
        <v>339</v>
      </c>
      <c r="B215" s="174">
        <v>19533.380000000005</v>
      </c>
      <c r="C215" s="189">
        <v>39066.65</v>
      </c>
      <c r="D215" s="174">
        <v>0</v>
      </c>
      <c r="E215" s="175">
        <f t="shared" si="11"/>
        <v>58600.030000000006</v>
      </c>
      <c r="H215" s="259"/>
    </row>
    <row r="216" spans="1:8" ht="12.6" customHeight="1">
      <c r="A216" s="173" t="s">
        <v>340</v>
      </c>
      <c r="B216" s="174">
        <v>0</v>
      </c>
      <c r="C216" s="189"/>
      <c r="D216" s="174">
        <v>0</v>
      </c>
      <c r="E216" s="175">
        <f t="shared" si="11"/>
        <v>0</v>
      </c>
      <c r="H216" s="259"/>
    </row>
    <row r="217" spans="1:8" ht="12.6" customHeight="1">
      <c r="A217" s="173" t="s">
        <v>203</v>
      </c>
      <c r="B217" s="175">
        <f>SUM(B208:B216)</f>
        <v>8164983.9799999995</v>
      </c>
      <c r="C217" s="191">
        <f>SUM(C208:C216)</f>
        <v>17169577.030000001</v>
      </c>
      <c r="D217" s="175">
        <f>SUM(D208:D216)</f>
        <v>39841.08</v>
      </c>
      <c r="E217" s="175">
        <f>SUM(E208:E216)</f>
        <v>25294719.93</v>
      </c>
    </row>
    <row r="218" spans="1:8" ht="21.75" customHeight="1">
      <c r="A218" s="173"/>
      <c r="B218" s="175"/>
      <c r="C218" s="191"/>
      <c r="D218" s="175"/>
      <c r="E218" s="175"/>
    </row>
    <row r="219" spans="1:8" ht="12.6" customHeight="1">
      <c r="A219" s="208" t="s">
        <v>342</v>
      </c>
      <c r="B219" s="208"/>
      <c r="C219" s="208"/>
      <c r="D219" s="208"/>
      <c r="E219" s="208"/>
    </row>
    <row r="220" spans="1:8" ht="12.6" customHeight="1">
      <c r="A220" s="208"/>
      <c r="B220" s="325" t="s">
        <v>1255</v>
      </c>
      <c r="C220" s="325"/>
      <c r="D220" s="208"/>
      <c r="E220" s="208"/>
    </row>
    <row r="221" spans="1:8" ht="12.6" customHeight="1">
      <c r="A221" s="272" t="s">
        <v>1255</v>
      </c>
      <c r="B221" s="208"/>
      <c r="C221" s="189">
        <v>6795341.3299999982</v>
      </c>
      <c r="D221" s="172">
        <f>C221</f>
        <v>6795341.3299999982</v>
      </c>
      <c r="E221" s="208"/>
    </row>
    <row r="222" spans="1:8" ht="12.6" customHeight="1">
      <c r="A222" s="257" t="s">
        <v>343</v>
      </c>
      <c r="B222" s="257"/>
      <c r="C222" s="257"/>
      <c r="D222" s="257"/>
      <c r="E222" s="257"/>
    </row>
    <row r="223" spans="1:8" ht="12.6" customHeight="1">
      <c r="A223" s="173" t="s">
        <v>344</v>
      </c>
      <c r="B223" s="172" t="s">
        <v>256</v>
      </c>
      <c r="C223" s="189">
        <v>424737062.82332695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9">
        <v>22426798.859416224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9">
        <v>13977502.213483714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9">
        <v>6762917.2289165389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9"/>
      <c r="D227" s="175"/>
      <c r="E227" s="175"/>
    </row>
    <row r="228" spans="1:5" ht="12.6" customHeight="1">
      <c r="A228" s="173" t="s">
        <v>349</v>
      </c>
      <c r="B228" s="172" t="s">
        <v>256</v>
      </c>
      <c r="C228" s="189">
        <v>725030736.10485673</v>
      </c>
      <c r="D228" s="175"/>
      <c r="E228" s="175"/>
    </row>
    <row r="229" spans="1:5" ht="12.6" customHeight="1">
      <c r="A229" s="173" t="s">
        <v>350</v>
      </c>
      <c r="B229" s="175"/>
      <c r="C229" s="191"/>
      <c r="D229" s="175">
        <f>SUM(C223:C228)</f>
        <v>1192935017.23</v>
      </c>
      <c r="E229" s="175"/>
    </row>
    <row r="230" spans="1:5" ht="12.6" customHeight="1">
      <c r="A230" s="257" t="s">
        <v>351</v>
      </c>
      <c r="B230" s="257"/>
      <c r="C230" s="257"/>
      <c r="D230" s="257"/>
      <c r="E230" s="257"/>
    </row>
    <row r="231" spans="1:5" ht="12.6" customHeight="1">
      <c r="A231" s="171" t="s">
        <v>352</v>
      </c>
      <c r="B231" s="172" t="s">
        <v>256</v>
      </c>
      <c r="C231" s="189">
        <v>3953</v>
      </c>
      <c r="D231" s="175"/>
      <c r="E231" s="175"/>
    </row>
    <row r="232" spans="1:5" ht="12.6" customHeight="1">
      <c r="A232" s="171"/>
      <c r="B232" s="172"/>
      <c r="C232" s="191"/>
      <c r="D232" s="175"/>
      <c r="E232" s="175"/>
    </row>
    <row r="233" spans="1:5" ht="12.6" customHeight="1">
      <c r="A233" s="171" t="s">
        <v>353</v>
      </c>
      <c r="B233" s="172" t="s">
        <v>256</v>
      </c>
      <c r="C233" s="189">
        <v>5327291.3519017771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9">
        <v>4803521.1580982227</v>
      </c>
      <c r="D234" s="175"/>
      <c r="E234" s="175"/>
    </row>
    <row r="235" spans="1:5" ht="12.6" customHeight="1">
      <c r="A235" s="173"/>
      <c r="B235" s="175"/>
      <c r="C235" s="191"/>
      <c r="D235" s="175"/>
      <c r="E235" s="175"/>
    </row>
    <row r="236" spans="1:5" ht="12.6" customHeight="1">
      <c r="A236" s="171" t="s">
        <v>355</v>
      </c>
      <c r="B236" s="175"/>
      <c r="C236" s="191"/>
      <c r="D236" s="175">
        <f>SUM(C233:C235)</f>
        <v>10130812.51</v>
      </c>
      <c r="E236" s="175"/>
    </row>
    <row r="237" spans="1:5" ht="12.6" customHeight="1">
      <c r="A237" s="257" t="s">
        <v>356</v>
      </c>
      <c r="B237" s="257"/>
      <c r="C237" s="257"/>
      <c r="D237" s="257"/>
      <c r="E237" s="257"/>
    </row>
    <row r="238" spans="1:5" ht="12.6" customHeight="1">
      <c r="A238" s="173" t="s">
        <v>357</v>
      </c>
      <c r="B238" s="172" t="s">
        <v>256</v>
      </c>
      <c r="C238" s="189">
        <v>3901159.42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9"/>
      <c r="D239" s="175"/>
      <c r="E239" s="175"/>
    </row>
    <row r="240" spans="1:5" ht="12.6" customHeight="1">
      <c r="A240" s="173" t="s">
        <v>358</v>
      </c>
      <c r="B240" s="175"/>
      <c r="C240" s="191"/>
      <c r="D240" s="175">
        <f>SUM(C238:C239)</f>
        <v>3901159.42</v>
      </c>
      <c r="E240" s="175"/>
    </row>
    <row r="241" spans="1:5" ht="12.6" customHeight="1">
      <c r="A241" s="173"/>
      <c r="B241" s="175"/>
      <c r="C241" s="191"/>
      <c r="D241" s="175"/>
      <c r="E241" s="175"/>
    </row>
    <row r="242" spans="1:5" ht="12.6" customHeight="1">
      <c r="A242" s="173" t="s">
        <v>359</v>
      </c>
      <c r="B242" s="175"/>
      <c r="C242" s="191"/>
      <c r="D242" s="175">
        <f>D221+D229+D236+D240</f>
        <v>1213762330.49</v>
      </c>
      <c r="E242" s="175"/>
    </row>
    <row r="243" spans="1:5" ht="12.6" customHeight="1">
      <c r="A243" s="173"/>
      <c r="B243" s="173"/>
      <c r="C243" s="191"/>
      <c r="D243" s="175"/>
      <c r="E243" s="175"/>
    </row>
    <row r="244" spans="1:5" ht="12.6" customHeight="1">
      <c r="A244" s="173"/>
      <c r="B244" s="173"/>
      <c r="C244" s="191"/>
      <c r="D244" s="175"/>
      <c r="E244" s="175"/>
    </row>
    <row r="245" spans="1:5" ht="12.6" customHeight="1">
      <c r="A245" s="173"/>
      <c r="B245" s="173"/>
      <c r="C245" s="191"/>
      <c r="D245" s="175"/>
      <c r="E245" s="175"/>
    </row>
    <row r="246" spans="1:5" ht="12.6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>
        <v>14011.24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>
      <c r="A252" s="173" t="s">
        <v>364</v>
      </c>
      <c r="B252" s="172" t="s">
        <v>256</v>
      </c>
      <c r="C252" s="189">
        <v>233726514.19999999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9">
        <v>188147300.62999997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>
      <c r="A255" s="173" t="s">
        <v>366</v>
      </c>
      <c r="B255" s="172" t="s">
        <v>256</v>
      </c>
      <c r="C255" s="189">
        <v>1077708.1600000001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>
      <c r="A257" s="173" t="s">
        <v>368</v>
      </c>
      <c r="B257" s="172" t="s">
        <v>256</v>
      </c>
      <c r="C257" s="189">
        <v>14577067.979999997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9">
        <v>937543.57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62185544.520000026</v>
      </c>
      <c r="E260" s="175"/>
    </row>
    <row r="261" spans="1:5" ht="11.25" customHeight="1">
      <c r="A261" s="257" t="s">
        <v>372</v>
      </c>
      <c r="B261" s="257"/>
      <c r="C261" s="257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257"/>
      <c r="D266" s="257"/>
      <c r="E266" s="257"/>
    </row>
    <row r="267" spans="1:5" ht="12.45" customHeight="1">
      <c r="A267" s="173" t="s">
        <v>332</v>
      </c>
      <c r="B267" s="172" t="s">
        <v>256</v>
      </c>
      <c r="C267" s="189">
        <v>19229634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9">
        <v>716319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9">
        <v>127155675.63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v>1338563.77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9">
        <v>46787378.909999996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9">
        <v>311050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195538621.31</v>
      </c>
      <c r="E275" s="175"/>
    </row>
    <row r="276" spans="1:5" ht="12.6" customHeight="1">
      <c r="A276" s="173" t="s">
        <v>380</v>
      </c>
      <c r="B276" s="172" t="s">
        <v>256</v>
      </c>
      <c r="C276" s="189">
        <v>25294719.93</v>
      </c>
      <c r="D276" s="175"/>
      <c r="E276" s="175"/>
    </row>
    <row r="277" spans="1:5" ht="12.6" customHeight="1">
      <c r="A277" s="173" t="s">
        <v>381</v>
      </c>
      <c r="B277" s="175"/>
      <c r="C277" s="191"/>
      <c r="D277" s="175">
        <f>D275-C276</f>
        <v>170243901.38</v>
      </c>
      <c r="E277" s="175"/>
    </row>
    <row r="278" spans="1:5" ht="12.6" customHeight="1">
      <c r="A278" s="257" t="s">
        <v>382</v>
      </c>
      <c r="B278" s="257"/>
      <c r="C278" s="257"/>
      <c r="D278" s="257"/>
      <c r="E278" s="257"/>
    </row>
    <row r="279" spans="1:5" ht="12.6" customHeight="1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>
      <c r="A282" s="173" t="s">
        <v>373</v>
      </c>
      <c r="B282" s="172" t="s">
        <v>256</v>
      </c>
      <c r="C282" s="189">
        <v>1485128.04</v>
      </c>
      <c r="D282" s="175"/>
      <c r="E282" s="175"/>
    </row>
    <row r="283" spans="1:5" ht="12.6" customHeight="1">
      <c r="A283" s="173" t="s">
        <v>386</v>
      </c>
      <c r="B283" s="175"/>
      <c r="C283" s="191"/>
      <c r="D283" s="175">
        <f>C279-C280+C281+C282</f>
        <v>1485128.04</v>
      </c>
      <c r="E283" s="175"/>
    </row>
    <row r="284" spans="1:5" ht="12.6" customHeight="1">
      <c r="A284" s="173"/>
      <c r="B284" s="175"/>
      <c r="C284" s="191"/>
      <c r="D284" s="175"/>
      <c r="E284" s="175"/>
    </row>
    <row r="285" spans="1:5" ht="12.6" customHeight="1">
      <c r="A285" s="257" t="s">
        <v>387</v>
      </c>
      <c r="B285" s="257"/>
      <c r="C285" s="257"/>
      <c r="D285" s="257"/>
      <c r="E285" s="257"/>
    </row>
    <row r="286" spans="1:5" ht="12.6" customHeight="1">
      <c r="A286" s="173" t="s">
        <v>388</v>
      </c>
      <c r="B286" s="172" t="s">
        <v>256</v>
      </c>
      <c r="C286" s="189">
        <v>20538012.09</v>
      </c>
      <c r="D286" s="175"/>
      <c r="E286" s="175"/>
    </row>
    <row r="287" spans="1:5" ht="12.6" customHeight="1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>
      <c r="A289" s="173" t="s">
        <v>391</v>
      </c>
      <c r="B289" s="172" t="s">
        <v>256</v>
      </c>
      <c r="C289" s="189">
        <v>8169999.7199999997</v>
      </c>
      <c r="D289" s="175"/>
      <c r="E289" s="175"/>
    </row>
    <row r="290" spans="1:5" ht="12.6" customHeight="1">
      <c r="A290" s="173" t="s">
        <v>392</v>
      </c>
      <c r="B290" s="175"/>
      <c r="C290" s="191"/>
      <c r="D290" s="175">
        <f>SUM(C286:C289)</f>
        <v>28708011.809999999</v>
      </c>
      <c r="E290" s="175"/>
    </row>
    <row r="291" spans="1:5" ht="12.6" customHeight="1">
      <c r="A291" s="173"/>
      <c r="B291" s="175"/>
      <c r="C291" s="191"/>
      <c r="D291" s="175"/>
      <c r="E291" s="175"/>
    </row>
    <row r="292" spans="1:5" ht="12.6" customHeight="1">
      <c r="A292" s="173" t="s">
        <v>393</v>
      </c>
      <c r="B292" s="175"/>
      <c r="C292" s="191"/>
      <c r="D292" s="175">
        <f>D260+D265+D277+D283+D290</f>
        <v>262622585.75000003</v>
      </c>
      <c r="E292" s="175"/>
    </row>
    <row r="293" spans="1:5" ht="12.6" customHeight="1">
      <c r="A293" s="173"/>
      <c r="B293" s="173"/>
      <c r="C293" s="191"/>
      <c r="D293" s="175"/>
      <c r="E293" s="175"/>
    </row>
    <row r="294" spans="1:5" ht="12.6" customHeight="1">
      <c r="A294" s="173"/>
      <c r="B294" s="173"/>
      <c r="C294" s="191"/>
      <c r="D294" s="175"/>
      <c r="E294" s="175"/>
    </row>
    <row r="295" spans="1:5" ht="12.6" customHeight="1">
      <c r="A295" s="173"/>
      <c r="B295" s="173"/>
      <c r="C295" s="191"/>
      <c r="D295" s="175"/>
      <c r="E295" s="175"/>
    </row>
    <row r="296" spans="1:5" ht="12.6" customHeight="1">
      <c r="A296" s="173"/>
      <c r="B296" s="173"/>
      <c r="C296" s="191"/>
      <c r="D296" s="175"/>
      <c r="E296" s="175"/>
    </row>
    <row r="297" spans="1:5" ht="12.6" customHeight="1">
      <c r="A297" s="173"/>
      <c r="B297" s="173"/>
      <c r="C297" s="191"/>
      <c r="D297" s="175"/>
      <c r="E297" s="175"/>
    </row>
    <row r="298" spans="1:5" ht="12.6" customHeight="1">
      <c r="A298" s="173"/>
      <c r="B298" s="173"/>
      <c r="C298" s="191"/>
      <c r="D298" s="175"/>
      <c r="E298" s="175"/>
    </row>
    <row r="299" spans="1:5" ht="12.6" customHeight="1">
      <c r="A299" s="173"/>
      <c r="B299" s="173"/>
      <c r="C299" s="191"/>
      <c r="D299" s="175"/>
      <c r="E299" s="175"/>
    </row>
    <row r="300" spans="1:5" ht="12.6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" customHeight="1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>
      <c r="A305" s="173" t="s">
        <v>397</v>
      </c>
      <c r="B305" s="172" t="s">
        <v>256</v>
      </c>
      <c r="C305" s="189">
        <v>7408206.4400000004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9">
        <v>1896617.01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189">
        <v>275575343.10000002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>
      <c r="A309" s="173" t="s">
        <v>1242</v>
      </c>
      <c r="B309" s="172" t="s">
        <v>256</v>
      </c>
      <c r="C309" s="189">
        <v>1215000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>
      <c r="A312" s="173" t="s">
        <v>403</v>
      </c>
      <c r="B312" s="172" t="s">
        <v>256</v>
      </c>
      <c r="C312" s="189">
        <v>621540.93000000005</v>
      </c>
      <c r="D312" s="175"/>
      <c r="E312" s="175"/>
    </row>
    <row r="313" spans="1:5" ht="12.6" customHeight="1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>
      <c r="A314" s="173" t="s">
        <v>405</v>
      </c>
      <c r="B314" s="175"/>
      <c r="C314" s="191"/>
      <c r="D314" s="175">
        <f>SUM(C304:C313)</f>
        <v>286716707.48000002</v>
      </c>
      <c r="E314" s="175"/>
    </row>
    <row r="315" spans="1:5" ht="12.6" customHeight="1">
      <c r="A315" s="257" t="s">
        <v>406</v>
      </c>
      <c r="B315" s="257"/>
      <c r="C315" s="257"/>
      <c r="D315" s="257"/>
      <c r="E315" s="257"/>
    </row>
    <row r="316" spans="1:5" ht="12.6" customHeight="1">
      <c r="A316" s="173" t="s">
        <v>407</v>
      </c>
      <c r="B316" s="172" t="s">
        <v>256</v>
      </c>
      <c r="C316" s="189"/>
      <c r="D316" s="175"/>
      <c r="E316" s="175"/>
    </row>
    <row r="317" spans="1:5" ht="12.6" customHeight="1">
      <c r="A317" s="173" t="s">
        <v>408</v>
      </c>
      <c r="B317" s="172" t="s">
        <v>256</v>
      </c>
      <c r="C317" s="189"/>
      <c r="D317" s="175"/>
      <c r="E317" s="175"/>
    </row>
    <row r="318" spans="1:5" ht="12.6" customHeight="1">
      <c r="A318" s="173" t="s">
        <v>409</v>
      </c>
      <c r="B318" s="172" t="s">
        <v>256</v>
      </c>
      <c r="C318" s="189"/>
      <c r="D318" s="175"/>
      <c r="E318" s="175"/>
    </row>
    <row r="319" spans="1:5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>
      <c r="A320" s="257" t="s">
        <v>411</v>
      </c>
      <c r="B320" s="257"/>
      <c r="C320" s="257"/>
      <c r="D320" s="257"/>
      <c r="E320" s="257"/>
    </row>
    <row r="321" spans="1:5" ht="12.6" customHeight="1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>
      <c r="A327" s="173" t="s">
        <v>418</v>
      </c>
      <c r="B327" s="172" t="s">
        <v>256</v>
      </c>
      <c r="C327" s="189">
        <v>54318.85</v>
      </c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54318.85</v>
      </c>
      <c r="E328" s="175"/>
    </row>
    <row r="329" spans="1:5" ht="12.6" customHeight="1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>
      <c r="A330" s="173" t="s">
        <v>420</v>
      </c>
      <c r="B330" s="175"/>
      <c r="C330" s="191"/>
      <c r="D330" s="175">
        <f>D328-D329</f>
        <v>54318.85</v>
      </c>
      <c r="E330" s="175"/>
    </row>
    <row r="331" spans="1:5" ht="12.6" customHeight="1">
      <c r="A331" s="173"/>
      <c r="B331" s="175"/>
      <c r="C331" s="191"/>
      <c r="D331" s="175"/>
      <c r="E331" s="175"/>
    </row>
    <row r="332" spans="1:5" ht="12.6" customHeight="1">
      <c r="A332" s="173" t="s">
        <v>421</v>
      </c>
      <c r="B332" s="172" t="s">
        <v>256</v>
      </c>
      <c r="C332" s="222">
        <v>-24148440.580000017</v>
      </c>
      <c r="D332" s="175"/>
      <c r="E332" s="175"/>
    </row>
    <row r="333" spans="1:5" ht="12.6" customHeight="1">
      <c r="A333" s="173"/>
      <c r="B333" s="172"/>
      <c r="C333" s="232"/>
      <c r="D333" s="175"/>
      <c r="E333" s="175"/>
    </row>
    <row r="334" spans="1:5" ht="12.6" customHeight="1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>
      <c r="A336" s="173" t="s">
        <v>423</v>
      </c>
      <c r="B336" s="172" t="s">
        <v>256</v>
      </c>
      <c r="C336" s="222"/>
      <c r="D336" s="175"/>
      <c r="E336" s="175"/>
    </row>
    <row r="337" spans="1:5" ht="12.6" customHeight="1">
      <c r="A337" s="173" t="s">
        <v>422</v>
      </c>
      <c r="B337" s="172" t="s">
        <v>256</v>
      </c>
      <c r="C337" s="189"/>
      <c r="D337" s="175"/>
      <c r="E337" s="175"/>
    </row>
    <row r="338" spans="1:5" ht="12.6" customHeight="1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>
      <c r="A339" s="173" t="s">
        <v>424</v>
      </c>
      <c r="B339" s="175"/>
      <c r="C339" s="191"/>
      <c r="D339" s="175">
        <f>D314+D319+D330+C332+C336+C337</f>
        <v>262622585.75000003</v>
      </c>
      <c r="E339" s="175"/>
    </row>
    <row r="340" spans="1:5" ht="12.6" customHeight="1">
      <c r="A340" s="173"/>
      <c r="B340" s="175"/>
      <c r="C340" s="191"/>
      <c r="D340" s="175"/>
      <c r="E340" s="175"/>
    </row>
    <row r="341" spans="1:5" ht="12.6" customHeight="1">
      <c r="A341" s="173" t="s">
        <v>425</v>
      </c>
      <c r="B341" s="175"/>
      <c r="C341" s="191"/>
      <c r="D341" s="175">
        <f>D292</f>
        <v>262622585.75000003</v>
      </c>
      <c r="E341" s="175"/>
    </row>
    <row r="342" spans="1:5" ht="12.6" customHeight="1">
      <c r="A342" s="173"/>
      <c r="B342" s="173"/>
      <c r="C342" s="191"/>
      <c r="D342" s="175"/>
      <c r="E342" s="175"/>
    </row>
    <row r="343" spans="1:5" ht="12.6" customHeight="1">
      <c r="A343" s="173"/>
      <c r="B343" s="173"/>
      <c r="C343" s="191"/>
      <c r="D343" s="175"/>
      <c r="E343" s="175"/>
    </row>
    <row r="344" spans="1:5" ht="12.6" customHeight="1">
      <c r="A344" s="173"/>
      <c r="B344" s="173"/>
      <c r="C344" s="191"/>
      <c r="D344" s="175"/>
      <c r="E344" s="175"/>
    </row>
    <row r="345" spans="1:5" ht="12.6" customHeight="1">
      <c r="A345" s="173"/>
      <c r="B345" s="173"/>
      <c r="C345" s="191"/>
      <c r="D345" s="175"/>
      <c r="E345" s="175"/>
    </row>
    <row r="346" spans="1:5" ht="12.6" customHeight="1">
      <c r="A346" s="173"/>
      <c r="B346" s="173"/>
      <c r="C346" s="191"/>
      <c r="D346" s="175"/>
      <c r="E346" s="175"/>
    </row>
    <row r="347" spans="1:5" ht="12.6" customHeight="1">
      <c r="A347" s="173"/>
      <c r="B347" s="173"/>
      <c r="C347" s="191"/>
      <c r="D347" s="175"/>
      <c r="E347" s="175"/>
    </row>
    <row r="348" spans="1:5" ht="12.6" customHeight="1">
      <c r="A348" s="173"/>
      <c r="B348" s="173"/>
      <c r="C348" s="191"/>
      <c r="D348" s="175"/>
      <c r="E348" s="175"/>
    </row>
    <row r="349" spans="1:5" ht="12.6" customHeight="1">
      <c r="A349" s="173"/>
      <c r="B349" s="173"/>
      <c r="C349" s="191"/>
      <c r="D349" s="175"/>
      <c r="E349" s="175"/>
    </row>
    <row r="350" spans="1:5" ht="12.6" customHeight="1">
      <c r="A350" s="173"/>
      <c r="B350" s="173"/>
      <c r="C350" s="191"/>
      <c r="D350" s="175"/>
      <c r="E350" s="175"/>
    </row>
    <row r="351" spans="1:5" ht="12.6" customHeight="1">
      <c r="A351" s="173"/>
      <c r="B351" s="173"/>
      <c r="C351" s="191"/>
      <c r="D351" s="175"/>
      <c r="E351" s="175"/>
    </row>
    <row r="352" spans="1:5" ht="12.6" customHeight="1">
      <c r="A352" s="173"/>
      <c r="B352" s="173"/>
      <c r="C352" s="191"/>
      <c r="D352" s="175"/>
      <c r="E352" s="175"/>
    </row>
    <row r="353" spans="1:5" ht="12.6" customHeight="1">
      <c r="A353" s="173"/>
      <c r="B353" s="173"/>
      <c r="C353" s="191"/>
      <c r="D353" s="175"/>
      <c r="E353" s="175"/>
    </row>
    <row r="354" spans="1:5" ht="12.6" customHeight="1">
      <c r="A354" s="173"/>
      <c r="B354" s="173"/>
      <c r="C354" s="191"/>
      <c r="D354" s="175"/>
      <c r="E354" s="175"/>
    </row>
    <row r="355" spans="1:5" ht="12.6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" customHeight="1">
      <c r="A357" s="208" t="s">
        <v>426</v>
      </c>
      <c r="B357" s="208"/>
      <c r="C357" s="208"/>
      <c r="D357" s="208"/>
      <c r="E357" s="208"/>
    </row>
    <row r="358" spans="1:5" ht="12.6" customHeight="1">
      <c r="A358" s="257" t="s">
        <v>427</v>
      </c>
      <c r="B358" s="257"/>
      <c r="C358" s="257"/>
      <c r="D358" s="257"/>
      <c r="E358" s="257"/>
    </row>
    <row r="359" spans="1:5" ht="12.6" customHeight="1">
      <c r="A359" s="173" t="s">
        <v>428</v>
      </c>
      <c r="B359" s="172" t="s">
        <v>256</v>
      </c>
      <c r="C359" s="189">
        <v>785563547.00999999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9">
        <v>699419515.96000004</v>
      </c>
      <c r="D360" s="175"/>
      <c r="E360" s="175"/>
    </row>
    <row r="361" spans="1:5" ht="12.6" customHeight="1">
      <c r="A361" s="173" t="s">
        <v>430</v>
      </c>
      <c r="B361" s="175"/>
      <c r="C361" s="191"/>
      <c r="D361" s="175">
        <f>SUM(C359:C360)</f>
        <v>1484983062.97</v>
      </c>
      <c r="E361" s="175"/>
    </row>
    <row r="362" spans="1:5" ht="12.6" customHeight="1">
      <c r="A362" s="257" t="s">
        <v>431</v>
      </c>
      <c r="B362" s="257"/>
      <c r="C362" s="257"/>
      <c r="D362" s="257"/>
      <c r="E362" s="257"/>
    </row>
    <row r="363" spans="1:5" ht="12.6" customHeight="1">
      <c r="A363" s="173" t="s">
        <v>1255</v>
      </c>
      <c r="B363" s="257"/>
      <c r="C363" s="189">
        <v>6795341.3299999982</v>
      </c>
      <c r="D363" s="175"/>
      <c r="E363" s="257"/>
    </row>
    <row r="364" spans="1:5" ht="12.6" customHeight="1">
      <c r="A364" s="173" t="s">
        <v>432</v>
      </c>
      <c r="B364" s="172" t="s">
        <v>256</v>
      </c>
      <c r="C364" s="189">
        <v>1196836176.6500001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9">
        <v>10130812.51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9"/>
      <c r="D366" s="175"/>
      <c r="E366" s="175"/>
    </row>
    <row r="367" spans="1:5" ht="12.6" customHeight="1">
      <c r="A367" s="173" t="s">
        <v>359</v>
      </c>
      <c r="B367" s="175"/>
      <c r="C367" s="191"/>
      <c r="D367" s="175">
        <f>SUM(C363:C366)</f>
        <v>1213762330.49</v>
      </c>
      <c r="E367" s="175"/>
    </row>
    <row r="368" spans="1:5" ht="12.6" customHeight="1">
      <c r="A368" s="173" t="s">
        <v>435</v>
      </c>
      <c r="B368" s="175"/>
      <c r="C368" s="191"/>
      <c r="D368" s="175">
        <f>D361-D367</f>
        <v>271220732.48000002</v>
      </c>
      <c r="E368" s="175"/>
    </row>
    <row r="369" spans="1:5" ht="12.6" customHeight="1">
      <c r="A369" s="257" t="s">
        <v>436</v>
      </c>
      <c r="B369" s="257"/>
      <c r="C369" s="257"/>
      <c r="D369" s="257"/>
      <c r="E369" s="257"/>
    </row>
    <row r="370" spans="1:5" ht="12.6" customHeight="1">
      <c r="A370" s="173" t="s">
        <v>437</v>
      </c>
      <c r="B370" s="172" t="s">
        <v>256</v>
      </c>
      <c r="C370" s="189">
        <v>7763762.0700000003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9"/>
      <c r="D371" s="175"/>
      <c r="E371" s="175"/>
    </row>
    <row r="372" spans="1:5" ht="12.6" customHeight="1">
      <c r="A372" s="173" t="s">
        <v>439</v>
      </c>
      <c r="B372" s="175"/>
      <c r="C372" s="191"/>
      <c r="D372" s="175">
        <f>SUM(C370:C371)</f>
        <v>7763762.0700000003</v>
      </c>
      <c r="E372" s="175"/>
    </row>
    <row r="373" spans="1:5" ht="12.6" customHeight="1">
      <c r="A373" s="173" t="s">
        <v>440</v>
      </c>
      <c r="B373" s="175"/>
      <c r="C373" s="191"/>
      <c r="D373" s="175">
        <f>D368+D372</f>
        <v>278984494.55000001</v>
      </c>
      <c r="E373" s="175"/>
    </row>
    <row r="374" spans="1:5" ht="12.6" customHeight="1">
      <c r="A374" s="173"/>
      <c r="B374" s="175"/>
      <c r="C374" s="191"/>
      <c r="D374" s="175"/>
      <c r="E374" s="175"/>
    </row>
    <row r="375" spans="1:5" ht="12.6" customHeight="1">
      <c r="A375" s="173"/>
      <c r="B375" s="175"/>
      <c r="C375" s="191"/>
      <c r="D375" s="175"/>
      <c r="E375" s="175"/>
    </row>
    <row r="376" spans="1:5" ht="12.6" customHeight="1">
      <c r="A376" s="173"/>
      <c r="B376" s="175"/>
      <c r="C376" s="191"/>
      <c r="D376" s="175"/>
      <c r="E376" s="175"/>
    </row>
    <row r="377" spans="1:5" ht="12.6" customHeight="1">
      <c r="A377" s="257" t="s">
        <v>441</v>
      </c>
      <c r="B377" s="257"/>
      <c r="C377" s="257"/>
      <c r="D377" s="257"/>
      <c r="E377" s="257"/>
    </row>
    <row r="378" spans="1:5" ht="12.6" customHeight="1">
      <c r="A378" s="173" t="s">
        <v>442</v>
      </c>
      <c r="B378" s="172" t="s">
        <v>256</v>
      </c>
      <c r="C378" s="189">
        <v>103639434.38999999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9">
        <v>25773593.699999992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9">
        <v>17609161.609999999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9">
        <v>67163968.250000015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9">
        <v>3388273.4499999997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9">
        <v>33310914.109999999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9">
        <v>17658620.43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9">
        <v>4488782.4399999985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9">
        <v>2622815.8800000008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9">
        <v>7294682.7699999996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9">
        <v>5811909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9">
        <v>8204924.4799999986</v>
      </c>
      <c r="D389" s="175"/>
      <c r="E389" s="175"/>
    </row>
    <row r="390" spans="1:6" ht="12.6" customHeight="1">
      <c r="A390" s="173" t="s">
        <v>452</v>
      </c>
      <c r="B390" s="175"/>
      <c r="C390" s="191"/>
      <c r="D390" s="175">
        <f>SUM(C378:C389)</f>
        <v>296967080.50999999</v>
      </c>
      <c r="E390" s="175"/>
    </row>
    <row r="391" spans="1:6" ht="12.6" customHeight="1">
      <c r="A391" s="173" t="s">
        <v>453</v>
      </c>
      <c r="B391" s="175"/>
      <c r="C391" s="191"/>
      <c r="D391" s="175">
        <f>D373-D390</f>
        <v>-17982585.959999979</v>
      </c>
      <c r="E391" s="175"/>
    </row>
    <row r="392" spans="1:6" ht="12.6" customHeight="1">
      <c r="A392" s="173" t="s">
        <v>454</v>
      </c>
      <c r="B392" s="172" t="s">
        <v>256</v>
      </c>
      <c r="C392" s="189">
        <v>-7907951.2599999998</v>
      </c>
      <c r="D392" s="175"/>
      <c r="E392" s="175"/>
    </row>
    <row r="393" spans="1:6" ht="12.6" customHeight="1">
      <c r="A393" s="173" t="s">
        <v>455</v>
      </c>
      <c r="B393" s="175"/>
      <c r="C393" s="191"/>
      <c r="D393" s="195">
        <f>D391+C392</f>
        <v>-25890537.219999976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-25890537.219999976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Deaconess Hospital - MultiCare Health Systems   H-0     FYE 12/31/2018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9708</v>
      </c>
      <c r="C414" s="194">
        <f>E138</f>
        <v>9708</v>
      </c>
      <c r="D414" s="179"/>
    </row>
    <row r="415" spans="1:5" ht="12.6" customHeight="1">
      <c r="A415" s="179" t="s">
        <v>464</v>
      </c>
      <c r="B415" s="179">
        <f>D111</f>
        <v>54656</v>
      </c>
      <c r="C415" s="179">
        <f>E139</f>
        <v>54656</v>
      </c>
      <c r="D415" s="194">
        <f>SUM(C59:H59)+N59</f>
        <v>54656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1329</v>
      </c>
    </row>
    <row r="424" spans="1:7" ht="12.6" customHeight="1">
      <c r="A424" s="179" t="s">
        <v>1244</v>
      </c>
      <c r="B424" s="179">
        <f>D114</f>
        <v>1984</v>
      </c>
      <c r="D424" s="179">
        <f>J59</f>
        <v>0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103639434.38999999</v>
      </c>
      <c r="C427" s="179">
        <f t="shared" ref="C427:C434" si="13">CE61</f>
        <v>103639434.38999999</v>
      </c>
      <c r="D427" s="179"/>
    </row>
    <row r="428" spans="1:7" ht="12.6" customHeight="1">
      <c r="A428" s="179" t="s">
        <v>3</v>
      </c>
      <c r="B428" s="179">
        <f t="shared" si="12"/>
        <v>25773593.699999992</v>
      </c>
      <c r="C428" s="179">
        <f t="shared" si="13"/>
        <v>25773595</v>
      </c>
      <c r="D428" s="179">
        <f>D173</f>
        <v>25773593.700000003</v>
      </c>
    </row>
    <row r="429" spans="1:7" ht="12.6" customHeight="1">
      <c r="A429" s="179" t="s">
        <v>236</v>
      </c>
      <c r="B429" s="179">
        <f t="shared" si="12"/>
        <v>17609161.609999999</v>
      </c>
      <c r="C429" s="179">
        <f t="shared" si="13"/>
        <v>17609161.609999999</v>
      </c>
      <c r="D429" s="179"/>
    </row>
    <row r="430" spans="1:7" ht="12.6" customHeight="1">
      <c r="A430" s="179" t="s">
        <v>237</v>
      </c>
      <c r="B430" s="179">
        <f t="shared" si="12"/>
        <v>67163968.250000015</v>
      </c>
      <c r="C430" s="179">
        <f t="shared" si="13"/>
        <v>67163968.250000015</v>
      </c>
      <c r="D430" s="179"/>
    </row>
    <row r="431" spans="1:7" ht="12.6" customHeight="1">
      <c r="A431" s="179" t="s">
        <v>444</v>
      </c>
      <c r="B431" s="179">
        <f t="shared" si="12"/>
        <v>3388273.4499999997</v>
      </c>
      <c r="C431" s="179">
        <f t="shared" si="13"/>
        <v>3388273.4499999997</v>
      </c>
      <c r="D431" s="179"/>
    </row>
    <row r="432" spans="1:7" ht="12.6" customHeight="1">
      <c r="A432" s="179" t="s">
        <v>445</v>
      </c>
      <c r="B432" s="179">
        <f t="shared" si="12"/>
        <v>33310914.109999999</v>
      </c>
      <c r="C432" s="179">
        <f t="shared" si="13"/>
        <v>33310914.109999999</v>
      </c>
      <c r="D432" s="179"/>
    </row>
    <row r="433" spans="1:7" ht="12.6" customHeight="1">
      <c r="A433" s="179" t="s">
        <v>6</v>
      </c>
      <c r="B433" s="179">
        <f t="shared" si="12"/>
        <v>17658620.43</v>
      </c>
      <c r="C433" s="179">
        <f t="shared" si="13"/>
        <v>17658622</v>
      </c>
      <c r="D433" s="179">
        <f>C217</f>
        <v>17169577.030000001</v>
      </c>
    </row>
    <row r="434" spans="1:7" ht="12.6" customHeight="1">
      <c r="A434" s="179" t="s">
        <v>474</v>
      </c>
      <c r="B434" s="179">
        <f t="shared" si="12"/>
        <v>4488782.4399999985</v>
      </c>
      <c r="C434" s="179">
        <f t="shared" si="13"/>
        <v>4488782.4399999985</v>
      </c>
      <c r="D434" s="179">
        <f>D177</f>
        <v>4488646.21</v>
      </c>
    </row>
    <row r="435" spans="1:7" ht="12.6" customHeight="1">
      <c r="A435" s="179" t="s">
        <v>447</v>
      </c>
      <c r="B435" s="179">
        <f t="shared" si="12"/>
        <v>2622815.8800000008</v>
      </c>
      <c r="C435" s="179"/>
      <c r="D435" s="179">
        <f>D181</f>
        <v>2622815.8800000008</v>
      </c>
    </row>
    <row r="436" spans="1:7" ht="12.6" customHeight="1">
      <c r="A436" s="179" t="s">
        <v>475</v>
      </c>
      <c r="B436" s="179">
        <f t="shared" si="12"/>
        <v>7294682.7699999996</v>
      </c>
      <c r="C436" s="179"/>
      <c r="D436" s="179">
        <f>D186</f>
        <v>7294682.7699999996</v>
      </c>
    </row>
    <row r="437" spans="1:7" ht="12.6" customHeight="1">
      <c r="A437" s="194" t="s">
        <v>449</v>
      </c>
      <c r="B437" s="194">
        <f t="shared" si="12"/>
        <v>5811909</v>
      </c>
      <c r="C437" s="194"/>
      <c r="D437" s="194">
        <f>D190</f>
        <v>5811909</v>
      </c>
    </row>
    <row r="438" spans="1:7" ht="12.6" customHeight="1">
      <c r="A438" s="194" t="s">
        <v>476</v>
      </c>
      <c r="B438" s="194">
        <f>C386+C387+C388</f>
        <v>15729407.65</v>
      </c>
      <c r="C438" s="194">
        <f>CD69</f>
        <v>0</v>
      </c>
      <c r="D438" s="194">
        <f>D181+D186+D190</f>
        <v>15729407.65</v>
      </c>
    </row>
    <row r="439" spans="1:7" ht="12.6" customHeight="1">
      <c r="A439" s="179" t="s">
        <v>451</v>
      </c>
      <c r="B439" s="194">
        <f>C389</f>
        <v>8204924.4799999986</v>
      </c>
      <c r="C439" s="194">
        <f>SUM(C69:CC69)</f>
        <v>18122423.130000003</v>
      </c>
      <c r="D439" s="179"/>
    </row>
    <row r="440" spans="1:7" ht="12.6" customHeight="1">
      <c r="A440" s="179" t="s">
        <v>477</v>
      </c>
      <c r="B440" s="194">
        <f>B438+B439</f>
        <v>23934332.129999999</v>
      </c>
      <c r="C440" s="194">
        <f>CE69</f>
        <v>18122423.130000003</v>
      </c>
      <c r="D440" s="179"/>
    </row>
    <row r="441" spans="1:7" ht="12.6" customHeight="1">
      <c r="A441" s="179" t="s">
        <v>478</v>
      </c>
      <c r="B441" s="179">
        <f>D390</f>
        <v>296967080.50999999</v>
      </c>
      <c r="C441" s="179">
        <f>SUM(C427:C437)+C440</f>
        <v>291155174.38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6795341.3299999982</v>
      </c>
      <c r="C444" s="179">
        <f>C363</f>
        <v>6795341.3299999982</v>
      </c>
      <c r="D444" s="179"/>
    </row>
    <row r="445" spans="1:7" ht="12.6" customHeight="1">
      <c r="A445" s="179" t="s">
        <v>343</v>
      </c>
      <c r="B445" s="179">
        <f>D229</f>
        <v>1192935017.23</v>
      </c>
      <c r="C445" s="179">
        <f>C364</f>
        <v>1196836176.6500001</v>
      </c>
      <c r="D445" s="179"/>
    </row>
    <row r="446" spans="1:7" ht="12.6" customHeight="1">
      <c r="A446" s="179" t="s">
        <v>351</v>
      </c>
      <c r="B446" s="179">
        <f>D236</f>
        <v>10130812.51</v>
      </c>
      <c r="C446" s="179">
        <f>C365</f>
        <v>10130812.51</v>
      </c>
      <c r="D446" s="179"/>
    </row>
    <row r="447" spans="1:7" ht="12.6" customHeight="1">
      <c r="A447" s="179" t="s">
        <v>356</v>
      </c>
      <c r="B447" s="179">
        <f>D240</f>
        <v>3901159.42</v>
      </c>
      <c r="C447" s="179">
        <f>C366</f>
        <v>0</v>
      </c>
      <c r="D447" s="179"/>
    </row>
    <row r="448" spans="1:7" ht="12.6" customHeight="1">
      <c r="A448" s="179" t="s">
        <v>358</v>
      </c>
      <c r="B448" s="179">
        <f>D242</f>
        <v>1213762330.49</v>
      </c>
      <c r="C448" s="179">
        <f>D367</f>
        <v>1213762330.49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3953</v>
      </c>
    </row>
    <row r="454" spans="1:7" ht="12.6" customHeight="1">
      <c r="A454" s="179" t="s">
        <v>168</v>
      </c>
      <c r="B454" s="179">
        <f>C233</f>
        <v>5327291.3519017771</v>
      </c>
      <c r="C454" s="179"/>
      <c r="D454" s="179"/>
    </row>
    <row r="455" spans="1:7" ht="12.6" customHeight="1">
      <c r="A455" s="179" t="s">
        <v>131</v>
      </c>
      <c r="B455" s="179">
        <f>C234</f>
        <v>4803521.1580982227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7763762.0700000003</v>
      </c>
      <c r="C458" s="194">
        <f>CE70</f>
        <v>0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785563547.00999999</v>
      </c>
      <c r="C463" s="194">
        <f>CE73</f>
        <v>785563547.00999999</v>
      </c>
      <c r="D463" s="194">
        <f>E141+E147+E153</f>
        <v>785563547.00999999</v>
      </c>
    </row>
    <row r="464" spans="1:7" ht="12.6" customHeight="1">
      <c r="A464" s="179" t="s">
        <v>246</v>
      </c>
      <c r="B464" s="194">
        <f>C360</f>
        <v>699419515.96000004</v>
      </c>
      <c r="C464" s="194">
        <f>CE74</f>
        <v>699419515.96000004</v>
      </c>
      <c r="D464" s="194">
        <f>E142+E148+E154</f>
        <v>699419515.96000004</v>
      </c>
    </row>
    <row r="465" spans="1:7" ht="12.6" customHeight="1">
      <c r="A465" s="179" t="s">
        <v>247</v>
      </c>
      <c r="B465" s="194">
        <f>D361</f>
        <v>1484983062.97</v>
      </c>
      <c r="C465" s="194">
        <f>CE75</f>
        <v>1484983062.97</v>
      </c>
      <c r="D465" s="194">
        <f>D463+D464</f>
        <v>1484983062.97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19229634</v>
      </c>
      <c r="C468" s="179">
        <f>E195</f>
        <v>19229634</v>
      </c>
      <c r="D468" s="179"/>
    </row>
    <row r="469" spans="1:7" ht="12.6" customHeight="1">
      <c r="A469" s="179" t="s">
        <v>333</v>
      </c>
      <c r="B469" s="179">
        <f t="shared" si="14"/>
        <v>716319</v>
      </c>
      <c r="C469" s="179">
        <f>E196</f>
        <v>716319</v>
      </c>
      <c r="D469" s="179"/>
    </row>
    <row r="470" spans="1:7" ht="12.6" customHeight="1">
      <c r="A470" s="179" t="s">
        <v>334</v>
      </c>
      <c r="B470" s="179">
        <f t="shared" si="14"/>
        <v>127155675.63</v>
      </c>
      <c r="C470" s="179">
        <f>E197</f>
        <v>127155675.63</v>
      </c>
      <c r="D470" s="179"/>
    </row>
    <row r="471" spans="1:7" ht="12.6" customHeight="1">
      <c r="A471" s="179" t="s">
        <v>494</v>
      </c>
      <c r="B471" s="179">
        <f t="shared" si="14"/>
        <v>1338563.77</v>
      </c>
      <c r="C471" s="179">
        <f>E198</f>
        <v>1338563.77</v>
      </c>
      <c r="D471" s="179"/>
    </row>
    <row r="472" spans="1:7" ht="12.6" customHeight="1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>
      <c r="A473" s="179" t="s">
        <v>495</v>
      </c>
      <c r="B473" s="179">
        <f t="shared" si="14"/>
        <v>46787378.909999996</v>
      </c>
      <c r="C473" s="179">
        <f>SUM(E200:E201)</f>
        <v>46787378.910000034</v>
      </c>
      <c r="D473" s="179"/>
    </row>
    <row r="474" spans="1:7" ht="12.6" customHeight="1">
      <c r="A474" s="179" t="s">
        <v>339</v>
      </c>
      <c r="B474" s="179">
        <f t="shared" si="14"/>
        <v>311050</v>
      </c>
      <c r="C474" s="179">
        <f>E202</f>
        <v>311050</v>
      </c>
      <c r="D474" s="179"/>
    </row>
    <row r="475" spans="1:7" ht="12.6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>
      <c r="A476" s="179" t="s">
        <v>203</v>
      </c>
      <c r="B476" s="179">
        <f>D275</f>
        <v>195538621.31</v>
      </c>
      <c r="C476" s="179">
        <f>E204</f>
        <v>195538621.31000003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25294719.93</v>
      </c>
      <c r="C478" s="179">
        <f>E217</f>
        <v>25294719.93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262622585.75000003</v>
      </c>
    </row>
    <row r="482" spans="1:12" ht="12.6" customHeight="1">
      <c r="A482" s="180" t="s">
        <v>499</v>
      </c>
      <c r="C482" s="180">
        <f>D339</f>
        <v>262622585.75000003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80" t="str">
        <f>C83</f>
        <v>037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A496" s="180" t="s">
        <v>512</v>
      </c>
      <c r="B496" s="240">
        <f>'Prior Year'!C71</f>
        <v>14841244</v>
      </c>
      <c r="C496" s="240">
        <f>C71</f>
        <v>12759809.899999999</v>
      </c>
      <c r="D496" s="240">
        <f>'Prior Year'!C59</f>
        <v>6057</v>
      </c>
      <c r="E496" s="180">
        <f>C59</f>
        <v>8755</v>
      </c>
      <c r="F496" s="263">
        <f t="shared" ref="F496:G511" si="15">IF(B496=0,"",IF(D496=0,"",B496/D496))</f>
        <v>2450.2631665841177</v>
      </c>
      <c r="G496" s="264">
        <f t="shared" si="15"/>
        <v>1457.4311707595657</v>
      </c>
      <c r="H496" s="265">
        <f>IF(B496=0,"",IF(C496=0,"",IF(D496=0,"",IF(E496=0,"",IF(G496/F496-1&lt;-0.25,G496/F496-1,IF(G496/F496-1&gt;0.25,G496/F496-1,""))))))</f>
        <v>-0.40519402542733685</v>
      </c>
      <c r="I496" s="267"/>
      <c r="K496" s="261"/>
      <c r="L496" s="261"/>
    </row>
    <row r="497" spans="1:12" ht="12.6" customHeight="1">
      <c r="A497" s="180" t="s">
        <v>513</v>
      </c>
      <c r="B497" s="240">
        <f>'Prior Year'!D71</f>
        <v>5470738</v>
      </c>
      <c r="C497" s="240">
        <f>D71</f>
        <v>9859089.6699999999</v>
      </c>
      <c r="D497" s="240">
        <f>'Prior Year'!D59</f>
        <v>19139</v>
      </c>
      <c r="E497" s="180">
        <f>D59</f>
        <v>17572</v>
      </c>
      <c r="F497" s="263">
        <f t="shared" si="15"/>
        <v>285.84241600919586</v>
      </c>
      <c r="G497" s="263">
        <f t="shared" si="15"/>
        <v>561.06815786478489</v>
      </c>
      <c r="H497" s="265">
        <f t="shared" ref="H497:H550" si="16">IF(B497=0,"",IF(C497=0,"",IF(D497=0,"",IF(E497=0,"",IF(G497/F497-1&lt;-0.25,G497/F497-1,IF(G497/F497-1&gt;0.25,G497/F497-1,""))))))</f>
        <v>0.96285829688318447</v>
      </c>
      <c r="I497" s="267"/>
      <c r="K497" s="261"/>
      <c r="L497" s="261"/>
    </row>
    <row r="498" spans="1:12" ht="12.6" customHeight="1">
      <c r="A498" s="180" t="s">
        <v>514</v>
      </c>
      <c r="B498" s="240">
        <f>'Prior Year'!E71</f>
        <v>24905853</v>
      </c>
      <c r="C498" s="240">
        <f>E71</f>
        <v>11969101.090000002</v>
      </c>
      <c r="D498" s="240">
        <f>'Prior Year'!E59</f>
        <v>27997</v>
      </c>
      <c r="E498" s="180">
        <f>E59</f>
        <v>23085</v>
      </c>
      <c r="F498" s="263">
        <f t="shared" si="15"/>
        <v>889.59006322105938</v>
      </c>
      <c r="G498" s="263">
        <f t="shared" si="15"/>
        <v>518.47957938055026</v>
      </c>
      <c r="H498" s="265">
        <f t="shared" si="16"/>
        <v>-0.41717022163756989</v>
      </c>
      <c r="I498" s="267"/>
      <c r="K498" s="261"/>
      <c r="L498" s="261"/>
    </row>
    <row r="499" spans="1:12" ht="12.6" customHeight="1">
      <c r="A499" s="180" t="s">
        <v>515</v>
      </c>
      <c r="B499" s="240">
        <f>'Prior Year'!F71</f>
        <v>0</v>
      </c>
      <c r="C499" s="240">
        <f>F71</f>
        <v>3641646.93</v>
      </c>
      <c r="D499" s="240">
        <f>'Prior Year'!F59</f>
        <v>0</v>
      </c>
      <c r="E499" s="180">
        <f>F59</f>
        <v>4308</v>
      </c>
      <c r="F499" s="263" t="str">
        <f t="shared" si="15"/>
        <v/>
      </c>
      <c r="G499" s="263">
        <f t="shared" si="15"/>
        <v>845.32194289693598</v>
      </c>
      <c r="H499" s="265" t="str">
        <f t="shared" si="16"/>
        <v/>
      </c>
      <c r="I499" s="267"/>
      <c r="K499" s="261"/>
      <c r="L499" s="261"/>
    </row>
    <row r="500" spans="1:12" ht="12.6" customHeight="1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4654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>
      <c r="A507" s="180" t="s">
        <v>523</v>
      </c>
      <c r="B507" s="240">
        <f>'Prior Year'!N71</f>
        <v>0</v>
      </c>
      <c r="C507" s="240">
        <f>N71</f>
        <v>434035.78</v>
      </c>
      <c r="D507" s="240">
        <f>'Prior Year'!N59</f>
        <v>0</v>
      </c>
      <c r="E507" s="180">
        <f>N59</f>
        <v>936</v>
      </c>
      <c r="F507" s="263" t="str">
        <f t="shared" si="15"/>
        <v/>
      </c>
      <c r="G507" s="263">
        <f t="shared" si="15"/>
        <v>463.7134401709402</v>
      </c>
      <c r="H507" s="265" t="str">
        <f t="shared" si="16"/>
        <v/>
      </c>
      <c r="I507" s="267"/>
      <c r="K507" s="261"/>
      <c r="L507" s="261"/>
    </row>
    <row r="508" spans="1:12" ht="12.6" customHeight="1">
      <c r="A508" s="180" t="s">
        <v>524</v>
      </c>
      <c r="B508" s="240">
        <f>'Prior Year'!O71</f>
        <v>9346541</v>
      </c>
      <c r="C508" s="240">
        <f>O71</f>
        <v>4150265.2800000003</v>
      </c>
      <c r="D508" s="240">
        <f>'Prior Year'!O59</f>
        <v>1441</v>
      </c>
      <c r="E508" s="180">
        <f>O59</f>
        <v>1329</v>
      </c>
      <c r="F508" s="263">
        <f t="shared" si="15"/>
        <v>6486.1492019430952</v>
      </c>
      <c r="G508" s="263">
        <f t="shared" si="15"/>
        <v>3122.8482167042889</v>
      </c>
      <c r="H508" s="265">
        <f t="shared" si="16"/>
        <v>-0.51853586473638957</v>
      </c>
      <c r="I508" s="267"/>
      <c r="K508" s="261"/>
      <c r="L508" s="261"/>
    </row>
    <row r="509" spans="1:12" ht="12.6" customHeight="1">
      <c r="A509" s="180" t="s">
        <v>525</v>
      </c>
      <c r="B509" s="240">
        <f>'Prior Year'!P71</f>
        <v>39220180</v>
      </c>
      <c r="C509" s="240">
        <f>P71</f>
        <v>44724574.850000001</v>
      </c>
      <c r="D509" s="240">
        <f>'Prior Year'!P59</f>
        <v>1007098</v>
      </c>
      <c r="E509" s="180">
        <f>P59</f>
        <v>1457858</v>
      </c>
      <c r="F509" s="263">
        <f t="shared" si="15"/>
        <v>38.943757211314093</v>
      </c>
      <c r="G509" s="263">
        <f t="shared" si="15"/>
        <v>30.678279263138112</v>
      </c>
      <c r="H509" s="265" t="str">
        <f t="shared" si="16"/>
        <v/>
      </c>
      <c r="I509" s="267"/>
      <c r="K509" s="261"/>
      <c r="L509" s="261"/>
    </row>
    <row r="510" spans="1:12" ht="12.6" customHeight="1">
      <c r="A510" s="180" t="s">
        <v>526</v>
      </c>
      <c r="B510" s="240">
        <f>'Prior Year'!Q71</f>
        <v>2763924</v>
      </c>
      <c r="C510" s="240">
        <f>Q71</f>
        <v>2306503.2699999996</v>
      </c>
      <c r="D510" s="240">
        <f>'Prior Year'!Q59</f>
        <v>0</v>
      </c>
      <c r="E510" s="180">
        <f>Q59</f>
        <v>999457.39436619717</v>
      </c>
      <c r="F510" s="263" t="str">
        <f t="shared" si="15"/>
        <v/>
      </c>
      <c r="G510" s="263">
        <f t="shared" si="15"/>
        <v>2.3077554711200685</v>
      </c>
      <c r="H510" s="265" t="str">
        <f t="shared" si="16"/>
        <v/>
      </c>
      <c r="I510" s="267"/>
      <c r="K510" s="261"/>
      <c r="L510" s="261"/>
    </row>
    <row r="511" spans="1:12" ht="12.6" customHeight="1">
      <c r="A511" s="180" t="s">
        <v>527</v>
      </c>
      <c r="B511" s="240">
        <f>'Prior Year'!R71</f>
        <v>1940035</v>
      </c>
      <c r="C511" s="240">
        <f>R71</f>
        <v>3762205.4499999997</v>
      </c>
      <c r="D511" s="240">
        <f>'Prior Year'!R59</f>
        <v>1070544</v>
      </c>
      <c r="E511" s="180">
        <f>R59</f>
        <v>1562437</v>
      </c>
      <c r="F511" s="263">
        <f t="shared" si="15"/>
        <v>1.8121954819232091</v>
      </c>
      <c r="G511" s="263">
        <f t="shared" si="15"/>
        <v>2.4079085748737388</v>
      </c>
      <c r="H511" s="265">
        <f t="shared" si="16"/>
        <v>0.32872452166050192</v>
      </c>
      <c r="I511" s="267"/>
      <c r="K511" s="261"/>
      <c r="L511" s="261"/>
    </row>
    <row r="512" spans="1:12" ht="12.6" customHeight="1">
      <c r="A512" s="180" t="s">
        <v>528</v>
      </c>
      <c r="B512" s="240">
        <f>'Prior Year'!S71</f>
        <v>3541228</v>
      </c>
      <c r="C512" s="240">
        <f>S71</f>
        <v>1654756.56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>
      <c r="A513" s="180" t="s">
        <v>1246</v>
      </c>
      <c r="B513" s="240">
        <f>'Prior Year'!T71</f>
        <v>725977</v>
      </c>
      <c r="C513" s="240">
        <f>T71</f>
        <v>634091.32000000007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>
      <c r="A514" s="180" t="s">
        <v>530</v>
      </c>
      <c r="B514" s="240">
        <f>'Prior Year'!U71</f>
        <v>9613461</v>
      </c>
      <c r="C514" s="240">
        <f>U71</f>
        <v>8752404.2299999986</v>
      </c>
      <c r="D514" s="240">
        <f>'Prior Year'!U59</f>
        <v>655298</v>
      </c>
      <c r="E514" s="180">
        <f>U59</f>
        <v>709344</v>
      </c>
      <c r="F514" s="263">
        <f t="shared" si="17"/>
        <v>14.670365238410616</v>
      </c>
      <c r="G514" s="263">
        <f t="shared" si="17"/>
        <v>12.338730192967022</v>
      </c>
      <c r="H514" s="265" t="str">
        <f t="shared" si="16"/>
        <v/>
      </c>
      <c r="I514" s="267"/>
      <c r="K514" s="261"/>
      <c r="L514" s="261"/>
    </row>
    <row r="515" spans="1:12" ht="12.6" customHeight="1">
      <c r="A515" s="180" t="s">
        <v>531</v>
      </c>
      <c r="B515" s="240">
        <f>'Prior Year'!V71</f>
        <v>14686014</v>
      </c>
      <c r="C515" s="240">
        <f>V71</f>
        <v>207284.37999999998</v>
      </c>
      <c r="D515" s="240">
        <f>'Prior Year'!V59</f>
        <v>44930</v>
      </c>
      <c r="E515" s="180">
        <f>V59</f>
        <v>14084</v>
      </c>
      <c r="F515" s="263">
        <f t="shared" si="17"/>
        <v>326.8643222791008</v>
      </c>
      <c r="G515" s="263">
        <f t="shared" si="17"/>
        <v>14.717720817949445</v>
      </c>
      <c r="H515" s="265">
        <f t="shared" si="16"/>
        <v>-0.95497299700582683</v>
      </c>
      <c r="I515" s="267"/>
      <c r="K515" s="261"/>
      <c r="L515" s="261"/>
    </row>
    <row r="516" spans="1:12" ht="12.6" customHeight="1">
      <c r="A516" s="180" t="s">
        <v>532</v>
      </c>
      <c r="B516" s="240">
        <f>'Prior Year'!W71</f>
        <v>1177421</v>
      </c>
      <c r="C516" s="240">
        <f>W71</f>
        <v>1062606.06</v>
      </c>
      <c r="D516" s="240">
        <f>'Prior Year'!W59</f>
        <v>3903</v>
      </c>
      <c r="E516" s="180">
        <f>W59</f>
        <v>35154.795070422537</v>
      </c>
      <c r="F516" s="263">
        <f t="shared" si="17"/>
        <v>301.67076607737636</v>
      </c>
      <c r="G516" s="263">
        <f t="shared" si="17"/>
        <v>30.226489953116609</v>
      </c>
      <c r="H516" s="265">
        <f t="shared" si="16"/>
        <v>-0.89980305236018876</v>
      </c>
      <c r="I516" s="267"/>
      <c r="K516" s="261"/>
      <c r="L516" s="261"/>
    </row>
    <row r="517" spans="1:12" ht="12.6" customHeight="1">
      <c r="A517" s="180" t="s">
        <v>533</v>
      </c>
      <c r="B517" s="240">
        <f>'Prior Year'!X71</f>
        <v>2079496</v>
      </c>
      <c r="C517" s="240">
        <f>X71</f>
        <v>1832651.52</v>
      </c>
      <c r="D517" s="240">
        <f>'Prior Year'!X59</f>
        <v>17553</v>
      </c>
      <c r="E517" s="180">
        <f>X59</f>
        <v>19640</v>
      </c>
      <c r="F517" s="263">
        <f t="shared" si="17"/>
        <v>118.46954936478095</v>
      </c>
      <c r="G517" s="263">
        <f t="shared" si="17"/>
        <v>93.312195519348265</v>
      </c>
      <c r="H517" s="265" t="str">
        <f t="shared" si="16"/>
        <v/>
      </c>
      <c r="I517" s="267"/>
      <c r="K517" s="261"/>
      <c r="L517" s="261"/>
    </row>
    <row r="518" spans="1:12" ht="12.6" customHeight="1">
      <c r="A518" s="180" t="s">
        <v>534</v>
      </c>
      <c r="B518" s="240">
        <f>'Prior Year'!Y71</f>
        <v>9771813</v>
      </c>
      <c r="C518" s="240">
        <f>Y71</f>
        <v>19566329.789999999</v>
      </c>
      <c r="D518" s="240">
        <f>'Prior Year'!Y59</f>
        <v>40124</v>
      </c>
      <c r="E518" s="180">
        <f>Y59</f>
        <v>142749</v>
      </c>
      <c r="F518" s="263">
        <f t="shared" si="17"/>
        <v>243.54034991526268</v>
      </c>
      <c r="G518" s="263">
        <f t="shared" si="17"/>
        <v>137.0680690582771</v>
      </c>
      <c r="H518" s="265">
        <f t="shared" si="16"/>
        <v>-0.43718538178183408</v>
      </c>
      <c r="I518" s="267"/>
      <c r="K518" s="261"/>
      <c r="L518" s="261"/>
    </row>
    <row r="519" spans="1:12" ht="12.6" customHeight="1">
      <c r="A519" s="180" t="s">
        <v>535</v>
      </c>
      <c r="B519" s="240">
        <f>'Prior Year'!Z71</f>
        <v>72000</v>
      </c>
      <c r="C519" s="240">
        <f>Z71</f>
        <v>4122214.7300000004</v>
      </c>
      <c r="D519" s="240">
        <f>'Prior Year'!Z59</f>
        <v>0</v>
      </c>
      <c r="E519" s="180">
        <f>Z59</f>
        <v>4882</v>
      </c>
      <c r="F519" s="263" t="str">
        <f t="shared" si="17"/>
        <v/>
      </c>
      <c r="G519" s="263">
        <f t="shared" si="17"/>
        <v>844.37007988529297</v>
      </c>
      <c r="H519" s="265" t="str">
        <f t="shared" si="16"/>
        <v/>
      </c>
      <c r="I519" s="267"/>
      <c r="K519" s="261"/>
      <c r="L519" s="261"/>
    </row>
    <row r="520" spans="1:12" ht="12.6" customHeight="1">
      <c r="A520" s="180" t="s">
        <v>536</v>
      </c>
      <c r="B520" s="240">
        <f>'Prior Year'!AA71</f>
        <v>1087204</v>
      </c>
      <c r="C520" s="240">
        <f>AA71</f>
        <v>1123409.45</v>
      </c>
      <c r="D520" s="240">
        <f>'Prior Year'!AA59</f>
        <v>1302</v>
      </c>
      <c r="E520" s="180">
        <f>AA59</f>
        <v>15718</v>
      </c>
      <c r="F520" s="263">
        <f t="shared" si="17"/>
        <v>835.02611367127497</v>
      </c>
      <c r="G520" s="263">
        <f t="shared" si="17"/>
        <v>71.472798702124948</v>
      </c>
      <c r="H520" s="265">
        <f t="shared" si="16"/>
        <v>-0.91440651072828405</v>
      </c>
      <c r="I520" s="267"/>
      <c r="K520" s="261"/>
      <c r="L520" s="261"/>
    </row>
    <row r="521" spans="1:12" ht="12.6" customHeight="1">
      <c r="A521" s="180" t="s">
        <v>537</v>
      </c>
      <c r="B521" s="240">
        <f>'Prior Year'!AB71</f>
        <v>13167701</v>
      </c>
      <c r="C521" s="240">
        <f>AB71</f>
        <v>13340636.620000003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>
      <c r="A522" s="180" t="s">
        <v>538</v>
      </c>
      <c r="B522" s="240">
        <f>'Prior Year'!AC71</f>
        <v>4677518</v>
      </c>
      <c r="C522" s="240">
        <f>AC71</f>
        <v>3828820.5300000003</v>
      </c>
      <c r="D522" s="240">
        <f>'Prior Year'!AC59</f>
        <v>225879</v>
      </c>
      <c r="E522" s="180">
        <f>AC59</f>
        <v>58327</v>
      </c>
      <c r="F522" s="263">
        <f t="shared" si="17"/>
        <v>20.708069364571298</v>
      </c>
      <c r="G522" s="263">
        <f t="shared" si="17"/>
        <v>65.64405043976204</v>
      </c>
      <c r="H522" s="265">
        <f t="shared" si="16"/>
        <v>2.1699744328686728</v>
      </c>
      <c r="I522" s="267"/>
      <c r="K522" s="261"/>
      <c r="L522" s="261"/>
    </row>
    <row r="523" spans="1:12" ht="12.6" customHeight="1">
      <c r="A523" s="180" t="s">
        <v>539</v>
      </c>
      <c r="B523" s="240">
        <f>'Prior Year'!AD71</f>
        <v>912152</v>
      </c>
      <c r="C523" s="240">
        <f>AD71</f>
        <v>967247.22999999986</v>
      </c>
      <c r="D523" s="240">
        <f>'Prior Year'!AD59</f>
        <v>0</v>
      </c>
      <c r="E523" s="180">
        <f>AD59</f>
        <v>1814</v>
      </c>
      <c r="F523" s="263" t="str">
        <f t="shared" si="17"/>
        <v/>
      </c>
      <c r="G523" s="263">
        <f t="shared" si="17"/>
        <v>533.21236493936044</v>
      </c>
      <c r="H523" s="265" t="str">
        <f t="shared" si="16"/>
        <v/>
      </c>
      <c r="I523" s="267"/>
      <c r="K523" s="261"/>
      <c r="L523" s="261"/>
    </row>
    <row r="524" spans="1:12" ht="12.6" customHeight="1">
      <c r="A524" s="180" t="s">
        <v>540</v>
      </c>
      <c r="B524" s="240">
        <f>'Prior Year'!AE71</f>
        <v>985559</v>
      </c>
      <c r="C524" s="240">
        <f>AE71</f>
        <v>838249.70000000007</v>
      </c>
      <c r="D524" s="240">
        <f>'Prior Year'!AE59</f>
        <v>22424</v>
      </c>
      <c r="E524" s="180">
        <f>AE59</f>
        <v>23370</v>
      </c>
      <c r="F524" s="263">
        <f t="shared" si="17"/>
        <v>43.951079200856228</v>
      </c>
      <c r="G524" s="263">
        <f t="shared" si="17"/>
        <v>35.868622165169022</v>
      </c>
      <c r="H524" s="265" t="str">
        <f t="shared" si="16"/>
        <v/>
      </c>
      <c r="I524" s="267"/>
      <c r="K524" s="261"/>
      <c r="L524" s="261"/>
    </row>
    <row r="525" spans="1:12" ht="12.6" customHeight="1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>
      <c r="A526" s="180" t="s">
        <v>542</v>
      </c>
      <c r="B526" s="240">
        <f>'Prior Year'!AG71</f>
        <v>16379594</v>
      </c>
      <c r="C526" s="240">
        <f>AG71</f>
        <v>14005204.609999999</v>
      </c>
      <c r="D526" s="240">
        <f>'Prior Year'!AG59</f>
        <v>49181</v>
      </c>
      <c r="E526" s="180">
        <f>AG59</f>
        <v>51521</v>
      </c>
      <c r="F526" s="263">
        <f t="shared" si="17"/>
        <v>333.04719302169536</v>
      </c>
      <c r="G526" s="263">
        <f t="shared" si="17"/>
        <v>271.83487529356961</v>
      </c>
      <c r="H526" s="265" t="str">
        <f t="shared" si="16"/>
        <v/>
      </c>
      <c r="I526" s="267"/>
      <c r="K526" s="261"/>
      <c r="L526" s="261"/>
    </row>
    <row r="527" spans="1:12" ht="12.6" customHeight="1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>
      <c r="A528" s="180" t="s">
        <v>544</v>
      </c>
      <c r="B528" s="240">
        <f>'Prior Year'!AI71</f>
        <v>4475193</v>
      </c>
      <c r="C528" s="240">
        <f>AI71</f>
        <v>938134.05000000016</v>
      </c>
      <c r="D528" s="240">
        <f>'Prior Year'!AI59</f>
        <v>6881</v>
      </c>
      <c r="E528" s="180">
        <f>AI59</f>
        <v>0</v>
      </c>
      <c r="F528" s="263">
        <f t="shared" ref="F528:G540" si="18">IF(B528=0,"",IF(D528=0,"",B528/D528))</f>
        <v>650.36956837668947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>
      <c r="A529" s="180" t="s">
        <v>545</v>
      </c>
      <c r="B529" s="240">
        <f>'Prior Year'!AJ71</f>
        <v>0</v>
      </c>
      <c r="C529" s="240">
        <f>AJ71</f>
        <v>6686163.7699999996</v>
      </c>
      <c r="D529" s="240">
        <f>'Prior Year'!AJ59</f>
        <v>0</v>
      </c>
      <c r="E529" s="180">
        <f>AJ59</f>
        <v>3630</v>
      </c>
      <c r="F529" s="263" t="str">
        <f t="shared" si="18"/>
        <v/>
      </c>
      <c r="G529" s="263">
        <f t="shared" si="18"/>
        <v>1841.9183939393938</v>
      </c>
      <c r="H529" s="265" t="str">
        <f t="shared" si="16"/>
        <v/>
      </c>
      <c r="I529" s="267"/>
      <c r="K529" s="261"/>
      <c r="L529" s="261"/>
    </row>
    <row r="530" spans="1:12" ht="12.6" customHeight="1">
      <c r="A530" s="180" t="s">
        <v>546</v>
      </c>
      <c r="B530" s="240">
        <f>'Prior Year'!AK71</f>
        <v>440476</v>
      </c>
      <c r="C530" s="240">
        <f>AK71</f>
        <v>377741.21</v>
      </c>
      <c r="D530" s="240">
        <f>'Prior Year'!AK59</f>
        <v>10888</v>
      </c>
      <c r="E530" s="180">
        <f>AK59</f>
        <v>11150</v>
      </c>
      <c r="F530" s="263">
        <f t="shared" si="18"/>
        <v>40.455180014695074</v>
      </c>
      <c r="G530" s="263">
        <f t="shared" si="18"/>
        <v>33.878135426008967</v>
      </c>
      <c r="H530" s="265" t="str">
        <f t="shared" si="16"/>
        <v/>
      </c>
      <c r="I530" s="267"/>
      <c r="K530" s="261"/>
      <c r="L530" s="261"/>
    </row>
    <row r="531" spans="1:12" ht="12.6" customHeight="1">
      <c r="A531" s="180" t="s">
        <v>547</v>
      </c>
      <c r="B531" s="240">
        <f>'Prior Year'!AL71</f>
        <v>207076</v>
      </c>
      <c r="C531" s="240">
        <f>AL71</f>
        <v>202609.41</v>
      </c>
      <c r="D531" s="240">
        <f>'Prior Year'!AL59</f>
        <v>3149</v>
      </c>
      <c r="E531" s="180">
        <f>AL59</f>
        <v>3759</v>
      </c>
      <c r="F531" s="263">
        <f t="shared" si="18"/>
        <v>65.759288663067636</v>
      </c>
      <c r="G531" s="263">
        <f t="shared" si="18"/>
        <v>53.8998164405427</v>
      </c>
      <c r="H531" s="265" t="str">
        <f t="shared" si="16"/>
        <v/>
      </c>
      <c r="I531" s="267"/>
      <c r="K531" s="261"/>
      <c r="L531" s="261"/>
    </row>
    <row r="532" spans="1:12" ht="12.6" customHeight="1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>
      <c r="A533" s="180" t="s">
        <v>1247</v>
      </c>
      <c r="B533" s="240">
        <f>'Prior Year'!AN71</f>
        <v>565802</v>
      </c>
      <c r="C533" s="240">
        <f>AN71</f>
        <v>404263.67</v>
      </c>
      <c r="D533" s="240">
        <f>'Prior Year'!AN59</f>
        <v>3708</v>
      </c>
      <c r="E533" s="180">
        <f>AN59</f>
        <v>1714</v>
      </c>
      <c r="F533" s="263">
        <f t="shared" si="18"/>
        <v>152.58953613807984</v>
      </c>
      <c r="G533" s="263">
        <f t="shared" si="18"/>
        <v>235.85978413068844</v>
      </c>
      <c r="H533" s="265">
        <f t="shared" si="16"/>
        <v>0.54571401224561367</v>
      </c>
      <c r="I533" s="267"/>
      <c r="K533" s="261"/>
      <c r="L533" s="261"/>
    </row>
    <row r="534" spans="1:12" ht="12.6" customHeight="1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>
      <c r="A541" s="180" t="s">
        <v>556</v>
      </c>
      <c r="B541" s="240">
        <f>'Prior Year'!AV71</f>
        <v>158011</v>
      </c>
      <c r="C541" s="240">
        <f>AV71</f>
        <v>3686494.5500000003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>
      <c r="A542" s="180" t="s">
        <v>1248</v>
      </c>
      <c r="B542" s="240">
        <f>'Prior Year'!AW71</f>
        <v>5794</v>
      </c>
      <c r="C542" s="240">
        <f>AW71</f>
        <v>1646209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558</v>
      </c>
      <c r="B544" s="240">
        <f>'Prior Year'!AY71</f>
        <v>3912333</v>
      </c>
      <c r="C544" s="240">
        <f>AY71</f>
        <v>4992960.0999999987</v>
      </c>
      <c r="D544" s="240">
        <f>'Prior Year'!AY59</f>
        <v>956452</v>
      </c>
      <c r="E544" s="180">
        <f>AY59</f>
        <v>145747</v>
      </c>
      <c r="F544" s="263">
        <f t="shared" ref="F544:G550" si="19">IF(B544=0,"",IF(D544=0,"",B544/D544))</f>
        <v>4.0904645502335715</v>
      </c>
      <c r="G544" s="263">
        <f t="shared" si="19"/>
        <v>34.25772125669824</v>
      </c>
      <c r="H544" s="265">
        <f t="shared" si="16"/>
        <v>7.3750197162183149</v>
      </c>
      <c r="I544" s="267"/>
      <c r="K544" s="261"/>
      <c r="L544" s="261"/>
    </row>
    <row r="545" spans="1:13" ht="12.6" customHeight="1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>
      <c r="A546" s="180" t="s">
        <v>560</v>
      </c>
      <c r="B546" s="240">
        <f>'Prior Year'!BA71</f>
        <v>1498517</v>
      </c>
      <c r="C546" s="240">
        <f>BA71</f>
        <v>1370758.27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>
      <c r="A548" s="180" t="s">
        <v>562</v>
      </c>
      <c r="B548" s="240">
        <f>'Prior Year'!BC71</f>
        <v>0</v>
      </c>
      <c r="C548" s="240">
        <f>BC71</f>
        <v>283100.46999999997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563</v>
      </c>
      <c r="B549" s="240">
        <f>'Prior Year'!BD71</f>
        <v>7322</v>
      </c>
      <c r="C549" s="240">
        <f>BD71</f>
        <v>688863.91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564</v>
      </c>
      <c r="B550" s="240">
        <f>'Prior Year'!BE71</f>
        <v>14646094</v>
      </c>
      <c r="C550" s="240">
        <f>BE71</f>
        <v>9202417.6699999981</v>
      </c>
      <c r="D550" s="240">
        <f>'Prior Year'!BE59</f>
        <v>680240</v>
      </c>
      <c r="E550" s="180">
        <f>BE59</f>
        <v>871026</v>
      </c>
      <c r="F550" s="263">
        <f t="shared" si="19"/>
        <v>21.530774432553216</v>
      </c>
      <c r="G550" s="263">
        <f t="shared" si="19"/>
        <v>10.565032123036509</v>
      </c>
      <c r="H550" s="265">
        <f t="shared" si="16"/>
        <v>-0.50930552191086886</v>
      </c>
      <c r="I550" s="267"/>
      <c r="K550" s="261"/>
      <c r="L550" s="261"/>
    </row>
    <row r="551" spans="1:13" ht="12.6" customHeight="1">
      <c r="A551" s="180" t="s">
        <v>565</v>
      </c>
      <c r="B551" s="240">
        <f>'Prior Year'!BF71</f>
        <v>3395014</v>
      </c>
      <c r="C551" s="240">
        <f>BF71</f>
        <v>3316625.5799999996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>
      <c r="A552" s="180" t="s">
        <v>566</v>
      </c>
      <c r="B552" s="240">
        <f>'Prior Year'!BG71</f>
        <v>352965</v>
      </c>
      <c r="C552" s="240">
        <f>BG71</f>
        <v>410455.85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>
      <c r="A553" s="180" t="s">
        <v>567</v>
      </c>
      <c r="B553" s="240">
        <f>'Prior Year'!BH71</f>
        <v>6696010</v>
      </c>
      <c r="C553" s="240">
        <f>BH71</f>
        <v>6114803.6499999994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568</v>
      </c>
      <c r="B554" s="240">
        <f>'Prior Year'!BI71</f>
        <v>1822061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569</v>
      </c>
      <c r="B555" s="240">
        <f>'Prior Year'!BJ71</f>
        <v>624438</v>
      </c>
      <c r="C555" s="240">
        <f>BJ71</f>
        <v>582808.75999999978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570</v>
      </c>
      <c r="B556" s="240">
        <f>'Prior Year'!BK71</f>
        <v>4704291</v>
      </c>
      <c r="C556" s="240">
        <f>BK71</f>
        <v>4344198.83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571</v>
      </c>
      <c r="B557" s="240">
        <f>'Prior Year'!BL71</f>
        <v>2584606</v>
      </c>
      <c r="C557" s="240">
        <f>BL71</f>
        <v>580756.55000000005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573</v>
      </c>
      <c r="B559" s="240">
        <f>'Prior Year'!BN71</f>
        <v>24831451</v>
      </c>
      <c r="C559" s="240">
        <f>BN71</f>
        <v>11848760.189999999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575</v>
      </c>
      <c r="B561" s="240">
        <f>'Prior Year'!BP71</f>
        <v>619745</v>
      </c>
      <c r="C561" s="240">
        <f>BP71</f>
        <v>228229.93999999994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577</v>
      </c>
      <c r="B563" s="240">
        <f>'Prior Year'!BR71</f>
        <v>1185824</v>
      </c>
      <c r="C563" s="240">
        <f>BR71</f>
        <v>534897.39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1249</v>
      </c>
      <c r="B564" s="240">
        <f>'Prior Year'!BS71</f>
        <v>7024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578</v>
      </c>
      <c r="B565" s="240">
        <f>'Prior Year'!BT71</f>
        <v>47516</v>
      </c>
      <c r="C565" s="240">
        <f>BT71</f>
        <v>-422.28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580</v>
      </c>
      <c r="B567" s="240">
        <f>'Prior Year'!BV71</f>
        <v>2654627</v>
      </c>
      <c r="C567" s="240">
        <f>BV71</f>
        <v>2336385.27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581</v>
      </c>
      <c r="B568" s="240">
        <f>'Prior Year'!BW71</f>
        <v>406353</v>
      </c>
      <c r="C568" s="240">
        <f>BW71</f>
        <v>369268.3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582</v>
      </c>
      <c r="B569" s="240">
        <f>'Prior Year'!BX71</f>
        <v>23777</v>
      </c>
      <c r="C569" s="240">
        <f>BX71</f>
        <v>3178947.3999999994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583</v>
      </c>
      <c r="B570" s="240">
        <f>'Prior Year'!BY71</f>
        <v>5636013</v>
      </c>
      <c r="C570" s="240">
        <f>BY71</f>
        <v>1960433.3499999999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584</v>
      </c>
      <c r="B571" s="240">
        <f>'Prior Year'!BZ71</f>
        <v>0</v>
      </c>
      <c r="C571" s="240">
        <f>BZ71</f>
        <v>1863227.46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585</v>
      </c>
      <c r="B572" s="240">
        <f>'Prior Year'!CA71</f>
        <v>718322</v>
      </c>
      <c r="C572" s="240">
        <f>CA71</f>
        <v>2913273.3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587</v>
      </c>
      <c r="B574" s="240">
        <f>'Prior Year'!CC71</f>
        <v>28598780</v>
      </c>
      <c r="C574" s="240">
        <f>CC71</f>
        <v>54549669.810000002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588</v>
      </c>
      <c r="B575" s="240">
        <f>'Prior Year'!CD71</f>
        <v>3267135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>
      <c r="M576" s="265"/>
    </row>
    <row r="577" spans="13:13" ht="12.6" customHeight="1">
      <c r="M577" s="265"/>
    </row>
    <row r="578" spans="13:13" ht="12.6" customHeight="1">
      <c r="M578" s="265"/>
    </row>
    <row r="612" spans="1:14" ht="12.6" customHeight="1">
      <c r="A612" s="196"/>
      <c r="C612" s="181" t="s">
        <v>589</v>
      </c>
      <c r="D612" s="180">
        <f>CE76-(BE76+CD76)</f>
        <v>618701</v>
      </c>
      <c r="E612" s="180">
        <f>SUM(C624:D647)+SUM(C668:D713)</f>
        <v>222782354.36023718</v>
      </c>
      <c r="F612" s="180">
        <f>CE64-(AX64+BD64+BE64+BG64+BJ64+BN64+BP64+BQ64+CB64+CC64+CD64)</f>
        <v>65716788.040000014</v>
      </c>
      <c r="G612" s="180">
        <f>CE77-(AX77+AY77+BD77+BE77+BG77+BJ77+BN77+BP77+BQ77+CB77+CC77+CD77)</f>
        <v>145747</v>
      </c>
      <c r="H612" s="197">
        <f>CE60-(AX60+AY60+AZ60+BD60+BE60+BG60+BJ60+BN60+BO60+BP60+BQ60+BR60+CB60+CC60+CD60)</f>
        <v>1186.2740630136993</v>
      </c>
      <c r="I612" s="180">
        <f>CE78-(AX78+AY78+AZ78+BD78+BE78+BF78+BG78+BJ78+BN78+BO78+BP78+BQ78+BR78+CB78+CC78+CD78)</f>
        <v>126293.10486570165</v>
      </c>
      <c r="J612" s="180">
        <f>CE79-(AX79+AY79+AZ79+BA79+BD79+BE79+BF79+BG79+BJ79+BN79+BO79+BP79+BQ79+BR79+CB79+CC79+CD79)</f>
        <v>1546731.2883000001</v>
      </c>
      <c r="K612" s="180">
        <f>CE75-(AW75+AX75+AY75+AZ75+BA75+BB75+BC75+BD75+BE75+BF75+BG75+BH75+BI75+BJ75+BK75+BL75+BM75+BN75+BO75+BP75+BQ75+BR75+BS75+BT75+BU75+BV75+BW75+BX75+CB75+CC75+CD75)</f>
        <v>1484983062.97</v>
      </c>
      <c r="L612" s="197">
        <f>CE80-(AW80+AX80+AY80+AZ80+BA80+BB80+BC80+BD80+BE80+BF80+BG80+BH80+BI80+BJ80+BK80+BL80+BM80+BN80+BO80+BP80+BQ80+BR80+BS80+BT80+BU80+BV80+BW80+BX80+BY80+BZ80+CA80+CB80+CC80+CD80)</f>
        <v>359.91977435397337</v>
      </c>
    </row>
    <row r="613" spans="1:14" ht="12.6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>
      <c r="A614" s="196">
        <v>8430</v>
      </c>
      <c r="B614" s="198" t="s">
        <v>140</v>
      </c>
      <c r="C614" s="180">
        <f>BE71</f>
        <v>9202417.6699999981</v>
      </c>
      <c r="N614" s="199" t="s">
        <v>600</v>
      </c>
    </row>
    <row r="615" spans="1:14" ht="12.6" customHeight="1">
      <c r="A615" s="196"/>
      <c r="B615" s="198" t="s">
        <v>601</v>
      </c>
      <c r="C615" s="273">
        <f>CD69-CD70</f>
        <v>0</v>
      </c>
      <c r="D615" s="266">
        <f>SUM(C614:C615)</f>
        <v>9202417.6699999981</v>
      </c>
      <c r="N615" s="199" t="s">
        <v>602</v>
      </c>
    </row>
    <row r="616" spans="1:14" ht="12.6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>
      <c r="A617" s="196">
        <v>8510</v>
      </c>
      <c r="B617" s="200" t="s">
        <v>145</v>
      </c>
      <c r="C617" s="180">
        <f>BJ71</f>
        <v>582808.75999999978</v>
      </c>
      <c r="D617" s="180">
        <f>(D615/D612)*BJ76</f>
        <v>0</v>
      </c>
      <c r="N617" s="199" t="s">
        <v>605</v>
      </c>
    </row>
    <row r="618" spans="1:14" ht="12.6" customHeight="1">
      <c r="A618" s="196">
        <v>8470</v>
      </c>
      <c r="B618" s="200" t="s">
        <v>606</v>
      </c>
      <c r="C618" s="180">
        <f>BG71</f>
        <v>410455.85</v>
      </c>
      <c r="D618" s="180">
        <f>(D615/D612)*BG76</f>
        <v>0</v>
      </c>
      <c r="N618" s="199" t="s">
        <v>607</v>
      </c>
    </row>
    <row r="619" spans="1:14" ht="12.6" customHeight="1">
      <c r="A619" s="196">
        <v>8610</v>
      </c>
      <c r="B619" s="200" t="s">
        <v>608</v>
      </c>
      <c r="C619" s="180">
        <f>BN71</f>
        <v>11848760.189999999</v>
      </c>
      <c r="D619" s="180">
        <f>(D615/D612)*BN76</f>
        <v>704064.87596936151</v>
      </c>
      <c r="N619" s="199" t="s">
        <v>609</v>
      </c>
    </row>
    <row r="620" spans="1:14" ht="12.6" customHeight="1">
      <c r="A620" s="196">
        <v>8790</v>
      </c>
      <c r="B620" s="200" t="s">
        <v>610</v>
      </c>
      <c r="C620" s="180">
        <f>CC71</f>
        <v>54549669.810000002</v>
      </c>
      <c r="D620" s="180">
        <f>(D615/D612)*CC76</f>
        <v>48830.593793464039</v>
      </c>
      <c r="N620" s="199" t="s">
        <v>611</v>
      </c>
    </row>
    <row r="621" spans="1:14" ht="12.6" customHeight="1">
      <c r="A621" s="196">
        <v>8630</v>
      </c>
      <c r="B621" s="200" t="s">
        <v>612</v>
      </c>
      <c r="C621" s="180">
        <f>BP71</f>
        <v>228229.93999999994</v>
      </c>
      <c r="D621" s="180">
        <f>(D615/D612)*BP76</f>
        <v>0</v>
      </c>
      <c r="N621" s="199" t="s">
        <v>613</v>
      </c>
    </row>
    <row r="622" spans="1:14" ht="12.6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68372820.019762829</v>
      </c>
      <c r="N623" s="199" t="s">
        <v>617</v>
      </c>
    </row>
    <row r="624" spans="1:14" ht="12.6" customHeight="1">
      <c r="A624" s="196">
        <v>8420</v>
      </c>
      <c r="B624" s="200" t="s">
        <v>139</v>
      </c>
      <c r="C624" s="180">
        <f>BD71</f>
        <v>688863.91</v>
      </c>
      <c r="D624" s="180">
        <f>(D615/D612)*BD76</f>
        <v>0</v>
      </c>
      <c r="E624" s="180">
        <f>(E623/E612)*SUM(C624:D624)</f>
        <v>211415.16468750706</v>
      </c>
      <c r="F624" s="180">
        <f>SUM(C624:E624)</f>
        <v>900279.07468750712</v>
      </c>
      <c r="N624" s="199" t="s">
        <v>618</v>
      </c>
    </row>
    <row r="625" spans="1:14" ht="12.6" customHeight="1">
      <c r="A625" s="196">
        <v>8320</v>
      </c>
      <c r="B625" s="200" t="s">
        <v>135</v>
      </c>
      <c r="C625" s="180">
        <f>AY71</f>
        <v>4992960.0999999987</v>
      </c>
      <c r="D625" s="180">
        <f>(D615/D612)*AY76</f>
        <v>180047.0112305459</v>
      </c>
      <c r="E625" s="180">
        <f>(E623/E612)*SUM(C625:D625)</f>
        <v>1587617.1395747105</v>
      </c>
      <c r="F625" s="180">
        <f>(F624/F612)*AY64</f>
        <v>32879.75793107591</v>
      </c>
      <c r="G625" s="180">
        <f>SUM(C625:F625)</f>
        <v>6793504.008736331</v>
      </c>
      <c r="N625" s="199" t="s">
        <v>619</v>
      </c>
    </row>
    <row r="626" spans="1:14" ht="12.6" customHeight="1">
      <c r="A626" s="196">
        <v>8650</v>
      </c>
      <c r="B626" s="200" t="s">
        <v>152</v>
      </c>
      <c r="C626" s="180">
        <f>BR71</f>
        <v>534897.39</v>
      </c>
      <c r="D626" s="180">
        <f>(D615/D612)*BR76</f>
        <v>46212.809904444948</v>
      </c>
      <c r="E626" s="180">
        <f>(E623/E612)*SUM(C626:D626)</f>
        <v>178345.1082731107</v>
      </c>
      <c r="F626" s="180">
        <f>(F624/F612)*BR64</f>
        <v>160.90740608340874</v>
      </c>
      <c r="G626" s="180">
        <f>(G625/G612)*BR77</f>
        <v>0</v>
      </c>
      <c r="N626" s="199" t="s">
        <v>620</v>
      </c>
    </row>
    <row r="627" spans="1:14" ht="12.6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759616.2155836391</v>
      </c>
      <c r="N628" s="199" t="s">
        <v>623</v>
      </c>
    </row>
    <row r="629" spans="1:14" ht="12.6" customHeight="1">
      <c r="A629" s="196">
        <v>8460</v>
      </c>
      <c r="B629" s="200" t="s">
        <v>141</v>
      </c>
      <c r="C629" s="180">
        <f>BF71</f>
        <v>3316625.5799999996</v>
      </c>
      <c r="D629" s="180">
        <f>(D615/D612)*BF76</f>
        <v>114022.3368932974</v>
      </c>
      <c r="E629" s="180">
        <f>(E623/E612)*SUM(C629:D629)</f>
        <v>1052879.9430570393</v>
      </c>
      <c r="F629" s="180">
        <f>(F624/F612)*BF64</f>
        <v>3256.0075837968066</v>
      </c>
      <c r="G629" s="180">
        <f>(G625/G612)*BF77</f>
        <v>0</v>
      </c>
      <c r="H629" s="180">
        <f>(H628/H612)*BF60</f>
        <v>38773.34267214594</v>
      </c>
      <c r="I629" s="180">
        <f>SUM(C629:H629)</f>
        <v>4525557.2102062786</v>
      </c>
      <c r="N629" s="199" t="s">
        <v>624</v>
      </c>
    </row>
    <row r="630" spans="1:14" ht="12.6" customHeight="1">
      <c r="A630" s="196">
        <v>8350</v>
      </c>
      <c r="B630" s="200" t="s">
        <v>625</v>
      </c>
      <c r="C630" s="180">
        <f>BA71</f>
        <v>1370758.27</v>
      </c>
      <c r="D630" s="180">
        <f>(D615/D612)*BA76</f>
        <v>67556.672863208558</v>
      </c>
      <c r="E630" s="180">
        <f>(E623/E612)*SUM(C630:D630)</f>
        <v>441424.76634888235</v>
      </c>
      <c r="F630" s="180">
        <f>(F624/F612)*BA64</f>
        <v>54.556811164074169</v>
      </c>
      <c r="G630" s="180">
        <f>(G625/G612)*BA77</f>
        <v>0</v>
      </c>
      <c r="H630" s="180">
        <f>(H628/H612)*BA60</f>
        <v>1921.0136323486327</v>
      </c>
      <c r="I630" s="180">
        <f>(I629/I612)*BA78</f>
        <v>37701.565377914747</v>
      </c>
      <c r="J630" s="180">
        <f>SUM(C630:I630)</f>
        <v>1919416.8450335185</v>
      </c>
      <c r="N630" s="199" t="s">
        <v>626</v>
      </c>
    </row>
    <row r="631" spans="1:14" ht="12.6" customHeight="1">
      <c r="A631" s="196">
        <v>8200</v>
      </c>
      <c r="B631" s="200" t="s">
        <v>627</v>
      </c>
      <c r="C631" s="180">
        <f>AW71</f>
        <v>1646209</v>
      </c>
      <c r="D631" s="180">
        <f>(D615/D612)*AW76</f>
        <v>0</v>
      </c>
      <c r="E631" s="180">
        <f>(E623/E612)*SUM(C631:D631)</f>
        <v>505228.30677115353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>
      <c r="A633" s="196">
        <v>8370</v>
      </c>
      <c r="B633" s="200" t="s">
        <v>631</v>
      </c>
      <c r="C633" s="180">
        <f>BC71</f>
        <v>283100.46999999997</v>
      </c>
      <c r="D633" s="180">
        <f>(D615/D612)*BC76</f>
        <v>0</v>
      </c>
      <c r="E633" s="180">
        <f>(E623/E612)*SUM(C633:D633)</f>
        <v>86884.697571339813</v>
      </c>
      <c r="F633" s="180">
        <f>(F624/F612)*BC64</f>
        <v>15.599480938153656</v>
      </c>
      <c r="G633" s="180">
        <f>(G625/G612)*BC77</f>
        <v>0</v>
      </c>
      <c r="H633" s="180">
        <f>(H628/H612)*BC60</f>
        <v>4732.0969143521315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>
      <c r="A635" s="196">
        <v>8530</v>
      </c>
      <c r="B635" s="200" t="s">
        <v>635</v>
      </c>
      <c r="C635" s="180">
        <f>BK71</f>
        <v>4344198.83</v>
      </c>
      <c r="D635" s="180">
        <f>(D615/D612)*BK76</f>
        <v>0</v>
      </c>
      <c r="E635" s="180">
        <f>(E623/E612)*SUM(C635:D635)</f>
        <v>1333252.4722912621</v>
      </c>
      <c r="F635" s="180">
        <f>(F624/F612)*BK64</f>
        <v>154.64610568577714</v>
      </c>
      <c r="G635" s="180">
        <f>(G625/G612)*BK77</f>
        <v>0</v>
      </c>
      <c r="H635" s="180">
        <f>(H628/H612)*BK60</f>
        <v>14174.039878990217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>
      <c r="A636" s="196">
        <v>8480</v>
      </c>
      <c r="B636" s="200" t="s">
        <v>637</v>
      </c>
      <c r="C636" s="180">
        <f>BH71</f>
        <v>6114803.6499999994</v>
      </c>
      <c r="D636" s="180">
        <f>(D615/D612)*BH76</f>
        <v>26728.168457768774</v>
      </c>
      <c r="E636" s="180">
        <f>(E623/E612)*SUM(C636:D636)</f>
        <v>1884861.3521251443</v>
      </c>
      <c r="F636" s="180">
        <f>(F624/F612)*BH64</f>
        <v>241.23247197221136</v>
      </c>
      <c r="G636" s="180">
        <f>(G625/G612)*BH77</f>
        <v>0</v>
      </c>
      <c r="H636" s="180">
        <f>(H628/H612)*BH60</f>
        <v>789.56554967605052</v>
      </c>
      <c r="I636" s="180">
        <f>(I629/I612)*BH78</f>
        <v>14916.273224155171</v>
      </c>
      <c r="J636" s="180">
        <f>(J630/J612)*BH79</f>
        <v>0</v>
      </c>
      <c r="N636" s="199" t="s">
        <v>638</v>
      </c>
    </row>
    <row r="637" spans="1:14" ht="12.6" customHeight="1">
      <c r="A637" s="196">
        <v>8560</v>
      </c>
      <c r="B637" s="200" t="s">
        <v>147</v>
      </c>
      <c r="C637" s="180">
        <f>BL71</f>
        <v>580756.55000000005</v>
      </c>
      <c r="D637" s="180">
        <f>(D615/D612)*BL76</f>
        <v>0</v>
      </c>
      <c r="E637" s="180">
        <f>(E623/E612)*SUM(C637:D637)</f>
        <v>178236.57166420351</v>
      </c>
      <c r="F637" s="180">
        <f>(F624/F612)*BL64</f>
        <v>43.143585943037401</v>
      </c>
      <c r="G637" s="180">
        <f>(G625/G612)*BL77</f>
        <v>0</v>
      </c>
      <c r="H637" s="180">
        <f>(H628/H612)*BL60</f>
        <v>6582.6733801813134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21685.959716987687</v>
      </c>
      <c r="E639" s="180">
        <f>(E623/E612)*SUM(C639:D639)</f>
        <v>6655.5101499998682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12111.811952650292</v>
      </c>
      <c r="J639" s="180">
        <f>(J630/J612)*BS79</f>
        <v>0</v>
      </c>
      <c r="N639" s="199" t="s">
        <v>643</v>
      </c>
    </row>
    <row r="640" spans="1:14" ht="12.6" customHeight="1">
      <c r="A640" s="196">
        <v>8670</v>
      </c>
      <c r="B640" s="200" t="s">
        <v>644</v>
      </c>
      <c r="C640" s="180">
        <f>BT71</f>
        <v>-422.28</v>
      </c>
      <c r="D640" s="180">
        <f>(D615/D612)*BT76</f>
        <v>0</v>
      </c>
      <c r="E640" s="180">
        <f>(E623/E612)*SUM(C640:D640)</f>
        <v>-129.59946725070918</v>
      </c>
      <c r="F640" s="180">
        <f>(F624/F612)*BT64</f>
        <v>0</v>
      </c>
      <c r="G640" s="180">
        <f>(G625/G612)*BT77</f>
        <v>0</v>
      </c>
      <c r="H640" s="180">
        <f>(H628/H612)*BT60</f>
        <v>-6.403378774495442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>
      <c r="A642" s="196">
        <v>8690</v>
      </c>
      <c r="B642" s="200" t="s">
        <v>648</v>
      </c>
      <c r="C642" s="180">
        <f>BV71</f>
        <v>2336385.27</v>
      </c>
      <c r="D642" s="180">
        <f>(D615/D612)*BV76</f>
        <v>126159.33492420409</v>
      </c>
      <c r="E642" s="180">
        <f>(E623/E612)*SUM(C642:D642)</f>
        <v>755765.0584429407</v>
      </c>
      <c r="F642" s="180">
        <f>(F624/F612)*BV64</f>
        <v>334.38289489473618</v>
      </c>
      <c r="G642" s="180">
        <f>(G625/G612)*BV77</f>
        <v>0</v>
      </c>
      <c r="H642" s="180">
        <f>(H628/H612)*BV60</f>
        <v>15242.126090101583</v>
      </c>
      <c r="I642" s="180">
        <f>(I629/I612)*BV78</f>
        <v>70413.344635969901</v>
      </c>
      <c r="J642" s="180">
        <f>(J630/J612)*BV79</f>
        <v>0</v>
      </c>
      <c r="N642" s="199" t="s">
        <v>649</v>
      </c>
    </row>
    <row r="643" spans="1:14" ht="12.6" customHeight="1">
      <c r="A643" s="196">
        <v>8700</v>
      </c>
      <c r="B643" s="200" t="s">
        <v>650</v>
      </c>
      <c r="C643" s="180">
        <f>BW71</f>
        <v>369268.3</v>
      </c>
      <c r="D643" s="180">
        <f>(D615/D612)*BW76</f>
        <v>0</v>
      </c>
      <c r="E643" s="180">
        <f>(E623/E612)*SUM(C643:D643)</f>
        <v>113329.95868280537</v>
      </c>
      <c r="F643" s="180">
        <f>(F624/F612)*BW64</f>
        <v>24.078847515372932</v>
      </c>
      <c r="G643" s="180">
        <f>(G625/G612)*BW77</f>
        <v>0</v>
      </c>
      <c r="H643" s="180">
        <f>(H628/H612)*BW60</f>
        <v>3413.0008868060704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>
      <c r="A644" s="196">
        <v>8710</v>
      </c>
      <c r="B644" s="200" t="s">
        <v>652</v>
      </c>
      <c r="C644" s="180">
        <f>BX71</f>
        <v>3178947.3999999994</v>
      </c>
      <c r="D644" s="180">
        <f>(D615/D612)*BX76</f>
        <v>13237.657166062441</v>
      </c>
      <c r="E644" s="180">
        <f>(E623/E612)*SUM(C644:D644)</f>
        <v>979694.71150515357</v>
      </c>
      <c r="F644" s="180">
        <f>(F624/F612)*BX64</f>
        <v>379.96140816011257</v>
      </c>
      <c r="G644" s="180">
        <f>(G625/G612)*BX77</f>
        <v>0</v>
      </c>
      <c r="H644" s="180">
        <f>(H628/H612)*BX60</f>
        <v>15583.568719748062</v>
      </c>
      <c r="I644" s="180">
        <f>(I629/I612)*BX78</f>
        <v>7381.7552137454441</v>
      </c>
      <c r="J644" s="180">
        <f>(J630/J612)*BX79</f>
        <v>0</v>
      </c>
      <c r="K644" s="180">
        <f>SUM(C631:J644)</f>
        <v>25051364.247864481</v>
      </c>
      <c r="N644" s="199" t="s">
        <v>653</v>
      </c>
    </row>
    <row r="645" spans="1:14" ht="12.6" customHeight="1">
      <c r="A645" s="196">
        <v>8720</v>
      </c>
      <c r="B645" s="200" t="s">
        <v>654</v>
      </c>
      <c r="C645" s="180">
        <f>BY71</f>
        <v>1960433.3499999999</v>
      </c>
      <c r="D645" s="180">
        <f>(D615/D612)*BY76</f>
        <v>200349.71014254054</v>
      </c>
      <c r="E645" s="180">
        <f>(E623/E612)*SUM(C645:D645)</f>
        <v>663153.20033823606</v>
      </c>
      <c r="F645" s="180">
        <f>(F624/F612)*BY64</f>
        <v>103.28988004166507</v>
      </c>
      <c r="G645" s="180">
        <f>(G625/G612)*BY77</f>
        <v>0</v>
      </c>
      <c r="H645" s="180">
        <f>(H628/H612)*BY60</f>
        <v>9289.9350856957171</v>
      </c>
      <c r="I645" s="180">
        <f>(I629/I612)*BY78</f>
        <v>111801.34110138731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>
      <c r="A646" s="196">
        <v>8730</v>
      </c>
      <c r="B646" s="200" t="s">
        <v>656</v>
      </c>
      <c r="C646" s="180">
        <f>BZ71</f>
        <v>1863227.46</v>
      </c>
      <c r="D646" s="180">
        <f>(D615/D612)*BZ76</f>
        <v>0</v>
      </c>
      <c r="E646" s="180">
        <f>(E623/E612)*SUM(C646:D646)</f>
        <v>571832.16392652283</v>
      </c>
      <c r="F646" s="180">
        <f>(F624/F612)*BZ64</f>
        <v>35.928945878692758</v>
      </c>
      <c r="G646" s="180">
        <f>(G625/G612)*BZ77</f>
        <v>0</v>
      </c>
      <c r="H646" s="180">
        <f>(H628/H612)*BZ60</f>
        <v>17495.223770159013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>
      <c r="A647" s="196">
        <v>8740</v>
      </c>
      <c r="B647" s="200" t="s">
        <v>658</v>
      </c>
      <c r="C647" s="180">
        <f>CA71</f>
        <v>2913273.3</v>
      </c>
      <c r="D647" s="180">
        <f>(D615/D612)*CA76</f>
        <v>16941.226418140584</v>
      </c>
      <c r="E647" s="180">
        <f>(E623/E612)*SUM(C647:D647)</f>
        <v>899294.87911831052</v>
      </c>
      <c r="F647" s="180">
        <f>(F624/F612)*CA64</f>
        <v>304.60743531427806</v>
      </c>
      <c r="G647" s="180">
        <f>(G625/G612)*CA77</f>
        <v>0</v>
      </c>
      <c r="H647" s="180">
        <f>(H628/H612)*CA60</f>
        <v>22180.409794761745</v>
      </c>
      <c r="I647" s="180">
        <f>(I629/I612)*CA78</f>
        <v>9460.1134778096966</v>
      </c>
      <c r="J647" s="180">
        <f>(J630/J612)*CA79</f>
        <v>0</v>
      </c>
      <c r="K647" s="180">
        <v>0</v>
      </c>
      <c r="L647" s="180">
        <f>SUM(C645:K647)</f>
        <v>9259176.1394347977</v>
      </c>
      <c r="N647" s="199" t="s">
        <v>659</v>
      </c>
    </row>
    <row r="648" spans="1:14" ht="12.6" customHeight="1">
      <c r="A648" s="196"/>
      <c r="B648" s="196"/>
      <c r="C648" s="180">
        <f>SUM(C614:C647)</f>
        <v>113316628.76999997</v>
      </c>
      <c r="L648" s="266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>
      <c r="A668" s="196">
        <v>6010</v>
      </c>
      <c r="B668" s="198" t="s">
        <v>283</v>
      </c>
      <c r="C668" s="180">
        <f>C71</f>
        <v>12759809.899999999</v>
      </c>
      <c r="D668" s="180">
        <f>(D615/D612)*C76</f>
        <v>502659.12800795533</v>
      </c>
      <c r="E668" s="180">
        <f>(E623/E612)*SUM(C668:D668)</f>
        <v>4070306.2433903138</v>
      </c>
      <c r="F668" s="180">
        <f>(F624/F612)*C64</f>
        <v>14452.982106334966</v>
      </c>
      <c r="G668" s="180">
        <f>(G625/G612)*C77</f>
        <v>389393.4865827997</v>
      </c>
      <c r="H668" s="180">
        <f>(H628/H612)*C60</f>
        <v>59786.71037000067</v>
      </c>
      <c r="I668" s="180">
        <f>(I629/I612)*C78</f>
        <v>280520.5640569416</v>
      </c>
      <c r="J668" s="180">
        <f>(J630/J612)*C79</f>
        <v>132439.73762145833</v>
      </c>
      <c r="K668" s="180">
        <f>(K644/K612)*C75</f>
        <v>655493.90723529225</v>
      </c>
      <c r="L668" s="180">
        <f>(L647/L612)*C80</f>
        <v>1064796.1850234107</v>
      </c>
      <c r="M668" s="180">
        <f t="shared" ref="M668:M713" si="20">ROUND(SUM(D668:L668),0)</f>
        <v>7169849</v>
      </c>
      <c r="N668" s="198" t="s">
        <v>663</v>
      </c>
    </row>
    <row r="669" spans="1:14" ht="12.6" customHeight="1">
      <c r="A669" s="196">
        <v>6030</v>
      </c>
      <c r="B669" s="198" t="s">
        <v>284</v>
      </c>
      <c r="C669" s="180">
        <f>D71</f>
        <v>9859089.6699999999</v>
      </c>
      <c r="D669" s="180">
        <f>(D615/D612)*D76</f>
        <v>111984.63011604958</v>
      </c>
      <c r="E669" s="180">
        <f>(E623/E612)*SUM(C669:D669)</f>
        <v>3060163.6762628537</v>
      </c>
      <c r="F669" s="180">
        <f>(F624/F612)*D64</f>
        <v>10735.605523694539</v>
      </c>
      <c r="G669" s="180">
        <f>(G625/G612)*D77</f>
        <v>2359433.6721731792</v>
      </c>
      <c r="H669" s="180">
        <f>(H628/H612)*D60</f>
        <v>67591.705426591594</v>
      </c>
      <c r="I669" s="180">
        <f>(I629/I612)*D78</f>
        <v>62495.615528472059</v>
      </c>
      <c r="J669" s="180">
        <f>(J630/J612)*D79</f>
        <v>163150.4014177385</v>
      </c>
      <c r="K669" s="180">
        <f>(K644/K612)*D75</f>
        <v>803787.05781106185</v>
      </c>
      <c r="L669" s="180">
        <f>(L647/L612)*D80</f>
        <v>1675896.6042542376</v>
      </c>
      <c r="M669" s="180">
        <f t="shared" si="20"/>
        <v>8315239</v>
      </c>
      <c r="N669" s="198" t="s">
        <v>664</v>
      </c>
    </row>
    <row r="670" spans="1:14" ht="12.6" customHeight="1">
      <c r="A670" s="196">
        <v>6070</v>
      </c>
      <c r="B670" s="198" t="s">
        <v>665</v>
      </c>
      <c r="C670" s="180">
        <f>E71</f>
        <v>11969101.090000002</v>
      </c>
      <c r="D670" s="180">
        <f>(D615/D612)*E76</f>
        <v>1314707.5893993543</v>
      </c>
      <c r="E670" s="180">
        <f>(E623/E612)*SUM(C670:D670)</f>
        <v>4076855.4700921266</v>
      </c>
      <c r="F670" s="180">
        <f>(F624/F612)*E64</f>
        <v>14519.554367346442</v>
      </c>
      <c r="G670" s="180">
        <f>(G625/G612)*E77</f>
        <v>2024529.1712038929</v>
      </c>
      <c r="H670" s="180">
        <f>(H628/H612)*E60</f>
        <v>83355.462154940818</v>
      </c>
      <c r="I670" s="180">
        <f>(I629/I612)*E78</f>
        <v>733703.00865681679</v>
      </c>
      <c r="J670" s="180">
        <f>(J630/J612)*E79</f>
        <v>808074.34113962238</v>
      </c>
      <c r="K670" s="180">
        <f>(K644/K612)*E75</f>
        <v>847393.28251342452</v>
      </c>
      <c r="L670" s="180">
        <f>(L647/L612)*E80</f>
        <v>2425883.4824011615</v>
      </c>
      <c r="M670" s="180">
        <f t="shared" si="20"/>
        <v>12329021</v>
      </c>
      <c r="N670" s="198" t="s">
        <v>666</v>
      </c>
    </row>
    <row r="671" spans="1:14" ht="12.6" customHeight="1">
      <c r="A671" s="196">
        <v>6100</v>
      </c>
      <c r="B671" s="198" t="s">
        <v>667</v>
      </c>
      <c r="C671" s="180">
        <f>F71</f>
        <v>3641646.93</v>
      </c>
      <c r="D671" s="180">
        <f>(D615/D612)*F76</f>
        <v>0</v>
      </c>
      <c r="E671" s="180">
        <f>(E623/E612)*SUM(C671:D671)</f>
        <v>1117636.4072254917</v>
      </c>
      <c r="F671" s="180">
        <f>(F624/F612)*F64</f>
        <v>1724.9877800693062</v>
      </c>
      <c r="G671" s="180">
        <f>(G625/G612)*F77</f>
        <v>417640.12925327814</v>
      </c>
      <c r="H671" s="180">
        <f>(H628/H612)*F60</f>
        <v>14913.469165799883</v>
      </c>
      <c r="I671" s="180">
        <f>(I629/I612)*F78</f>
        <v>0</v>
      </c>
      <c r="J671" s="180">
        <f>(J630/J612)*F79</f>
        <v>0</v>
      </c>
      <c r="K671" s="180">
        <f>(K644/K612)*F75</f>
        <v>148802.71834339696</v>
      </c>
      <c r="L671" s="180">
        <f>(L647/L612)*F80</f>
        <v>0</v>
      </c>
      <c r="M671" s="180">
        <f t="shared" si="20"/>
        <v>1700718</v>
      </c>
      <c r="N671" s="198" t="s">
        <v>668</v>
      </c>
    </row>
    <row r="672" spans="1:14" ht="12.6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>
      <c r="A679" s="196">
        <v>6400</v>
      </c>
      <c r="B679" s="198" t="s">
        <v>680</v>
      </c>
      <c r="C679" s="180">
        <f>N71</f>
        <v>434035.78</v>
      </c>
      <c r="D679" s="180">
        <f>(D615/D612)*N76</f>
        <v>0</v>
      </c>
      <c r="E679" s="180">
        <f>(E623/E612)*SUM(C679:D679)</f>
        <v>133207.36444005405</v>
      </c>
      <c r="F679" s="180">
        <f>(F624/F612)*N64</f>
        <v>177.7213368197246</v>
      </c>
      <c r="G679" s="180">
        <f>(G625/G612)*N77</f>
        <v>0</v>
      </c>
      <c r="H679" s="180">
        <f>(H628/H612)*N60</f>
        <v>5823.5931765229188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139209</v>
      </c>
      <c r="N679" s="198" t="s">
        <v>681</v>
      </c>
    </row>
    <row r="680" spans="1:14" ht="12.6" customHeight="1">
      <c r="A680" s="196">
        <v>7010</v>
      </c>
      <c r="B680" s="198" t="s">
        <v>682</v>
      </c>
      <c r="C680" s="180">
        <f>O71</f>
        <v>4150265.2800000003</v>
      </c>
      <c r="D680" s="180">
        <f>(D615/D612)*O76</f>
        <v>142728.71703992717</v>
      </c>
      <c r="E680" s="180">
        <f>(E623/E612)*SUM(C680:D680)</f>
        <v>1317537.4986427659</v>
      </c>
      <c r="F680" s="180">
        <f>(F624/F612)*O64</f>
        <v>6136.7674411768912</v>
      </c>
      <c r="G680" s="180">
        <f>(G625/G612)*O77</f>
        <v>181785.32411694026</v>
      </c>
      <c r="H680" s="180">
        <f>(H628/H612)*O60</f>
        <v>21803.504727156978</v>
      </c>
      <c r="I680" s="180">
        <f>(I629/I612)*O78</f>
        <v>79653.0650300462</v>
      </c>
      <c r="J680" s="180">
        <f>(J630/J612)*O79</f>
        <v>49904.828668955306</v>
      </c>
      <c r="K680" s="180">
        <f>(K644/K612)*O75</f>
        <v>306242.41897708719</v>
      </c>
      <c r="L680" s="180">
        <f>(L647/L612)*O80</f>
        <v>842577.85075765545</v>
      </c>
      <c r="M680" s="180">
        <f t="shared" si="20"/>
        <v>2948370</v>
      </c>
      <c r="N680" s="198" t="s">
        <v>683</v>
      </c>
    </row>
    <row r="681" spans="1:14" ht="12.6" customHeight="1">
      <c r="A681" s="196">
        <v>7020</v>
      </c>
      <c r="B681" s="198" t="s">
        <v>684</v>
      </c>
      <c r="C681" s="180">
        <f>P71</f>
        <v>44724574.850000001</v>
      </c>
      <c r="D681" s="180">
        <f>(D615/D612)*P76</f>
        <v>619894.19967413973</v>
      </c>
      <c r="E681" s="180">
        <f>(E623/E612)*SUM(C681:D681)</f>
        <v>13916403.882741403</v>
      </c>
      <c r="F681" s="180">
        <f>(F624/F612)*P64</f>
        <v>362025.63692315342</v>
      </c>
      <c r="G681" s="180">
        <f>(G625/G612)*P77</f>
        <v>1036549.2404391069</v>
      </c>
      <c r="H681" s="180">
        <f>(H628/H612)*P60</f>
        <v>90077.923048119745</v>
      </c>
      <c r="I681" s="180">
        <f>(I629/I612)*P78</f>
        <v>345946.31005181698</v>
      </c>
      <c r="J681" s="180">
        <f>(J630/J612)*P79</f>
        <v>564308.44725664845</v>
      </c>
      <c r="K681" s="180">
        <f>(K644/K612)*P75</f>
        <v>6882843.8961547054</v>
      </c>
      <c r="L681" s="180">
        <f>(L647/L612)*P80</f>
        <v>768505.07266907033</v>
      </c>
      <c r="M681" s="180">
        <f t="shared" si="20"/>
        <v>24586555</v>
      </c>
      <c r="N681" s="198" t="s">
        <v>685</v>
      </c>
    </row>
    <row r="682" spans="1:14" ht="12.6" customHeight="1">
      <c r="A682" s="196">
        <v>7030</v>
      </c>
      <c r="B682" s="198" t="s">
        <v>686</v>
      </c>
      <c r="C682" s="180">
        <f>Q71</f>
        <v>2306503.2699999996</v>
      </c>
      <c r="D682" s="180">
        <f>(D615/D612)*Q76</f>
        <v>173948.76467089917</v>
      </c>
      <c r="E682" s="180">
        <f>(E623/E612)*SUM(C682:D682)</f>
        <v>761260.9222181635</v>
      </c>
      <c r="F682" s="180">
        <f>(F624/F612)*Q64</f>
        <v>3348.1676787338929</v>
      </c>
      <c r="G682" s="180">
        <f>(G625/G612)*Q77</f>
        <v>0</v>
      </c>
      <c r="H682" s="180">
        <f>(H628/H612)*Q60</f>
        <v>11895.515522146994</v>
      </c>
      <c r="I682" s="180">
        <f>(I629/I612)*Q78</f>
        <v>97076.135423758897</v>
      </c>
      <c r="J682" s="180">
        <f>(J630/J612)*Q79</f>
        <v>0</v>
      </c>
      <c r="K682" s="180">
        <f>(K644/K612)*Q75</f>
        <v>399008.7125635125</v>
      </c>
      <c r="L682" s="180">
        <f>(L647/L612)*Q80</f>
        <v>0</v>
      </c>
      <c r="M682" s="180">
        <f t="shared" si="20"/>
        <v>1446538</v>
      </c>
      <c r="N682" s="198" t="s">
        <v>687</v>
      </c>
    </row>
    <row r="683" spans="1:14" ht="12.6" customHeight="1">
      <c r="A683" s="196">
        <v>7040</v>
      </c>
      <c r="B683" s="198" t="s">
        <v>107</v>
      </c>
      <c r="C683" s="180">
        <f>R71</f>
        <v>3762205.4499999997</v>
      </c>
      <c r="D683" s="180">
        <f>(D615/D612)*R76</f>
        <v>12077.50294251989</v>
      </c>
      <c r="E683" s="180">
        <f>(E623/E612)*SUM(C683:D683)</f>
        <v>1158342.9477000663</v>
      </c>
      <c r="F683" s="180">
        <f>(F624/F612)*R64</f>
        <v>8809.6208907753498</v>
      </c>
      <c r="G683" s="180">
        <f>(G625/G612)*R77</f>
        <v>0</v>
      </c>
      <c r="H683" s="180">
        <f>(H628/H612)*R60</f>
        <v>3551.7309651306946</v>
      </c>
      <c r="I683" s="180">
        <f>(I629/I612)*R78</f>
        <v>6740.130138015581</v>
      </c>
      <c r="J683" s="180">
        <f>(J630/J612)*R79</f>
        <v>0</v>
      </c>
      <c r="K683" s="180">
        <f>(K644/K612)*R75</f>
        <v>452293.92632000858</v>
      </c>
      <c r="L683" s="180">
        <f>(L647/L612)*R80</f>
        <v>314809.30687648669</v>
      </c>
      <c r="M683" s="180">
        <f t="shared" si="20"/>
        <v>1956625</v>
      </c>
      <c r="N683" s="198" t="s">
        <v>688</v>
      </c>
    </row>
    <row r="684" spans="1:14" ht="12.6" customHeight="1">
      <c r="A684" s="196">
        <v>7050</v>
      </c>
      <c r="B684" s="198" t="s">
        <v>689</v>
      </c>
      <c r="C684" s="180">
        <f>S71</f>
        <v>1654756.56</v>
      </c>
      <c r="D684" s="180">
        <f>(D615/D612)*S76</f>
        <v>271015.0013739593</v>
      </c>
      <c r="E684" s="180">
        <f>(E623/E612)*SUM(C684:D684)</f>
        <v>591027.20564703876</v>
      </c>
      <c r="F684" s="180">
        <f>(F624/F612)*S64</f>
        <v>6917.6144124065022</v>
      </c>
      <c r="G684" s="180">
        <f>(G625/G612)*S77</f>
        <v>0</v>
      </c>
      <c r="H684" s="180">
        <f>(H628/H612)*S60</f>
        <v>12435.361580070148</v>
      </c>
      <c r="I684" s="180">
        <f>(I629/I612)*S78</f>
        <v>151246.19611426347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1032641</v>
      </c>
      <c r="N684" s="198" t="s">
        <v>690</v>
      </c>
    </row>
    <row r="685" spans="1:14" ht="12.6" customHeight="1">
      <c r="A685" s="196">
        <v>7060</v>
      </c>
      <c r="B685" s="198" t="s">
        <v>691</v>
      </c>
      <c r="C685" s="180">
        <f>T71</f>
        <v>634091.32000000007</v>
      </c>
      <c r="D685" s="180">
        <f>(D615/D612)*T76</f>
        <v>24333.491150200174</v>
      </c>
      <c r="E685" s="180">
        <f>(E623/E612)*SUM(C685:D685)</f>
        <v>202073.28016888024</v>
      </c>
      <c r="F685" s="180">
        <f>(F624/F612)*T64</f>
        <v>3628.8728515062699</v>
      </c>
      <c r="G685" s="180">
        <f>(G625/G612)*T77</f>
        <v>0</v>
      </c>
      <c r="H685" s="180">
        <f>(H628/H612)*T60</f>
        <v>1972.240662544596</v>
      </c>
      <c r="I685" s="180">
        <f>(I629/I612)*T78</f>
        <v>13579.868110583117</v>
      </c>
      <c r="J685" s="180">
        <f>(J630/J612)*T79</f>
        <v>0</v>
      </c>
      <c r="K685" s="180">
        <f>(K644/K612)*T75</f>
        <v>96552.264254234906</v>
      </c>
      <c r="L685" s="180">
        <f>(L647/L612)*T80</f>
        <v>74072.778088585095</v>
      </c>
      <c r="M685" s="180">
        <f t="shared" si="20"/>
        <v>416213</v>
      </c>
      <c r="N685" s="198" t="s">
        <v>692</v>
      </c>
    </row>
    <row r="686" spans="1:14" ht="12.6" customHeight="1">
      <c r="A686" s="196">
        <v>7070</v>
      </c>
      <c r="B686" s="198" t="s">
        <v>109</v>
      </c>
      <c r="C686" s="180">
        <f>U71</f>
        <v>8752404.2299999986</v>
      </c>
      <c r="D686" s="180">
        <f>(D615/D612)*U76</f>
        <v>265481.95815398713</v>
      </c>
      <c r="E686" s="180">
        <f>(E623/E612)*SUM(C686:D686)</f>
        <v>2767626.3278210787</v>
      </c>
      <c r="F686" s="180">
        <f>(F624/F612)*U64</f>
        <v>51870.44437471369</v>
      </c>
      <c r="G686" s="180">
        <f>(G625/G612)*U77</f>
        <v>0</v>
      </c>
      <c r="H686" s="180">
        <f>(H628/H612)*U60</f>
        <v>36723.377271731362</v>
      </c>
      <c r="I686" s="180">
        <f>(I629/I612)*U78</f>
        <v>148158.35324315281</v>
      </c>
      <c r="J686" s="180">
        <f>(J630/J612)*U79</f>
        <v>0</v>
      </c>
      <c r="K686" s="180">
        <f>(K644/K612)*U75</f>
        <v>1630382.3370306958</v>
      </c>
      <c r="L686" s="180">
        <f>(L647/L612)*U80</f>
        <v>0</v>
      </c>
      <c r="M686" s="180">
        <f t="shared" si="20"/>
        <v>4900243</v>
      </c>
      <c r="N686" s="198" t="s">
        <v>693</v>
      </c>
    </row>
    <row r="687" spans="1:14" ht="12.6" customHeight="1">
      <c r="A687" s="196">
        <v>7110</v>
      </c>
      <c r="B687" s="198" t="s">
        <v>694</v>
      </c>
      <c r="C687" s="180">
        <f>V71</f>
        <v>207284.37999999998</v>
      </c>
      <c r="D687" s="180">
        <f>(D615/D612)*V76</f>
        <v>158197.44002049454</v>
      </c>
      <c r="E687" s="180">
        <f>(E623/E612)*SUM(C687:D687)</f>
        <v>112167.87241753261</v>
      </c>
      <c r="F687" s="180">
        <f>(F624/F612)*V64</f>
        <v>43.789648576780557</v>
      </c>
      <c r="G687" s="180">
        <f>(G625/G612)*V77</f>
        <v>0</v>
      </c>
      <c r="H687" s="180">
        <f>(H628/H612)*V60</f>
        <v>2503.7211008277177</v>
      </c>
      <c r="I687" s="180">
        <f>(I629/I612)*V78</f>
        <v>88285.744024548912</v>
      </c>
      <c r="J687" s="180">
        <f>(J630/J612)*V79</f>
        <v>0</v>
      </c>
      <c r="K687" s="180">
        <f>(K644/K612)*V75</f>
        <v>35780.449421252997</v>
      </c>
      <c r="L687" s="180">
        <f>(L647/L612)*V80</f>
        <v>74072.778088585095</v>
      </c>
      <c r="M687" s="180">
        <f t="shared" si="20"/>
        <v>471052</v>
      </c>
      <c r="N687" s="198" t="s">
        <v>695</v>
      </c>
    </row>
    <row r="688" spans="1:14" ht="12.6" customHeight="1">
      <c r="A688" s="196">
        <v>7120</v>
      </c>
      <c r="B688" s="198" t="s">
        <v>696</v>
      </c>
      <c r="C688" s="180">
        <f>W71</f>
        <v>1062606.06</v>
      </c>
      <c r="D688" s="180">
        <f>(D615/D612)*W76</f>
        <v>76094.218046713984</v>
      </c>
      <c r="E688" s="180">
        <f>(E623/E612)*SUM(C688:D688)</f>
        <v>349471.7945275376</v>
      </c>
      <c r="F688" s="180">
        <f>(F624/F612)*W64</f>
        <v>338.6768277174769</v>
      </c>
      <c r="G688" s="180">
        <f>(G625/G612)*W77</f>
        <v>0</v>
      </c>
      <c r="H688" s="180">
        <f>(H628/H612)*W60</f>
        <v>4328.6537890154013</v>
      </c>
      <c r="I688" s="180">
        <f>(I629/I612)*W78</f>
        <v>42466.140130649896</v>
      </c>
      <c r="J688" s="180">
        <f>(J630/J612)*W79</f>
        <v>0</v>
      </c>
      <c r="K688" s="180">
        <f>(K644/K612)*W75</f>
        <v>359601.15131309745</v>
      </c>
      <c r="L688" s="180">
        <f>(L647/L612)*W80</f>
        <v>9259.0972610731369</v>
      </c>
      <c r="M688" s="180">
        <f t="shared" si="20"/>
        <v>841560</v>
      </c>
      <c r="N688" s="198" t="s">
        <v>697</v>
      </c>
    </row>
    <row r="689" spans="1:14" ht="12.6" customHeight="1">
      <c r="A689" s="196">
        <v>7130</v>
      </c>
      <c r="B689" s="198" t="s">
        <v>698</v>
      </c>
      <c r="C689" s="180">
        <f>X71</f>
        <v>1832651.52</v>
      </c>
      <c r="D689" s="180">
        <f>(D615/D612)*X76</f>
        <v>89272.380124389631</v>
      </c>
      <c r="E689" s="180">
        <f>(E623/E612)*SUM(C689:D689)</f>
        <v>589846.3425985747</v>
      </c>
      <c r="F689" s="180">
        <f>(F624/F612)*X64</f>
        <v>3617.2878360938184</v>
      </c>
      <c r="G689" s="180">
        <f>(G625/G612)*X77</f>
        <v>0</v>
      </c>
      <c r="H689" s="180">
        <f>(H628/H612)*X60</f>
        <v>9079.9911022345368</v>
      </c>
      <c r="I689" s="180">
        <f>(I629/I612)*X78</f>
        <v>49820.518581735858</v>
      </c>
      <c r="J689" s="180">
        <f>(J630/J612)*X79</f>
        <v>0</v>
      </c>
      <c r="K689" s="180">
        <f>(K644/K612)*X75</f>
        <v>1498441.6688562254</v>
      </c>
      <c r="L689" s="180">
        <f>(L647/L612)*X80</f>
        <v>46295.486305365681</v>
      </c>
      <c r="M689" s="180">
        <f t="shared" si="20"/>
        <v>2286374</v>
      </c>
      <c r="N689" s="198" t="s">
        <v>699</v>
      </c>
    </row>
    <row r="690" spans="1:14" ht="12.6" customHeight="1">
      <c r="A690" s="196">
        <v>7140</v>
      </c>
      <c r="B690" s="198" t="s">
        <v>1250</v>
      </c>
      <c r="C690" s="180">
        <f>Y71</f>
        <v>19566329.789999999</v>
      </c>
      <c r="D690" s="180">
        <f>(D615/D612)*Y76</f>
        <v>376856.763614072</v>
      </c>
      <c r="E690" s="180">
        <f>(E623/E612)*SUM(C690:D690)</f>
        <v>6120645.9046838377</v>
      </c>
      <c r="F690" s="180">
        <f>(F624/F612)*Y64</f>
        <v>157518.35042120525</v>
      </c>
      <c r="G690" s="180">
        <f>(G625/G612)*Y77</f>
        <v>0</v>
      </c>
      <c r="H690" s="180">
        <f>(H628/H612)*Y60</f>
        <v>40231.096849652313</v>
      </c>
      <c r="I690" s="180">
        <f>(I629/I612)*Y78</f>
        <v>210313.6420035724</v>
      </c>
      <c r="J690" s="180">
        <f>(J630/J612)*Y79</f>
        <v>12284.265518512075</v>
      </c>
      <c r="K690" s="180">
        <f>(K644/K612)*Y75</f>
        <v>3439384.0143184536</v>
      </c>
      <c r="L690" s="180">
        <f>(L647/L612)*Y80</f>
        <v>0</v>
      </c>
      <c r="M690" s="180">
        <f t="shared" si="20"/>
        <v>10357234</v>
      </c>
      <c r="N690" s="198" t="s">
        <v>700</v>
      </c>
    </row>
    <row r="691" spans="1:14" ht="12.6" customHeight="1">
      <c r="A691" s="196">
        <v>7150</v>
      </c>
      <c r="B691" s="198" t="s">
        <v>701</v>
      </c>
      <c r="C691" s="180">
        <f>Z71</f>
        <v>4122214.7300000004</v>
      </c>
      <c r="D691" s="180">
        <f>(D615/D612)*Z76</f>
        <v>0</v>
      </c>
      <c r="E691" s="180">
        <f>(E623/E612)*SUM(C691:D691)</f>
        <v>1265124.6398148765</v>
      </c>
      <c r="F691" s="180">
        <f>(F624/F612)*Z64</f>
        <v>-980.35661967917258</v>
      </c>
      <c r="G691" s="180">
        <f>(G625/G612)*Z77</f>
        <v>0</v>
      </c>
      <c r="H691" s="180">
        <f>(H628/H612)*Z60</f>
        <v>1888.9967384761555</v>
      </c>
      <c r="I691" s="180">
        <f>(I629/I612)*Z78</f>
        <v>0</v>
      </c>
      <c r="J691" s="180">
        <f>(J630/J612)*Z79</f>
        <v>0</v>
      </c>
      <c r="K691" s="180">
        <f>(K644/K612)*Z75</f>
        <v>593639.68787068874</v>
      </c>
      <c r="L691" s="180">
        <f>(L647/L612)*Z80</f>
        <v>18518.194522146274</v>
      </c>
      <c r="M691" s="180">
        <f t="shared" si="20"/>
        <v>1878191</v>
      </c>
      <c r="N691" s="198" t="s">
        <v>702</v>
      </c>
    </row>
    <row r="692" spans="1:14" ht="12.6" customHeight="1">
      <c r="A692" s="196">
        <v>7160</v>
      </c>
      <c r="B692" s="198" t="s">
        <v>703</v>
      </c>
      <c r="C692" s="180">
        <f>AA71</f>
        <v>1123409.45</v>
      </c>
      <c r="D692" s="180">
        <f>(D615/D612)*AA76</f>
        <v>32796.667473222114</v>
      </c>
      <c r="E692" s="180">
        <f>(E623/E612)*SUM(C692:D692)</f>
        <v>354844.4085832634</v>
      </c>
      <c r="F692" s="180">
        <f>(F624/F612)*AA64</f>
        <v>8601.6659871980592</v>
      </c>
      <c r="G692" s="180">
        <f>(G625/G612)*AA77</f>
        <v>0</v>
      </c>
      <c r="H692" s="180">
        <f>(H628/H612)*AA60</f>
        <v>2484.5109645042312</v>
      </c>
      <c r="I692" s="180">
        <f>(I629/I612)*AA78</f>
        <v>18302.939598921625</v>
      </c>
      <c r="J692" s="180">
        <f>(J630/J612)*AA79</f>
        <v>0</v>
      </c>
      <c r="K692" s="180">
        <f>(K644/K612)*AA75</f>
        <v>269293.09094595845</v>
      </c>
      <c r="L692" s="180">
        <f>(L647/L612)*AA80</f>
        <v>9259.0972610731369</v>
      </c>
      <c r="M692" s="180">
        <f t="shared" si="20"/>
        <v>695582</v>
      </c>
      <c r="N692" s="198" t="s">
        <v>704</v>
      </c>
    </row>
    <row r="693" spans="1:14" ht="12.6" customHeight="1">
      <c r="A693" s="196">
        <v>7170</v>
      </c>
      <c r="B693" s="198" t="s">
        <v>115</v>
      </c>
      <c r="C693" s="180">
        <f>AB71</f>
        <v>13340636.620000003</v>
      </c>
      <c r="D693" s="180">
        <f>(D615/D612)*AB76</f>
        <v>192005.52399629221</v>
      </c>
      <c r="E693" s="180">
        <f>(E623/E612)*SUM(C693:D693)</f>
        <v>4153223.4828938493</v>
      </c>
      <c r="F693" s="180">
        <f>(F624/F612)*AB64</f>
        <v>125623.75197449817</v>
      </c>
      <c r="G693" s="180">
        <f>(G625/G612)*AB77</f>
        <v>0</v>
      </c>
      <c r="H693" s="180">
        <f>(H628/H612)*AB60</f>
        <v>24019.0737831324</v>
      </c>
      <c r="I693" s="180">
        <f>(I629/I612)*AB78</f>
        <v>107153.12801926496</v>
      </c>
      <c r="J693" s="180">
        <f>(J630/J612)*AB79</f>
        <v>0</v>
      </c>
      <c r="K693" s="180">
        <f>(K644/K612)*AB75</f>
        <v>2329852.9540240839</v>
      </c>
      <c r="L693" s="180">
        <f>(L647/L612)*AB80</f>
        <v>0</v>
      </c>
      <c r="M693" s="180">
        <f t="shared" si="20"/>
        <v>6931878</v>
      </c>
      <c r="N693" s="198" t="s">
        <v>705</v>
      </c>
    </row>
    <row r="694" spans="1:14" ht="12.6" customHeight="1">
      <c r="A694" s="196">
        <v>7180</v>
      </c>
      <c r="B694" s="198" t="s">
        <v>706</v>
      </c>
      <c r="C694" s="180">
        <f>AC71</f>
        <v>3828820.5300000003</v>
      </c>
      <c r="D694" s="180">
        <f>(D615/D612)*AC76</f>
        <v>95504.490632906673</v>
      </c>
      <c r="E694" s="180">
        <f>(E623/E612)*SUM(C694:D694)</f>
        <v>1204391.4748334116</v>
      </c>
      <c r="F694" s="180">
        <f>(F624/F612)*AC64</f>
        <v>8945.0469070948129</v>
      </c>
      <c r="G694" s="180">
        <f>(G625/G612)*AC77</f>
        <v>0</v>
      </c>
      <c r="H694" s="180">
        <f>(H628/H612)*AC60</f>
        <v>21464.125652108723</v>
      </c>
      <c r="I694" s="180">
        <f>(I629/I612)*AC78</f>
        <v>53298.49213817493</v>
      </c>
      <c r="J694" s="180">
        <f>(J630/J612)*AC79</f>
        <v>14587.565303233088</v>
      </c>
      <c r="K694" s="180">
        <f>(K644/K612)*AC75</f>
        <v>592879.9426862793</v>
      </c>
      <c r="L694" s="180">
        <f>(L647/L612)*AC80</f>
        <v>212959.2370046821</v>
      </c>
      <c r="M694" s="180">
        <f t="shared" si="20"/>
        <v>2204030</v>
      </c>
      <c r="N694" s="198" t="s">
        <v>707</v>
      </c>
    </row>
    <row r="695" spans="1:14" ht="12.6" customHeight="1">
      <c r="A695" s="196">
        <v>7190</v>
      </c>
      <c r="B695" s="198" t="s">
        <v>117</v>
      </c>
      <c r="C695" s="180">
        <f>AD71</f>
        <v>967247.22999999986</v>
      </c>
      <c r="D695" s="180">
        <f>(D615/D612)*AD76</f>
        <v>0</v>
      </c>
      <c r="E695" s="180">
        <f>(E623/E612)*SUM(C695:D695)</f>
        <v>296852.14953993598</v>
      </c>
      <c r="F695" s="180">
        <f>(F624/F612)*AD64</f>
        <v>163.49836931326124</v>
      </c>
      <c r="G695" s="180">
        <f>(G625/G612)*AD77</f>
        <v>0</v>
      </c>
      <c r="H695" s="180">
        <f>(H628/H612)*AD60</f>
        <v>198.50474200935869</v>
      </c>
      <c r="I695" s="180">
        <f>(I629/I612)*AD78</f>
        <v>0</v>
      </c>
      <c r="J695" s="180">
        <f>(J630/J612)*AD79</f>
        <v>0</v>
      </c>
      <c r="K695" s="180">
        <f>(K644/K612)*AD75</f>
        <v>153628.59396691871</v>
      </c>
      <c r="L695" s="180">
        <f>(L647/L612)*AD80</f>
        <v>0</v>
      </c>
      <c r="M695" s="180">
        <f t="shared" si="20"/>
        <v>450843</v>
      </c>
      <c r="N695" s="198" t="s">
        <v>708</v>
      </c>
    </row>
    <row r="696" spans="1:14" ht="12.6" customHeight="1">
      <c r="A696" s="196">
        <v>7200</v>
      </c>
      <c r="B696" s="198" t="s">
        <v>709</v>
      </c>
      <c r="C696" s="180">
        <f>AE71</f>
        <v>838249.70000000007</v>
      </c>
      <c r="D696" s="180">
        <f>(D615/D612)*AE76</f>
        <v>38389.205781581084</v>
      </c>
      <c r="E696" s="180">
        <f>(E623/E612)*SUM(C696:D696)</f>
        <v>269044.08250577241</v>
      </c>
      <c r="F696" s="180">
        <f>(F624/F612)*AE64</f>
        <v>71.005242513870385</v>
      </c>
      <c r="G696" s="180">
        <f>(G625/G612)*AE77</f>
        <v>0</v>
      </c>
      <c r="H696" s="180">
        <f>(H628/H612)*AE60</f>
        <v>6012.7726692512206</v>
      </c>
      <c r="I696" s="180">
        <f>(I629/I612)*AE78</f>
        <v>21423.985081549527</v>
      </c>
      <c r="J696" s="180">
        <f>(J630/J612)*AE79</f>
        <v>0</v>
      </c>
      <c r="K696" s="180">
        <f>(K644/K612)*AE75</f>
        <v>93636.308879999138</v>
      </c>
      <c r="L696" s="180">
        <f>(L647/L612)*AE80</f>
        <v>0</v>
      </c>
      <c r="M696" s="180">
        <f t="shared" si="20"/>
        <v>428577</v>
      </c>
      <c r="N696" s="198" t="s">
        <v>710</v>
      </c>
    </row>
    <row r="697" spans="1:14" ht="12.6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>
      <c r="A698" s="196">
        <v>7230</v>
      </c>
      <c r="B698" s="198" t="s">
        <v>713</v>
      </c>
      <c r="C698" s="180">
        <f>AG71</f>
        <v>14005204.609999999</v>
      </c>
      <c r="D698" s="180">
        <f>(D615/D612)*AG76</f>
        <v>319384.50823242561</v>
      </c>
      <c r="E698" s="180">
        <f>(E623/E612)*SUM(C698:D698)</f>
        <v>4396275.2635886818</v>
      </c>
      <c r="F698" s="180">
        <f>(F624/F612)*AG64</f>
        <v>11035.699151180319</v>
      </c>
      <c r="G698" s="180">
        <f>(G625/G612)*AG77</f>
        <v>228024.05271283889</v>
      </c>
      <c r="H698" s="180">
        <f>(H628/H612)*AG60</f>
        <v>44490.675725194335</v>
      </c>
      <c r="I698" s="180">
        <f>(I629/I612)*AG78</f>
        <v>178239.91927784309</v>
      </c>
      <c r="J698" s="180">
        <f>(J630/J612)*AG79</f>
        <v>130520.32113419082</v>
      </c>
      <c r="K698" s="180">
        <f>(K644/K612)*AG75</f>
        <v>1962884.3565601569</v>
      </c>
      <c r="L698" s="180">
        <f>(L647/L612)*AG80</f>
        <v>955538.83734274772</v>
      </c>
      <c r="M698" s="180">
        <f t="shared" si="20"/>
        <v>8226394</v>
      </c>
      <c r="N698" s="198" t="s">
        <v>714</v>
      </c>
    </row>
    <row r="699" spans="1:14" ht="12.6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>
      <c r="A700" s="196">
        <v>7250</v>
      </c>
      <c r="B700" s="198" t="s">
        <v>716</v>
      </c>
      <c r="C700" s="180">
        <f>AI71</f>
        <v>938134.05000000016</v>
      </c>
      <c r="D700" s="180">
        <f>(D615/D612)*AI76</f>
        <v>0</v>
      </c>
      <c r="E700" s="180">
        <f>(E623/E612)*SUM(C700:D700)</f>
        <v>287917.1949648342</v>
      </c>
      <c r="F700" s="180">
        <f>(F624/F612)*AI64</f>
        <v>1335.7412079588453</v>
      </c>
      <c r="G700" s="180">
        <f>(G625/G612)*AI77</f>
        <v>57611.964258599524</v>
      </c>
      <c r="H700" s="180">
        <f>(H628/H612)*AI60</f>
        <v>5736.8225696650461</v>
      </c>
      <c r="I700" s="180">
        <f>(I629/I612)*AI78</f>
        <v>0</v>
      </c>
      <c r="J700" s="180">
        <f>(J630/J612)*AI79</f>
        <v>12092.323869785325</v>
      </c>
      <c r="K700" s="180">
        <f>(K644/K612)*AI75</f>
        <v>82474.063589993093</v>
      </c>
      <c r="L700" s="180">
        <f>(L647/L612)*AI80</f>
        <v>425918.4740093642</v>
      </c>
      <c r="M700" s="180">
        <f t="shared" si="20"/>
        <v>873087</v>
      </c>
      <c r="N700" s="198" t="s">
        <v>717</v>
      </c>
    </row>
    <row r="701" spans="1:14" ht="12.6" customHeight="1">
      <c r="A701" s="196">
        <v>7260</v>
      </c>
      <c r="B701" s="198" t="s">
        <v>121</v>
      </c>
      <c r="C701" s="180">
        <f>AJ71</f>
        <v>6686163.7699999996</v>
      </c>
      <c r="D701" s="180">
        <f>(D615/D612)*AJ76</f>
        <v>0</v>
      </c>
      <c r="E701" s="180">
        <f>(E623/E612)*SUM(C701:D701)</f>
        <v>2052011.1360779416</v>
      </c>
      <c r="F701" s="180">
        <f>(F624/F612)*AJ64</f>
        <v>50303.932361256004</v>
      </c>
      <c r="G701" s="180">
        <f>(G625/G612)*AJ77</f>
        <v>0</v>
      </c>
      <c r="H701" s="180">
        <f>(H628/H612)*AJ60</f>
        <v>16704.390263768095</v>
      </c>
      <c r="I701" s="180">
        <f>(I629/I612)*AJ78</f>
        <v>0</v>
      </c>
      <c r="J701" s="180">
        <f>(J630/J612)*AJ79</f>
        <v>0</v>
      </c>
      <c r="K701" s="180">
        <f>(K644/K612)*AJ75</f>
        <v>802496.95637569553</v>
      </c>
      <c r="L701" s="180">
        <f>(L647/L612)*AJ80</f>
        <v>0</v>
      </c>
      <c r="M701" s="180">
        <f t="shared" si="20"/>
        <v>2921516</v>
      </c>
      <c r="N701" s="198" t="s">
        <v>718</v>
      </c>
    </row>
    <row r="702" spans="1:14" ht="12.6" customHeight="1">
      <c r="A702" s="196">
        <v>7310</v>
      </c>
      <c r="B702" s="198" t="s">
        <v>719</v>
      </c>
      <c r="C702" s="180">
        <f>AK71</f>
        <v>377741.21</v>
      </c>
      <c r="D702" s="180">
        <f>(D615/D612)*AK76</f>
        <v>0</v>
      </c>
      <c r="E702" s="180">
        <f>(E623/E612)*SUM(C702:D702)</f>
        <v>115930.32957904297</v>
      </c>
      <c r="F702" s="180">
        <f>(F624/F612)*AK64</f>
        <v>15.055067684019795</v>
      </c>
      <c r="G702" s="180">
        <f>(G625/G612)*AK77</f>
        <v>0</v>
      </c>
      <c r="H702" s="180">
        <f>(H628/H612)*AK60</f>
        <v>2356.4433890143227</v>
      </c>
      <c r="I702" s="180">
        <f>(I629/I612)*AK78</f>
        <v>0</v>
      </c>
      <c r="J702" s="180">
        <f>(J630/J612)*AK79</f>
        <v>0</v>
      </c>
      <c r="K702" s="180">
        <f>(K644/K612)*AK75</f>
        <v>59686.539905237405</v>
      </c>
      <c r="L702" s="180">
        <f>(L647/L612)*AK80</f>
        <v>0</v>
      </c>
      <c r="M702" s="180">
        <f t="shared" si="20"/>
        <v>177988</v>
      </c>
      <c r="N702" s="198" t="s">
        <v>720</v>
      </c>
    </row>
    <row r="703" spans="1:14" ht="12.6" customHeight="1">
      <c r="A703" s="196">
        <v>7320</v>
      </c>
      <c r="B703" s="198" t="s">
        <v>721</v>
      </c>
      <c r="C703" s="180">
        <f>AL71</f>
        <v>202609.41</v>
      </c>
      <c r="D703" s="180">
        <f>(D615/D612)*AL76</f>
        <v>0</v>
      </c>
      <c r="E703" s="180">
        <f>(E623/E612)*SUM(C703:D703)</f>
        <v>62181.660500095932</v>
      </c>
      <c r="F703" s="180">
        <f>(F624/F612)*AL64</f>
        <v>33.716496443800501</v>
      </c>
      <c r="G703" s="180">
        <f>(G625/G612)*AL77</f>
        <v>49827.823456669008</v>
      </c>
      <c r="H703" s="180">
        <f>(H628/H612)*AL60</f>
        <v>1274.2723761245929</v>
      </c>
      <c r="I703" s="180">
        <f>(I629/I612)*AL78</f>
        <v>0</v>
      </c>
      <c r="J703" s="180">
        <f>(J630/J612)*AL79</f>
        <v>0</v>
      </c>
      <c r="K703" s="180">
        <f>(K644/K612)*AL75</f>
        <v>33669.690515885348</v>
      </c>
      <c r="L703" s="180">
        <f>(L647/L612)*AL80</f>
        <v>0</v>
      </c>
      <c r="M703" s="180">
        <f t="shared" si="20"/>
        <v>146987</v>
      </c>
      <c r="N703" s="198" t="s">
        <v>722</v>
      </c>
    </row>
    <row r="704" spans="1:14" ht="12.6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>
      <c r="A705" s="196">
        <v>7340</v>
      </c>
      <c r="B705" s="198" t="s">
        <v>725</v>
      </c>
      <c r="C705" s="180">
        <f>AN71</f>
        <v>404263.67</v>
      </c>
      <c r="D705" s="180">
        <f>(D615/D612)*AN76</f>
        <v>0</v>
      </c>
      <c r="E705" s="180">
        <f>(E623/E612)*SUM(C705:D705)</f>
        <v>124070.18154024937</v>
      </c>
      <c r="F705" s="180">
        <f>(F624/F612)*AN64</f>
        <v>459.95563408697927</v>
      </c>
      <c r="G705" s="180">
        <f>(G625/G612)*AN77</f>
        <v>0</v>
      </c>
      <c r="H705" s="180">
        <f>(H628/H612)*AN60</f>
        <v>2040.4002437232298</v>
      </c>
      <c r="I705" s="180">
        <f>(I629/I612)*AN78</f>
        <v>0</v>
      </c>
      <c r="J705" s="180">
        <f>(J630/J612)*AN79</f>
        <v>0</v>
      </c>
      <c r="K705" s="180">
        <f>(K644/K612)*AN75</f>
        <v>52881.705059066044</v>
      </c>
      <c r="L705" s="180">
        <f>(L647/L612)*AN80</f>
        <v>222218.33426575526</v>
      </c>
      <c r="M705" s="180">
        <f t="shared" si="20"/>
        <v>401671</v>
      </c>
      <c r="N705" s="198" t="s">
        <v>726</v>
      </c>
    </row>
    <row r="706" spans="1:15" ht="12.6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>
      <c r="A713" s="196">
        <v>7490</v>
      </c>
      <c r="B713" s="198" t="s">
        <v>740</v>
      </c>
      <c r="C713" s="180">
        <f>AV71</f>
        <v>3686494.5500000003</v>
      </c>
      <c r="D713" s="180">
        <f>(D615/D612)*AV76</f>
        <v>2819249.1320688827</v>
      </c>
      <c r="E713" s="180">
        <f>(E623/E612)*SUM(C713:D713)</f>
        <v>1996639.4697020799</v>
      </c>
      <c r="F713" s="180">
        <f>(F624/F612)*AV64</f>
        <v>10816.181699169359</v>
      </c>
      <c r="G713" s="180">
        <f>(G625/G612)*AV77</f>
        <v>48709.144539026296</v>
      </c>
      <c r="H713" s="180">
        <f>(H628/H612)*AV60</f>
        <v>14700.576557989358</v>
      </c>
      <c r="I713" s="180">
        <f>(I629/I612)*AV78</f>
        <v>1573347.2500125165</v>
      </c>
      <c r="J713" s="180">
        <f>(J630/J612)*AV79</f>
        <v>32054.613103374126</v>
      </c>
      <c r="K713" s="180">
        <f>(K644/K612)*AV75</f>
        <v>468332.55237206811</v>
      </c>
      <c r="L713" s="180">
        <f>(L647/L612)*AV80</f>
        <v>118595.32330339492</v>
      </c>
      <c r="M713" s="180">
        <f t="shared" si="20"/>
        <v>7082444</v>
      </c>
      <c r="N713" s="199" t="s">
        <v>741</v>
      </c>
    </row>
    <row r="715" spans="1:15" ht="12.6" customHeight="1">
      <c r="C715" s="180">
        <f>SUM(C614:C647)+SUM(C668:C713)</f>
        <v>291155174.38</v>
      </c>
      <c r="D715" s="180">
        <f>SUM(D616:D647)+SUM(D668:D713)</f>
        <v>9202417.6699999999</v>
      </c>
      <c r="E715" s="180">
        <f>SUM(E624:E647)+SUM(E668:E713)</f>
        <v>68372820.019762799</v>
      </c>
      <c r="F715" s="180">
        <f>SUM(F625:F648)+SUM(F668:F713)</f>
        <v>900279.07468750677</v>
      </c>
      <c r="G715" s="180">
        <f>SUM(G626:G647)+SUM(G668:G713)</f>
        <v>6793504.0087363319</v>
      </c>
      <c r="H715" s="180">
        <f>SUM(H629:H647)+SUM(H668:H713)</f>
        <v>759616.21558363945</v>
      </c>
      <c r="I715" s="180">
        <f>SUM(I630:I647)+SUM(I668:I713)</f>
        <v>4525557.2102062777</v>
      </c>
      <c r="J715" s="180">
        <f>SUM(J631:J647)+SUM(J668:J713)</f>
        <v>1919416.8450335183</v>
      </c>
      <c r="K715" s="180">
        <f>SUM(K668:K713)</f>
        <v>25051364.247864485</v>
      </c>
      <c r="L715" s="180">
        <f>SUM(L668:L713)</f>
        <v>9259176.1394347958</v>
      </c>
      <c r="M715" s="180">
        <f>SUM(M668:M713)</f>
        <v>113316629</v>
      </c>
      <c r="N715" s="198" t="s">
        <v>742</v>
      </c>
    </row>
    <row r="716" spans="1:15" ht="12.6" customHeight="1">
      <c r="C716" s="180">
        <f>CE71</f>
        <v>291155174.38</v>
      </c>
      <c r="D716" s="180">
        <f>D615</f>
        <v>9202417.6699999981</v>
      </c>
      <c r="E716" s="180">
        <f>E623</f>
        <v>68372820.019762829</v>
      </c>
      <c r="F716" s="180">
        <f>F624</f>
        <v>900279.07468750712</v>
      </c>
      <c r="G716" s="180">
        <f>G625</f>
        <v>6793504.008736331</v>
      </c>
      <c r="H716" s="180">
        <f>H628</f>
        <v>759616.2155836391</v>
      </c>
      <c r="I716" s="180">
        <f>I629</f>
        <v>4525557.2102062786</v>
      </c>
      <c r="J716" s="180">
        <f>J630</f>
        <v>1919416.8450335185</v>
      </c>
      <c r="K716" s="180">
        <f>K644</f>
        <v>25051364.247864481</v>
      </c>
      <c r="L716" s="180">
        <f>L647</f>
        <v>9259176.1394347977</v>
      </c>
      <c r="M716" s="180">
        <f>C648</f>
        <v>113316628.76999997</v>
      </c>
      <c r="N716" s="198" t="s">
        <v>743</v>
      </c>
    </row>
    <row r="717" spans="1:15" ht="12.6" customHeight="1">
      <c r="O717" s="198"/>
    </row>
    <row r="718" spans="1:15" ht="12.6" customHeight="1">
      <c r="O718" s="198"/>
    </row>
    <row r="719" spans="1:15" ht="12.6" customHeight="1">
      <c r="O719" s="198"/>
    </row>
  </sheetData>
  <customSheetViews>
    <customSheetView guid="{D74B16BB-9BDF-4AEC-AA99-B864B9498389}" scale="75" showGridLines="0" fitToPage="1" printArea="1" topLeftCell="A184">
      <selection activeCell="C233" sqref="C233"/>
      <pageMargins left="0.25" right="0.25" top="0.5" bottom="0.5" header="0.5" footer="0.5"/>
      <printOptions horizontalCentered="1"/>
      <pageSetup scale="95" orientation="portrait" r:id="rId1"/>
      <headerFooter alignWithMargins="0"/>
    </customSheetView>
    <customSheetView guid="{78E778D5-69A8-4E35-B0F3-6D26A1845557}" scale="75" showGridLines="0" fitToPage="1" topLeftCell="A145">
      <selection activeCell="C141" sqref="C141"/>
      <pageMargins left="0.25" right="0.25" top="0.5" bottom="0.5" header="0.5" footer="0.5"/>
      <printOptions horizontalCentered="1"/>
      <pageSetup scale="95" orientation="portrait" r:id="rId2"/>
      <headerFooter alignWithMargins="0"/>
    </customSheetView>
    <customSheetView guid="{783D34AB-F88A-4C40-8B8F-D04647EC64BD}" scale="75" showGridLines="0" fitToPage="1">
      <pageMargins left="0.25" right="0.25" top="0.5" bottom="0.5" header="0.5" footer="0.5"/>
      <printOptions horizontalCentered="1"/>
      <pageSetup scale="95" orientation="portrait" r:id="rId3"/>
      <headerFooter alignWithMargins="0"/>
    </customSheetView>
    <customSheetView guid="{D74738EB-3446-4A41-91B2-3626AA7FCC94}" scale="75" showGridLines="0" fitToPage="1" printArea="1" topLeftCell="A46">
      <selection activeCell="CE73" sqref="CE73:CE74"/>
      <pageMargins left="0.25" right="0.25" top="0.5" bottom="0.5" header="0.5" footer="0.5"/>
      <printOptions horizontalCentered="1"/>
      <pageSetup scale="95" orientation="portrait" r:id="rId4"/>
      <headerFooter alignWithMargins="0"/>
    </customSheetView>
    <customSheetView guid="{37DA5E57-E52E-47A3-B98A-9CAA60A4BD45}" scale="75" showGridLines="0" fitToPage="1" printArea="1" topLeftCell="A58">
      <selection activeCell="D110" sqref="D110"/>
      <pageMargins left="0.25" right="0.25" top="0.5" bottom="0.5" header="0.5" footer="0.5"/>
      <printOptions horizontalCentered="1"/>
      <pageSetup scale="95" orientation="portrait" r:id="rId5"/>
      <headerFooter alignWithMargins="0"/>
    </customSheetView>
  </customSheetViews>
  <mergeCells count="1">
    <mergeCell ref="B220:C220"/>
  </mergeCells>
  <phoneticPr fontId="0" type="noConversion"/>
  <hyperlinks>
    <hyperlink ref="F16" r:id="rId6"/>
    <hyperlink ref="C17" r:id="rId7"/>
  </hyperlinks>
  <printOptions horizontalCentered="1" gridLinesSet="0"/>
  <pageMargins left="0.25" right="0.25" top="0.5" bottom="0.5" header="0.5" footer="0.5"/>
  <pageSetup scale="95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/>
  <sheetData/>
  <customSheetViews>
    <customSheetView guid="{D74B16BB-9BDF-4AEC-AA99-B864B9498389}" state="hidden">
      <selection sqref="A1:XFD1048576"/>
      <pageMargins left="0.7" right="0.7" top="0.75" bottom="0.75" header="0.3" footer="0.3"/>
    </customSheetView>
    <customSheetView guid="{37DA5E57-E52E-47A3-B98A-9CAA60A4BD45}" state="hidden">
      <selection sqref="A1:XF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D74B16BB-9BDF-4AEC-AA99-B864B9498389}" state="hidden">
      <pageMargins left="0.7" right="0.7" top="0.75" bottom="0.75" header="0.3" footer="0.3"/>
    </customSheetView>
    <customSheetView guid="{78E778D5-69A8-4E35-B0F3-6D26A1845557}" state="hidden">
      <pageMargins left="0.7" right="0.7" top="0.75" bottom="0.75" header="0.3" footer="0.3"/>
    </customSheetView>
    <customSheetView guid="{D74738EB-3446-4A41-91B2-3626AA7FCC94}" state="hidden">
      <pageMargins left="0.7" right="0.7" top="0.75" bottom="0.75" header="0.3" footer="0.3"/>
    </customSheetView>
    <customSheetView guid="{37DA5E57-E52E-47A3-B98A-9CAA60A4BD4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/>
  <sheetData/>
  <customSheetViews>
    <customSheetView guid="{D74B16BB-9BDF-4AEC-AA99-B864B9498389}" state="hidden" topLeftCell="A19">
      <pageMargins left="0.7" right="0.7" top="0.75" bottom="0.75" header="0.3" footer="0.3"/>
    </customSheetView>
    <customSheetView guid="{78E778D5-69A8-4E35-B0F3-6D26A1845557}" state="hidden" topLeftCell="A19">
      <pageMargins left="0.7" right="0.7" top="0.75" bottom="0.75" header="0.3" footer="0.3"/>
    </customSheetView>
    <customSheetView guid="{D74738EB-3446-4A41-91B2-3626AA7FCC94}" state="hidden" topLeftCell="A19">
      <pageMargins left="0.7" right="0.7" top="0.75" bottom="0.75" header="0.3" footer="0.3"/>
    </customSheetView>
    <customSheetView guid="{37DA5E57-E52E-47A3-B98A-9CAA60A4BD45}" state="hidden" topLeftCell="A19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20" zoomScale="85" zoomScaleNormal="85" workbookViewId="0">
      <selection activeCell="B34" sqref="B34"/>
    </sheetView>
  </sheetViews>
  <sheetFormatPr defaultColWidth="8.6640625" defaultRowHeight="13.8"/>
  <cols>
    <col min="1" max="1" width="21.58203125" style="308" customWidth="1"/>
    <col min="2" max="2" width="12.6640625" style="308" bestFit="1" customWidth="1"/>
    <col min="3" max="3" width="27.08203125" style="308" customWidth="1"/>
    <col min="4" max="4" width="30.58203125" style="308" bestFit="1" customWidth="1"/>
    <col min="5" max="5" width="50.58203125" style="311" customWidth="1"/>
    <col min="6" max="6" width="29.25" style="308" customWidth="1"/>
    <col min="7" max="7" width="14.9140625" style="313" customWidth="1"/>
    <col min="8" max="8" width="23.9140625" style="308" customWidth="1"/>
    <col min="9" max="9" width="26" style="311" customWidth="1"/>
    <col min="10" max="10" width="11.4140625" style="314" bestFit="1" customWidth="1"/>
    <col min="11" max="11" width="15.9140625" style="308" customWidth="1"/>
    <col min="12" max="16384" width="8.6640625" style="308"/>
  </cols>
  <sheetData>
    <row r="1" spans="1:10">
      <c r="A1" s="307" t="s">
        <v>1318</v>
      </c>
      <c r="B1" s="307" t="s">
        <v>1319</v>
      </c>
      <c r="C1" s="307" t="s">
        <v>1332</v>
      </c>
      <c r="D1" s="307" t="s">
        <v>1335</v>
      </c>
      <c r="E1" s="308"/>
      <c r="G1" s="308"/>
      <c r="I1" s="308"/>
      <c r="J1" s="308"/>
    </row>
    <row r="2" spans="1:10">
      <c r="A2" s="309" t="s">
        <v>143</v>
      </c>
      <c r="B2" s="309"/>
      <c r="C2" s="309"/>
      <c r="D2" s="309"/>
      <c r="E2" s="308"/>
      <c r="G2" s="308"/>
      <c r="I2" s="308"/>
      <c r="J2" s="308"/>
    </row>
    <row r="3" spans="1:10">
      <c r="A3" s="309"/>
      <c r="B3" s="309">
        <v>47</v>
      </c>
      <c r="C3" s="310" t="s">
        <v>1320</v>
      </c>
      <c r="D3" s="310" t="s">
        <v>1363</v>
      </c>
      <c r="E3" s="308"/>
      <c r="G3" s="308"/>
      <c r="I3" s="308"/>
      <c r="J3" s="308"/>
    </row>
    <row r="4" spans="1:10">
      <c r="A4" s="309"/>
      <c r="B4" s="309">
        <v>51</v>
      </c>
      <c r="C4" s="309" t="s">
        <v>6</v>
      </c>
      <c r="D4" s="310" t="s">
        <v>1363</v>
      </c>
      <c r="E4" s="308"/>
      <c r="G4" s="308"/>
      <c r="I4" s="308"/>
      <c r="J4" s="308"/>
    </row>
    <row r="5" spans="1:10">
      <c r="A5" s="309"/>
      <c r="B5" s="309">
        <v>59</v>
      </c>
      <c r="C5" s="309" t="s">
        <v>1321</v>
      </c>
      <c r="D5" s="310" t="s">
        <v>1363</v>
      </c>
      <c r="E5" s="308"/>
      <c r="G5" s="308"/>
      <c r="I5" s="308"/>
      <c r="J5" s="308"/>
    </row>
    <row r="6" spans="1:10">
      <c r="A6" s="309"/>
      <c r="B6" s="309">
        <v>60</v>
      </c>
      <c r="C6" s="309" t="s">
        <v>1322</v>
      </c>
      <c r="D6" s="310" t="s">
        <v>1363</v>
      </c>
      <c r="E6" s="308"/>
      <c r="G6" s="308"/>
      <c r="I6" s="308"/>
      <c r="J6" s="308"/>
    </row>
    <row r="7" spans="1:10">
      <c r="A7" s="309"/>
      <c r="B7" s="309" t="s">
        <v>1323</v>
      </c>
      <c r="C7" s="309" t="s">
        <v>1324</v>
      </c>
      <c r="D7" s="310" t="s">
        <v>1363</v>
      </c>
      <c r="E7" s="308"/>
      <c r="G7" s="308"/>
      <c r="I7" s="308"/>
      <c r="J7" s="308"/>
    </row>
    <row r="8" spans="1:10">
      <c r="A8" s="309"/>
      <c r="B8" s="309">
        <v>65</v>
      </c>
      <c r="C8" s="309" t="s">
        <v>1325</v>
      </c>
      <c r="D8" s="309" t="s">
        <v>1364</v>
      </c>
      <c r="E8" s="308"/>
      <c r="G8" s="308"/>
      <c r="I8" s="308"/>
      <c r="J8" s="308"/>
    </row>
    <row r="9" spans="1:10">
      <c r="A9" s="309"/>
      <c r="B9" s="309">
        <v>75</v>
      </c>
      <c r="C9" s="309" t="s">
        <v>247</v>
      </c>
      <c r="D9" s="309" t="s">
        <v>1365</v>
      </c>
      <c r="E9" s="308"/>
      <c r="G9" s="308"/>
      <c r="I9" s="308"/>
      <c r="J9" s="308"/>
    </row>
    <row r="10" spans="1:10">
      <c r="A10" s="309"/>
      <c r="B10" s="309">
        <v>111</v>
      </c>
      <c r="C10" s="309" t="s">
        <v>1326</v>
      </c>
      <c r="D10" s="309" t="s">
        <v>1363</v>
      </c>
      <c r="E10" s="308"/>
      <c r="G10" s="308"/>
      <c r="I10" s="308"/>
      <c r="J10" s="308"/>
    </row>
    <row r="11" spans="1:10">
      <c r="A11" s="309"/>
      <c r="B11" s="324" t="s">
        <v>1327</v>
      </c>
      <c r="C11" s="309" t="s">
        <v>1373</v>
      </c>
      <c r="D11" s="309" t="s">
        <v>1334</v>
      </c>
      <c r="E11" s="308"/>
      <c r="G11" s="308"/>
      <c r="I11" s="308"/>
      <c r="J11" s="308"/>
    </row>
    <row r="12" spans="1:10">
      <c r="A12" s="309"/>
      <c r="B12" s="309">
        <v>231</v>
      </c>
      <c r="C12" s="309" t="s">
        <v>1095</v>
      </c>
      <c r="D12" s="309" t="s">
        <v>1334</v>
      </c>
      <c r="E12" s="308"/>
      <c r="G12" s="308"/>
      <c r="I12" s="308"/>
      <c r="J12" s="308"/>
    </row>
    <row r="13" spans="1:10">
      <c r="A13" s="309"/>
      <c r="B13" s="309">
        <v>254</v>
      </c>
      <c r="C13" s="309" t="s">
        <v>1328</v>
      </c>
      <c r="D13" s="309" t="s">
        <v>1366</v>
      </c>
      <c r="E13" s="308"/>
      <c r="G13" s="308"/>
      <c r="I13" s="308"/>
      <c r="J13" s="308"/>
    </row>
    <row r="14" spans="1:10">
      <c r="A14" s="309"/>
      <c r="B14" s="309">
        <v>307</v>
      </c>
      <c r="C14" s="309" t="s">
        <v>1329</v>
      </c>
      <c r="D14" s="310" t="s">
        <v>1367</v>
      </c>
      <c r="E14" s="308"/>
      <c r="G14" s="308"/>
      <c r="I14" s="308"/>
      <c r="J14" s="308"/>
    </row>
    <row r="15" spans="1:10">
      <c r="A15" s="309"/>
      <c r="B15" s="309">
        <v>309</v>
      </c>
      <c r="C15" s="309" t="s">
        <v>1333</v>
      </c>
      <c r="D15" s="309" t="s">
        <v>1368</v>
      </c>
      <c r="E15" s="308"/>
      <c r="G15" s="308"/>
      <c r="I15" s="308"/>
      <c r="J15" s="308"/>
    </row>
    <row r="16" spans="1:10">
      <c r="A16" s="309"/>
      <c r="B16" s="309">
        <v>327</v>
      </c>
      <c r="C16" s="309" t="s">
        <v>1330</v>
      </c>
      <c r="D16" s="309" t="s">
        <v>1369</v>
      </c>
      <c r="E16" s="308"/>
      <c r="G16" s="308"/>
      <c r="I16" s="308"/>
      <c r="J16" s="308"/>
    </row>
    <row r="17" spans="1:10">
      <c r="A17" s="309"/>
      <c r="B17" s="309">
        <v>382</v>
      </c>
      <c r="C17" s="309" t="s">
        <v>1325</v>
      </c>
      <c r="D17" s="309" t="s">
        <v>1370</v>
      </c>
      <c r="E17" s="308"/>
      <c r="G17" s="308"/>
      <c r="I17" s="308"/>
      <c r="J17" s="308"/>
    </row>
    <row r="18" spans="1:10">
      <c r="A18" s="309"/>
      <c r="B18" s="309">
        <v>386</v>
      </c>
      <c r="C18" s="309" t="s">
        <v>447</v>
      </c>
      <c r="D18" s="309" t="s">
        <v>1371</v>
      </c>
      <c r="E18" s="308"/>
      <c r="G18" s="308"/>
      <c r="I18" s="308"/>
      <c r="J18" s="308"/>
    </row>
    <row r="19" spans="1:10">
      <c r="A19" s="309"/>
      <c r="B19" s="309">
        <v>387</v>
      </c>
      <c r="C19" s="309" t="s">
        <v>1331</v>
      </c>
      <c r="D19" s="309" t="s">
        <v>1371</v>
      </c>
      <c r="E19" s="308"/>
      <c r="G19" s="308"/>
      <c r="I19" s="308"/>
      <c r="J19" s="308"/>
    </row>
    <row r="21" spans="1:10">
      <c r="A21" s="323" t="s">
        <v>1372</v>
      </c>
    </row>
    <row r="22" spans="1:10" ht="17.399999999999999" thickBot="1">
      <c r="A22" s="315" t="s">
        <v>1336</v>
      </c>
      <c r="B22" s="315" t="s">
        <v>1283</v>
      </c>
      <c r="C22" s="315" t="s">
        <v>1284</v>
      </c>
      <c r="D22" s="316" t="s">
        <v>1337</v>
      </c>
      <c r="E22" s="316" t="s">
        <v>1338</v>
      </c>
      <c r="F22" s="311"/>
      <c r="G22" s="314"/>
      <c r="I22" s="308"/>
      <c r="J22" s="308"/>
    </row>
    <row r="23" spans="1:10" ht="28.8">
      <c r="A23" s="317" t="s">
        <v>1293</v>
      </c>
      <c r="B23" s="318">
        <v>6010</v>
      </c>
      <c r="C23" s="317" t="s">
        <v>283</v>
      </c>
      <c r="D23" s="319">
        <v>6030</v>
      </c>
      <c r="E23" s="320" t="s">
        <v>1339</v>
      </c>
      <c r="F23" s="311"/>
      <c r="G23" s="314"/>
      <c r="I23" s="308"/>
      <c r="J23" s="308"/>
    </row>
    <row r="24" spans="1:10" ht="28.8">
      <c r="A24" s="317" t="s">
        <v>1289</v>
      </c>
      <c r="B24" s="318">
        <v>7020</v>
      </c>
      <c r="C24" s="317" t="s">
        <v>684</v>
      </c>
      <c r="D24" s="319">
        <v>6070</v>
      </c>
      <c r="E24" s="320" t="s">
        <v>1340</v>
      </c>
      <c r="F24" s="311"/>
      <c r="G24" s="314"/>
      <c r="I24" s="308"/>
      <c r="J24" s="308"/>
    </row>
    <row r="25" spans="1:10" ht="28.8">
      <c r="A25" s="317" t="s">
        <v>1294</v>
      </c>
      <c r="B25" s="318">
        <v>7250</v>
      </c>
      <c r="C25" s="317" t="s">
        <v>716</v>
      </c>
      <c r="D25" s="319">
        <v>7020</v>
      </c>
      <c r="E25" s="320" t="s">
        <v>1341</v>
      </c>
      <c r="F25" s="311"/>
      <c r="G25" s="314"/>
      <c r="I25" s="308"/>
      <c r="J25" s="308"/>
    </row>
    <row r="26" spans="1:10" ht="28.8">
      <c r="A26" s="317" t="s">
        <v>1295</v>
      </c>
      <c r="B26" s="318">
        <v>7260</v>
      </c>
      <c r="C26" s="317" t="s">
        <v>121</v>
      </c>
      <c r="D26" s="319">
        <v>7020</v>
      </c>
      <c r="E26" s="320" t="s">
        <v>1341</v>
      </c>
      <c r="F26" s="311"/>
      <c r="G26" s="314"/>
      <c r="I26" s="308"/>
      <c r="J26" s="308"/>
    </row>
    <row r="27" spans="1:10" ht="45">
      <c r="A27" s="317" t="s">
        <v>1291</v>
      </c>
      <c r="B27" s="318">
        <v>7350</v>
      </c>
      <c r="C27" s="317" t="s">
        <v>727</v>
      </c>
      <c r="D27" s="319">
        <v>8730</v>
      </c>
      <c r="E27" s="321" t="s">
        <v>1342</v>
      </c>
      <c r="F27" s="311"/>
      <c r="G27" s="314"/>
      <c r="I27" s="308"/>
      <c r="J27" s="308"/>
    </row>
    <row r="28" spans="1:10" ht="28.8">
      <c r="A28" s="317" t="s">
        <v>1290</v>
      </c>
      <c r="B28" s="318">
        <v>7040</v>
      </c>
      <c r="C28" s="317" t="s">
        <v>107</v>
      </c>
      <c r="D28" s="319">
        <v>7030</v>
      </c>
      <c r="E28" s="320" t="s">
        <v>1343</v>
      </c>
      <c r="F28" s="311"/>
      <c r="G28" s="314"/>
      <c r="I28" s="308"/>
      <c r="J28" s="308"/>
    </row>
    <row r="29" spans="1:10" ht="30">
      <c r="A29" s="317" t="s">
        <v>1296</v>
      </c>
      <c r="B29" s="318">
        <v>7120</v>
      </c>
      <c r="C29" s="317" t="s">
        <v>1285</v>
      </c>
      <c r="D29" s="319">
        <v>7260</v>
      </c>
      <c r="E29" s="321" t="s">
        <v>1344</v>
      </c>
      <c r="F29" s="311"/>
      <c r="G29" s="314"/>
      <c r="I29" s="308"/>
      <c r="J29" s="308"/>
    </row>
    <row r="30" spans="1:10" ht="30">
      <c r="A30" s="317" t="s">
        <v>1297</v>
      </c>
      <c r="B30" s="318">
        <v>7120</v>
      </c>
      <c r="C30" s="317" t="s">
        <v>1285</v>
      </c>
      <c r="D30" s="319">
        <v>7260</v>
      </c>
      <c r="E30" s="321" t="s">
        <v>1344</v>
      </c>
      <c r="F30" s="311"/>
      <c r="G30" s="314"/>
      <c r="I30" s="308"/>
      <c r="J30" s="308"/>
    </row>
    <row r="31" spans="1:10" ht="30">
      <c r="A31" s="317" t="s">
        <v>1298</v>
      </c>
      <c r="B31" s="318">
        <v>7120</v>
      </c>
      <c r="C31" s="317" t="s">
        <v>1285</v>
      </c>
      <c r="D31" s="319">
        <v>7260</v>
      </c>
      <c r="E31" s="321" t="s">
        <v>1344</v>
      </c>
      <c r="F31" s="311"/>
      <c r="G31" s="314"/>
      <c r="I31" s="308"/>
      <c r="J31" s="308"/>
    </row>
    <row r="32" spans="1:10" ht="28.8">
      <c r="A32" s="317" t="s">
        <v>1299</v>
      </c>
      <c r="B32" s="318">
        <v>7490</v>
      </c>
      <c r="C32" s="317" t="s">
        <v>740</v>
      </c>
      <c r="D32" s="319">
        <v>7340</v>
      </c>
      <c r="E32" s="320" t="s">
        <v>1345</v>
      </c>
      <c r="F32" s="311"/>
      <c r="G32" s="314"/>
      <c r="I32" s="308"/>
      <c r="J32" s="308"/>
    </row>
    <row r="33" spans="1:10" ht="30">
      <c r="A33" s="317" t="s">
        <v>1300</v>
      </c>
      <c r="B33" s="318">
        <v>7490</v>
      </c>
      <c r="C33" s="317" t="s">
        <v>740</v>
      </c>
      <c r="D33" s="319">
        <v>7140</v>
      </c>
      <c r="E33" s="321" t="s">
        <v>1346</v>
      </c>
      <c r="F33" s="311"/>
      <c r="G33" s="314"/>
      <c r="I33" s="308"/>
      <c r="J33" s="308"/>
    </row>
    <row r="34" spans="1:10" ht="28.8">
      <c r="A34" s="317" t="s">
        <v>1301</v>
      </c>
      <c r="B34" s="318">
        <v>7020</v>
      </c>
      <c r="C34" s="317" t="s">
        <v>684</v>
      </c>
      <c r="D34" s="319">
        <v>7260</v>
      </c>
      <c r="E34" s="320" t="s">
        <v>1347</v>
      </c>
      <c r="F34" s="311"/>
      <c r="G34" s="314"/>
      <c r="I34" s="308"/>
      <c r="J34" s="308"/>
    </row>
    <row r="35" spans="1:10" ht="42.6">
      <c r="A35" s="317" t="s">
        <v>1302</v>
      </c>
      <c r="B35" s="318">
        <v>8200</v>
      </c>
      <c r="C35" s="317" t="s">
        <v>1286</v>
      </c>
      <c r="D35" s="319">
        <v>7230</v>
      </c>
      <c r="E35" s="320" t="s">
        <v>1348</v>
      </c>
      <c r="F35" s="311"/>
      <c r="G35" s="314"/>
      <c r="I35" s="308"/>
      <c r="J35" s="308"/>
    </row>
    <row r="36" spans="1:10" ht="15">
      <c r="A36" s="317" t="s">
        <v>1303</v>
      </c>
      <c r="B36" s="318">
        <v>8790</v>
      </c>
      <c r="C36" s="317" t="s">
        <v>1288</v>
      </c>
      <c r="D36" s="319">
        <v>8310</v>
      </c>
      <c r="E36" s="322" t="s">
        <v>1349</v>
      </c>
      <c r="F36" s="311"/>
      <c r="G36" s="314"/>
      <c r="I36" s="308"/>
      <c r="J36" s="308"/>
    </row>
    <row r="37" spans="1:10" ht="15">
      <c r="A37" s="317" t="s">
        <v>1304</v>
      </c>
      <c r="B37" s="318">
        <v>8790</v>
      </c>
      <c r="C37" s="317" t="s">
        <v>1288</v>
      </c>
      <c r="D37" s="319">
        <v>8430</v>
      </c>
      <c r="E37" s="320" t="s">
        <v>1350</v>
      </c>
      <c r="F37" s="311"/>
      <c r="G37" s="314"/>
      <c r="I37" s="308"/>
      <c r="J37" s="308"/>
    </row>
    <row r="38" spans="1:10" ht="15">
      <c r="A38" s="317" t="s">
        <v>1305</v>
      </c>
      <c r="B38" s="318">
        <v>8790</v>
      </c>
      <c r="C38" s="317" t="s">
        <v>1288</v>
      </c>
      <c r="D38" s="319">
        <v>8460</v>
      </c>
      <c r="E38" s="320" t="s">
        <v>1351</v>
      </c>
      <c r="F38" s="311"/>
      <c r="G38" s="314"/>
      <c r="I38" s="308"/>
      <c r="J38" s="308"/>
    </row>
    <row r="39" spans="1:10" ht="15">
      <c r="A39" s="317" t="s">
        <v>1306</v>
      </c>
      <c r="B39" s="318">
        <v>8790</v>
      </c>
      <c r="C39" s="317" t="s">
        <v>1288</v>
      </c>
      <c r="D39" s="319">
        <v>8530</v>
      </c>
      <c r="E39" s="320" t="s">
        <v>1352</v>
      </c>
      <c r="F39" s="311"/>
      <c r="G39" s="314"/>
      <c r="I39" s="308"/>
      <c r="J39" s="308"/>
    </row>
    <row r="40" spans="1:10" ht="28.8">
      <c r="A40" s="317" t="s">
        <v>1307</v>
      </c>
      <c r="B40" s="318">
        <v>8790</v>
      </c>
      <c r="C40" s="317" t="s">
        <v>1288</v>
      </c>
      <c r="D40" s="319">
        <v>8530</v>
      </c>
      <c r="E40" s="320" t="s">
        <v>1353</v>
      </c>
      <c r="F40" s="311"/>
      <c r="G40" s="314"/>
      <c r="I40" s="308"/>
      <c r="J40" s="308"/>
    </row>
    <row r="41" spans="1:10" ht="15">
      <c r="A41" s="317" t="s">
        <v>1308</v>
      </c>
      <c r="B41" s="318">
        <v>8790</v>
      </c>
      <c r="C41" s="317" t="s">
        <v>1288</v>
      </c>
      <c r="D41" s="319">
        <v>8480</v>
      </c>
      <c r="E41" s="320" t="s">
        <v>1354</v>
      </c>
      <c r="F41" s="311"/>
      <c r="G41" s="314"/>
      <c r="I41" s="308"/>
      <c r="J41" s="308"/>
    </row>
    <row r="42" spans="1:10" ht="15">
      <c r="A42" s="317" t="s">
        <v>1309</v>
      </c>
      <c r="B42" s="318">
        <v>8790</v>
      </c>
      <c r="C42" s="317" t="s">
        <v>1288</v>
      </c>
      <c r="D42" s="319">
        <v>8630</v>
      </c>
      <c r="E42" s="321" t="s">
        <v>1355</v>
      </c>
      <c r="F42" s="311"/>
      <c r="G42" s="314"/>
      <c r="I42" s="308"/>
      <c r="J42" s="308"/>
    </row>
    <row r="43" spans="1:10" ht="15">
      <c r="A43" s="317" t="s">
        <v>1305</v>
      </c>
      <c r="B43" s="318">
        <v>8790</v>
      </c>
      <c r="C43" s="317" t="s">
        <v>1288</v>
      </c>
      <c r="D43" s="319">
        <v>8460</v>
      </c>
      <c r="E43" s="320" t="s">
        <v>1351</v>
      </c>
      <c r="F43" s="311"/>
      <c r="G43" s="314"/>
      <c r="I43" s="308"/>
      <c r="J43" s="308"/>
    </row>
    <row r="44" spans="1:10" ht="15">
      <c r="A44" s="317" t="s">
        <v>1310</v>
      </c>
      <c r="B44" s="318">
        <v>8790</v>
      </c>
      <c r="C44" s="317" t="s">
        <v>1288</v>
      </c>
      <c r="D44" s="319">
        <v>8650</v>
      </c>
      <c r="E44" s="319" t="s">
        <v>1356</v>
      </c>
      <c r="F44" s="311"/>
      <c r="G44" s="314"/>
      <c r="I44" s="308"/>
      <c r="J44" s="308"/>
    </row>
    <row r="45" spans="1:10" ht="15">
      <c r="A45" s="317" t="s">
        <v>1311</v>
      </c>
      <c r="B45" s="318">
        <v>8790</v>
      </c>
      <c r="C45" s="317" t="s">
        <v>1288</v>
      </c>
      <c r="D45" s="319">
        <v>8650</v>
      </c>
      <c r="E45" s="319" t="s">
        <v>1356</v>
      </c>
      <c r="F45" s="311"/>
      <c r="G45" s="314"/>
      <c r="I45" s="308"/>
      <c r="J45" s="308"/>
    </row>
    <row r="46" spans="1:10" ht="15">
      <c r="A46" s="317" t="s">
        <v>1312</v>
      </c>
      <c r="B46" s="318">
        <v>8790</v>
      </c>
      <c r="C46" s="317" t="s">
        <v>1288</v>
      </c>
      <c r="D46" s="319">
        <v>8670</v>
      </c>
      <c r="E46" s="321" t="s">
        <v>1357</v>
      </c>
      <c r="F46" s="311"/>
      <c r="G46" s="314"/>
      <c r="I46" s="308"/>
      <c r="J46" s="308"/>
    </row>
    <row r="47" spans="1:10" ht="15">
      <c r="A47" s="317" t="s">
        <v>1313</v>
      </c>
      <c r="B47" s="318">
        <v>8790</v>
      </c>
      <c r="C47" s="317" t="s">
        <v>1288</v>
      </c>
      <c r="D47" s="319">
        <v>8690</v>
      </c>
      <c r="E47" s="321" t="s">
        <v>1358</v>
      </c>
      <c r="F47" s="311"/>
      <c r="G47" s="314"/>
      <c r="I47" s="308"/>
      <c r="J47" s="308"/>
    </row>
    <row r="48" spans="1:10" ht="45">
      <c r="A48" s="317" t="s">
        <v>1314</v>
      </c>
      <c r="B48" s="318">
        <v>8710</v>
      </c>
      <c r="C48" s="317" t="s">
        <v>1287</v>
      </c>
      <c r="D48" s="319">
        <v>8720</v>
      </c>
      <c r="E48" s="321" t="s">
        <v>1359</v>
      </c>
      <c r="F48" s="311"/>
      <c r="G48" s="314"/>
      <c r="I48" s="308"/>
      <c r="J48" s="308"/>
    </row>
    <row r="49" spans="1:10" ht="45">
      <c r="A49" s="317" t="s">
        <v>1315</v>
      </c>
      <c r="B49" s="318">
        <v>7490</v>
      </c>
      <c r="C49" s="317" t="s">
        <v>740</v>
      </c>
      <c r="D49" s="319">
        <v>6400</v>
      </c>
      <c r="E49" s="321" t="s">
        <v>1360</v>
      </c>
      <c r="F49" s="311"/>
      <c r="G49" s="314"/>
      <c r="I49" s="308"/>
      <c r="J49" s="308"/>
    </row>
    <row r="50" spans="1:10" ht="15">
      <c r="A50" s="317" t="s">
        <v>1316</v>
      </c>
      <c r="B50" s="318">
        <v>8790</v>
      </c>
      <c r="C50" s="317" t="s">
        <v>1288</v>
      </c>
      <c r="D50" s="319">
        <v>8740</v>
      </c>
      <c r="E50" s="321" t="s">
        <v>1361</v>
      </c>
      <c r="F50" s="311"/>
      <c r="G50" s="314"/>
      <c r="I50" s="308"/>
      <c r="J50" s="308"/>
    </row>
    <row r="51" spans="1:10" ht="15">
      <c r="A51" s="317" t="s">
        <v>1317</v>
      </c>
      <c r="B51" s="318">
        <v>8790</v>
      </c>
      <c r="C51" s="317" t="s">
        <v>1288</v>
      </c>
      <c r="D51" s="319">
        <v>8480</v>
      </c>
      <c r="E51" s="319" t="s">
        <v>1362</v>
      </c>
      <c r="F51" s="311"/>
      <c r="G51" s="314"/>
      <c r="I51" s="308"/>
      <c r="J51" s="308"/>
    </row>
  </sheetData>
  <customSheetViews>
    <customSheetView guid="{D74B16BB-9BDF-4AEC-AA99-B864B9498389}" showPageBreaks="1" fitToPage="1" printArea="1" topLeftCell="B61">
      <selection activeCell="J69" sqref="J69"/>
      <pageMargins left="0.7" right="0.7" top="0.75" bottom="0.75" header="0.3" footer="0.3"/>
      <pageSetup paperSize="5" scale="47" fitToHeight="3" orientation="landscape" horizontalDpi="300" verticalDpi="300" r:id="rId1"/>
    </customSheetView>
    <customSheetView guid="{78E778D5-69A8-4E35-B0F3-6D26A1845557}">
      <selection activeCell="G1" sqref="G1:G82"/>
      <pageMargins left="0.7" right="0.7" top="0.75" bottom="0.75" header="0.3" footer="0.3"/>
      <pageSetup orientation="portrait" horizontalDpi="300" verticalDpi="300" r:id="rId2"/>
    </customSheetView>
    <customSheetView guid="{D74738EB-3446-4A41-91B2-3626AA7FCC94}" topLeftCell="A61">
      <selection activeCell="F82" sqref="F82"/>
      <pageMargins left="0.7" right="0.7" top="0.75" bottom="0.75" header="0.3" footer="0.3"/>
      <pageSetup orientation="portrait" horizontalDpi="300" verticalDpi="300" r:id="rId3"/>
    </customSheetView>
    <customSheetView guid="{37DA5E57-E52E-47A3-B98A-9CAA60A4BD45}" showPageBreaks="1" topLeftCell="B7">
      <selection activeCell="J14" sqref="J14"/>
      <pageMargins left="0.7" right="0.7" top="0.75" bottom="0.75" header="0.3" footer="0.3"/>
      <pageSetup orientation="portrait" horizontalDpi="300" verticalDpi="300" r:id="rId4"/>
    </customSheetView>
  </customSheetViews>
  <pageMargins left="0.7" right="0.7" top="0.75" bottom="0.75" header="0.3" footer="0.3"/>
  <pageSetup paperSize="5" scale="47" fitToHeight="3" orientation="landscape" horizontalDpi="300" verticalDpi="300"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340" transitionEvaluation="1" transitionEntry="1" codeName="Sheet10">
    <pageSetUpPr autoPageBreaks="0" fitToPage="1"/>
  </sheetPr>
  <dimension ref="A1:CH817"/>
  <sheetViews>
    <sheetView showGridLines="0" topLeftCell="A340" zoomScale="75" workbookViewId="0">
      <selection activeCell="B140" sqref="B140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47" width="11.75" style="180"/>
    <col min="48" max="48" width="14.9140625" style="180" bestFit="1" customWidth="1"/>
    <col min="49" max="82" width="11.75" style="180"/>
    <col min="83" max="83" width="12.6640625" style="180" customWidth="1"/>
    <col min="84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1268</v>
      </c>
      <c r="C16" s="236"/>
      <c r="E16" s="286" t="s">
        <v>1259</v>
      </c>
    </row>
    <row r="17" spans="1:6" ht="12.75" customHeight="1">
      <c r="A17" s="180" t="s">
        <v>1230</v>
      </c>
      <c r="C17" s="286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87" t="s">
        <v>1234</v>
      </c>
      <c r="B20" s="287"/>
      <c r="C20" s="288"/>
      <c r="D20" s="287"/>
      <c r="E20" s="287"/>
      <c r="F20" s="287"/>
    </row>
    <row r="21" spans="1:6" ht="22.5" customHeight="1">
      <c r="A21" s="199"/>
      <c r="C21" s="236"/>
    </row>
    <row r="22" spans="1:6" ht="12.6" customHeight="1">
      <c r="A22" s="237" t="s">
        <v>1254</v>
      </c>
      <c r="B22" s="238"/>
      <c r="C22" s="239"/>
      <c r="D22" s="237"/>
      <c r="E22" s="237"/>
    </row>
    <row r="23" spans="1:6" ht="12.6" customHeight="1">
      <c r="B23" s="199"/>
      <c r="C23" s="236"/>
    </row>
    <row r="24" spans="1:6" ht="12.6" customHeight="1">
      <c r="A24" s="240" t="s">
        <v>3</v>
      </c>
      <c r="C24" s="236"/>
    </row>
    <row r="25" spans="1:6" ht="12.6" customHeight="1">
      <c r="A25" s="198" t="s">
        <v>1235</v>
      </c>
      <c r="C25" s="236"/>
    </row>
    <row r="26" spans="1:6" ht="12.6" customHeight="1">
      <c r="A26" s="199" t="s">
        <v>4</v>
      </c>
      <c r="C26" s="236"/>
    </row>
    <row r="27" spans="1:6" ht="12.6" customHeight="1">
      <c r="A27" s="198" t="s">
        <v>1236</v>
      </c>
      <c r="C27" s="236"/>
    </row>
    <row r="28" spans="1:6" ht="12.6" customHeight="1">
      <c r="A28" s="199" t="s">
        <v>5</v>
      </c>
      <c r="C28" s="236"/>
    </row>
    <row r="29" spans="1:6" ht="12.6" customHeight="1">
      <c r="A29" s="198"/>
      <c r="C29" s="236"/>
    </row>
    <row r="30" spans="1:6" ht="12.6" customHeight="1">
      <c r="A30" s="180" t="s">
        <v>6</v>
      </c>
      <c r="C30" s="236"/>
    </row>
    <row r="31" spans="1:6" ht="12.6" customHeight="1">
      <c r="A31" s="199" t="s">
        <v>7</v>
      </c>
      <c r="C31" s="236"/>
    </row>
    <row r="32" spans="1:6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>
      <c r="A48" s="175" t="s">
        <v>205</v>
      </c>
      <c r="B48" s="183">
        <v>26834805</v>
      </c>
      <c r="C48" s="245">
        <f>ROUND(((B48/CE61)*C61),0)</f>
        <v>2619367</v>
      </c>
      <c r="D48" s="245">
        <f>ROUND(((B48/CE61)*D61),0)</f>
        <v>1042062</v>
      </c>
      <c r="E48" s="195">
        <f>ROUND(((B48/CE61)*E61),0)</f>
        <v>4353646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1483293</v>
      </c>
      <c r="P48" s="195">
        <f>ROUND(((B48/CE61)*P61),0)</f>
        <v>1944278</v>
      </c>
      <c r="Q48" s="195">
        <f>ROUND(((B48/CE61)*Q61),0)</f>
        <v>486956</v>
      </c>
      <c r="R48" s="195">
        <f>ROUND(((B48/CE61)*R61),0)</f>
        <v>35566</v>
      </c>
      <c r="S48" s="195">
        <f>ROUND(((B48/CE61)*S61),0)</f>
        <v>493608</v>
      </c>
      <c r="T48" s="195">
        <f>ROUND(((B48/CE61)*T61),0)</f>
        <v>92700</v>
      </c>
      <c r="U48" s="195">
        <f>ROUND(((B48/CE61)*U61),0)</f>
        <v>1019090</v>
      </c>
      <c r="V48" s="195">
        <f>ROUND(((B48/CE61)*V61),0)</f>
        <v>991666</v>
      </c>
      <c r="W48" s="195">
        <f>ROUND(((B48/CE61)*W61),0)</f>
        <v>152780</v>
      </c>
      <c r="X48" s="195">
        <f>ROUND(((B48/CE61)*X61),0)</f>
        <v>311026</v>
      </c>
      <c r="Y48" s="195">
        <f>ROUND(((B48/CE61)*Y61),0)</f>
        <v>1029315</v>
      </c>
      <c r="Z48" s="195">
        <f>ROUND(((B48/CE61)*Z61),0)</f>
        <v>0</v>
      </c>
      <c r="AA48" s="195">
        <f>ROUND(((B48/CE61)*AA61),0)</f>
        <v>99241</v>
      </c>
      <c r="AB48" s="195">
        <f>ROUND(((B48/CE61)*AB61),0)</f>
        <v>919247</v>
      </c>
      <c r="AC48" s="195">
        <f>ROUND(((B48/CE61)*AC61),0)</f>
        <v>790354</v>
      </c>
      <c r="AD48" s="195">
        <f>ROUND(((B48/CE61)*AD61),0)</f>
        <v>773</v>
      </c>
      <c r="AE48" s="195">
        <f>ROUND(((B48/CE61)*AE61),0)</f>
        <v>197735</v>
      </c>
      <c r="AF48" s="195">
        <f>ROUND(((B48/CE61)*AF61),0)</f>
        <v>0</v>
      </c>
      <c r="AG48" s="195">
        <f>ROUND(((B48/CE61)*AG61),0)</f>
        <v>1682724</v>
      </c>
      <c r="AH48" s="195">
        <f>ROUND(((B48/CE61)*AH61),0)</f>
        <v>0</v>
      </c>
      <c r="AI48" s="195">
        <f>ROUND(((B48/CE61)*AI61),0)</f>
        <v>608321</v>
      </c>
      <c r="AJ48" s="195">
        <f>ROUND(((B48/CE61)*AJ61),0)</f>
        <v>0</v>
      </c>
      <c r="AK48" s="195">
        <f>ROUND(((B48/CE61)*AK61),0)</f>
        <v>95132</v>
      </c>
      <c r="AL48" s="195">
        <f>ROUND(((B48/CE61)*AL61),0)</f>
        <v>44575</v>
      </c>
      <c r="AM48" s="195">
        <f>ROUND(((B48/CE61)*AM61),0)</f>
        <v>0</v>
      </c>
      <c r="AN48" s="195">
        <f>ROUND(((B48/CE61)*AN61),0)</f>
        <v>106994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1254</v>
      </c>
      <c r="AX48" s="195">
        <f>ROUND(((B48/CE61)*AX61),0)</f>
        <v>0</v>
      </c>
      <c r="AY48" s="195">
        <f>ROUND(((B48/CE61)*AY61),0)</f>
        <v>558962</v>
      </c>
      <c r="AZ48" s="195">
        <f>ROUND(((B48/CE61)*AZ61),0)</f>
        <v>0</v>
      </c>
      <c r="BA48" s="195">
        <f>ROUND(((B48/CE61)*BA61),0)</f>
        <v>30982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592111</v>
      </c>
      <c r="BF48" s="195">
        <f>ROUND(((B48/CE61)*BF61),0)</f>
        <v>606342</v>
      </c>
      <c r="BG48" s="195">
        <f>ROUND(((B48/CE61)*BG61),0)</f>
        <v>52989</v>
      </c>
      <c r="BH48" s="195">
        <f>ROUND(((B48/CE61)*BH61),0)</f>
        <v>797360</v>
      </c>
      <c r="BI48" s="195">
        <f>ROUND(((B48/CE61)*BI61),0)</f>
        <v>75081</v>
      </c>
      <c r="BJ48" s="195">
        <f>ROUND(((B48/CE61)*BJ61),0)</f>
        <v>146479</v>
      </c>
      <c r="BK48" s="195">
        <f>ROUND(((B48/CE61)*BK61),0)</f>
        <v>315326</v>
      </c>
      <c r="BL48" s="195">
        <f>ROUND(((B48/CE61)*BL61),0)</f>
        <v>548332</v>
      </c>
      <c r="BM48" s="195">
        <f>ROUND(((B48/CE61)*BM61),0)</f>
        <v>0</v>
      </c>
      <c r="BN48" s="195">
        <f>ROUND(((B48/CE61)*BN61),0)</f>
        <v>689253</v>
      </c>
      <c r="BO48" s="195">
        <f>ROUND(((B48/CE61)*BO61),0)</f>
        <v>0</v>
      </c>
      <c r="BP48" s="195">
        <f>ROUND(((B48/CE61)*BP61),0)</f>
        <v>27162</v>
      </c>
      <c r="BQ48" s="195">
        <f>ROUND(((B48/CE61)*BQ61),0)</f>
        <v>0</v>
      </c>
      <c r="BR48" s="195">
        <f>ROUND(((B48/CE61)*BR61),0)</f>
        <v>137908</v>
      </c>
      <c r="BS48" s="195">
        <f>ROUND(((B48/CE61)*BS61),0)</f>
        <v>22280</v>
      </c>
      <c r="BT48" s="195">
        <f>ROUND(((B48/CE61)*BT61),0)</f>
        <v>10281</v>
      </c>
      <c r="BU48" s="195">
        <f>ROUND(((B48/CE61)*BU61),0)</f>
        <v>0</v>
      </c>
      <c r="BV48" s="195">
        <f>ROUND(((B48/CE61)*BV61),0)</f>
        <v>352838</v>
      </c>
      <c r="BW48" s="195">
        <f>ROUND(((B48/CE61)*BW61),0)</f>
        <v>60521</v>
      </c>
      <c r="BX48" s="195">
        <f>ROUND(((B48/CE61)*BX61),0)</f>
        <v>0</v>
      </c>
      <c r="BY48" s="195">
        <f>ROUND(((B48/CE61)*BY61),0)</f>
        <v>1048638</v>
      </c>
      <c r="BZ48" s="195">
        <f>ROUND(((B48/CE61)*BZ61),0)</f>
        <v>0</v>
      </c>
      <c r="CA48" s="195">
        <f>ROUND(((B48/CE61)*CA61),0)</f>
        <v>146309</v>
      </c>
      <c r="CB48" s="195">
        <f>ROUND(((B48/CE61)*CB61),0)</f>
        <v>0</v>
      </c>
      <c r="CC48" s="195">
        <f>ROUND(((B48/CE61)*CC61),0)</f>
        <v>13950</v>
      </c>
      <c r="CD48" s="195"/>
      <c r="CE48" s="195">
        <f>SUM(C48:CD48)</f>
        <v>26834807</v>
      </c>
    </row>
    <row r="49" spans="1:84" ht="12.6" customHeight="1">
      <c r="A49" s="175" t="s">
        <v>206</v>
      </c>
      <c r="B49" s="195">
        <f>B47+B48</f>
        <v>26834805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184">
        <v>0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>
      <c r="A52" s="171" t="s">
        <v>208</v>
      </c>
      <c r="B52" s="184">
        <v>18172819</v>
      </c>
      <c r="C52" s="195">
        <f>ROUND((B52/(CE76+CF76)*C76),0)</f>
        <v>902844</v>
      </c>
      <c r="D52" s="195">
        <f>ROUND((B52/(CE76+CF76)*D76),0)</f>
        <v>201140</v>
      </c>
      <c r="E52" s="195">
        <f>ROUND((B52/(CE76+CF76)*E76),0)</f>
        <v>2361393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256360</v>
      </c>
      <c r="P52" s="195">
        <f>ROUND((B52/(CE76+CF76)*P76),0)</f>
        <v>1113414</v>
      </c>
      <c r="Q52" s="195">
        <f>ROUND((B52/(CE76+CF76)*Q76),0)</f>
        <v>312435</v>
      </c>
      <c r="R52" s="195">
        <f>ROUND((B52/(CE76+CF76)*R76),0)</f>
        <v>21693</v>
      </c>
      <c r="S52" s="195">
        <f>ROUND((B52/(CE76+CF76)*S76),0)</f>
        <v>486780</v>
      </c>
      <c r="T52" s="195">
        <f>ROUND((B52/(CE76+CF76)*T76),0)</f>
        <v>0</v>
      </c>
      <c r="U52" s="195">
        <f>ROUND((B52/(CE76+CF76)*U76),0)</f>
        <v>476841</v>
      </c>
      <c r="V52" s="195">
        <f>ROUND((B52/(CE76+CF76)*V76),0)</f>
        <v>284144</v>
      </c>
      <c r="W52" s="195">
        <f>ROUND((B52/(CE76+CF76)*W76),0)</f>
        <v>136675</v>
      </c>
      <c r="X52" s="195">
        <f>ROUND((B52/(CE76+CF76)*X76),0)</f>
        <v>160345</v>
      </c>
      <c r="Y52" s="195">
        <f>ROUND((B52/(CE76+CF76)*Y76),0)</f>
        <v>676886</v>
      </c>
      <c r="Z52" s="195">
        <f>ROUND((B52/(CE76+CF76)*Z76),0)</f>
        <v>0</v>
      </c>
      <c r="AA52" s="195">
        <f>ROUND((B52/(CE76+CF76)*AA76),0)</f>
        <v>58907</v>
      </c>
      <c r="AB52" s="195">
        <f>ROUND((B52/(CE76+CF76)*AB76),0)</f>
        <v>344868</v>
      </c>
      <c r="AC52" s="195">
        <f>ROUND((B52/(CE76+CF76)*AC76),0)</f>
        <v>171539</v>
      </c>
      <c r="AD52" s="195">
        <f>ROUND((B52/(CE76+CF76)*AD76),0)</f>
        <v>0</v>
      </c>
      <c r="AE52" s="195">
        <f>ROUND((B52/(CE76+CF76)*AE76),0)</f>
        <v>68952</v>
      </c>
      <c r="AF52" s="195">
        <f>ROUND((B52/(CE76+CF76)*AF76),0)</f>
        <v>0</v>
      </c>
      <c r="AG52" s="195">
        <f>ROUND((B52/(CE76+CF76)*AG76),0)</f>
        <v>573658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143114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323389</v>
      </c>
      <c r="AZ52" s="195">
        <f>ROUND((B52/(CE76+CF76)*AZ76),0)</f>
        <v>0</v>
      </c>
      <c r="BA52" s="195">
        <f>ROUND((B52/(CE76+CF76)*BA76),0)</f>
        <v>121341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6740939</v>
      </c>
      <c r="BF52" s="195">
        <f>ROUND((B52/(CE76+CF76)*BF76),0)</f>
        <v>204800</v>
      </c>
      <c r="BG52" s="195">
        <f>ROUND((B52/(CE76+CF76)*BG76),0)</f>
        <v>0</v>
      </c>
      <c r="BH52" s="195">
        <f>ROUND((B52/(CE76+CF76)*BH76),0)</f>
        <v>48007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1132034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83004</v>
      </c>
      <c r="BS52" s="195">
        <f>ROUND((B52/(CE76+CF76)*BS76),0)</f>
        <v>38951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226599</v>
      </c>
      <c r="BW52" s="195">
        <f>ROUND((B52/(CE76+CF76)*BW76),0)</f>
        <v>0</v>
      </c>
      <c r="BX52" s="195">
        <f>ROUND((B52/(CE76+CF76)*BX76),0)</f>
        <v>23777</v>
      </c>
      <c r="BY52" s="195">
        <f>ROUND((B52/(CE76+CF76)*BY76),0)</f>
        <v>359855</v>
      </c>
      <c r="BZ52" s="195">
        <f>ROUND((B52/(CE76+CF76)*BZ76),0)</f>
        <v>0</v>
      </c>
      <c r="CA52" s="195">
        <f>ROUND((B52/(CE76+CF76)*CA76),0)</f>
        <v>30429</v>
      </c>
      <c r="CB52" s="195">
        <f>ROUND((B52/(CE76+CF76)*CB76),0)</f>
        <v>0</v>
      </c>
      <c r="CC52" s="195">
        <f>ROUND((B52/(CE76+CF76)*CC76),0)</f>
        <v>87706</v>
      </c>
      <c r="CD52" s="195"/>
      <c r="CE52" s="195">
        <f>SUM(C52:CD52)</f>
        <v>18172819</v>
      </c>
    </row>
    <row r="53" spans="1:84" ht="12.6" customHeight="1">
      <c r="A53" s="175" t="s">
        <v>206</v>
      </c>
      <c r="B53" s="195">
        <f>B51+B52</f>
        <v>18172819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184">
        <v>6057</v>
      </c>
      <c r="D59" s="184">
        <v>19139</v>
      </c>
      <c r="E59" s="184">
        <v>27997</v>
      </c>
      <c r="F59" s="184"/>
      <c r="G59" s="184"/>
      <c r="H59" s="184"/>
      <c r="I59" s="184"/>
      <c r="J59" s="184">
        <v>4654</v>
      </c>
      <c r="K59" s="184"/>
      <c r="L59" s="184"/>
      <c r="M59" s="184"/>
      <c r="N59" s="184"/>
      <c r="O59" s="184">
        <v>1441</v>
      </c>
      <c r="P59" s="185">
        <v>1007098</v>
      </c>
      <c r="Q59" s="185"/>
      <c r="R59" s="185">
        <v>1070544</v>
      </c>
      <c r="S59" s="248"/>
      <c r="T59" s="248"/>
      <c r="U59" s="289">
        <v>655298</v>
      </c>
      <c r="V59" s="290">
        <f>20754+11690+12486</f>
        <v>44930</v>
      </c>
      <c r="W59" s="290">
        <v>3903</v>
      </c>
      <c r="X59" s="290">
        <v>17553</v>
      </c>
      <c r="Y59" s="290">
        <v>40124</v>
      </c>
      <c r="Z59" s="185"/>
      <c r="AA59" s="185">
        <v>1302</v>
      </c>
      <c r="AB59" s="248"/>
      <c r="AC59" s="185">
        <v>225879</v>
      </c>
      <c r="AD59" s="185"/>
      <c r="AE59" s="185">
        <v>22424</v>
      </c>
      <c r="AF59" s="185"/>
      <c r="AG59" s="185">
        <v>49181</v>
      </c>
      <c r="AH59" s="185"/>
      <c r="AI59" s="185">
        <v>6881</v>
      </c>
      <c r="AJ59" s="185"/>
      <c r="AK59" s="185">
        <v>10888</v>
      </c>
      <c r="AL59" s="185">
        <v>3149</v>
      </c>
      <c r="AM59" s="185"/>
      <c r="AN59" s="185">
        <v>3708</v>
      </c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956452</v>
      </c>
      <c r="AZ59" s="185"/>
      <c r="BA59" s="248"/>
      <c r="BB59" s="248"/>
      <c r="BC59" s="248"/>
      <c r="BD59" s="248"/>
      <c r="BE59" s="185">
        <f>CE76</f>
        <v>680240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291">
        <f>(95.97+113.74)/2</f>
        <v>104.85499999999999</v>
      </c>
      <c r="D60" s="292">
        <f>(105.58+132.39)/2</f>
        <v>118.98499999999999</v>
      </c>
      <c r="E60" s="292">
        <f>(171.76+1.99+163.72+5.58)/2</f>
        <v>171.52500000000001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293">
        <f>(35.93+40.72)/2</f>
        <v>38.325000000000003</v>
      </c>
      <c r="P60" s="294">
        <f>(65.74+19.58+95.53)/2</f>
        <v>90.424999999999997</v>
      </c>
      <c r="Q60" s="294">
        <f>(17.11+20.12)/2</f>
        <v>18.615000000000002</v>
      </c>
      <c r="R60" s="294">
        <f>(2.94+2.8)/2</f>
        <v>2.87</v>
      </c>
      <c r="S60" s="294">
        <f>(16.55+19.54)/2</f>
        <v>18.045000000000002</v>
      </c>
      <c r="T60" s="294">
        <f>(3.07+3.55)/2</f>
        <v>3.3099999999999996</v>
      </c>
      <c r="U60" s="294">
        <f>(52.55+4.19+54.9+4.36)/2</f>
        <v>57.999999999999993</v>
      </c>
      <c r="V60" s="294">
        <f>(28.97+17.83+36.71+75.48+6.85+5.97)/2</f>
        <v>85.905000000000001</v>
      </c>
      <c r="W60" s="294">
        <f>(6.62+7.2)/2</f>
        <v>6.91</v>
      </c>
      <c r="X60" s="294">
        <f>(13.67+16.57)/2</f>
        <v>15.120000000000001</v>
      </c>
      <c r="Y60" s="294">
        <f>(16.76+19.18)/2</f>
        <v>17.97</v>
      </c>
      <c r="Z60" s="221"/>
      <c r="AA60" s="294">
        <f>(2.84+3.66)/2</f>
        <v>3.25</v>
      </c>
      <c r="AB60" s="294">
        <f>(35.55+41.42)/2</f>
        <v>38.484999999999999</v>
      </c>
      <c r="AC60" s="294">
        <f>(31.42+36.04+12.1)/2</f>
        <v>39.78</v>
      </c>
      <c r="AD60" s="294">
        <f>(0.03+0.05)/2</f>
        <v>0.04</v>
      </c>
      <c r="AE60" s="294">
        <f>(8.88+10.49)/2</f>
        <v>9.6850000000000005</v>
      </c>
      <c r="AF60" s="221"/>
      <c r="AG60" s="294">
        <f>(67.13+82.26)/2</f>
        <v>74.694999999999993</v>
      </c>
      <c r="AH60" s="294"/>
      <c r="AI60" s="294">
        <f>(17.77+21.47)/2</f>
        <v>19.619999999999997</v>
      </c>
      <c r="AJ60" s="294"/>
      <c r="AK60" s="294">
        <f>(3.77+4.27)/2</f>
        <v>4.0199999999999996</v>
      </c>
      <c r="AL60" s="294">
        <f>(1.66+2.23)/2</f>
        <v>1.9449999999999998</v>
      </c>
      <c r="AM60" s="294"/>
      <c r="AN60" s="294">
        <f>(3.36+3.96)/2</f>
        <v>3.66</v>
      </c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94">
        <f>(53.11+59.56)/2</f>
        <v>56.335000000000001</v>
      </c>
      <c r="AZ60" s="294"/>
      <c r="BA60" s="294">
        <f>3.01</f>
        <v>3.01</v>
      </c>
      <c r="BB60" s="294"/>
      <c r="BC60" s="294">
        <f>(6.8+8.02)/2</f>
        <v>7.41</v>
      </c>
      <c r="BD60" s="294">
        <f>(20.58+23.34)/2</f>
        <v>21.96</v>
      </c>
      <c r="BE60" s="294">
        <f>(24.64+4.99+33.08)/2</f>
        <v>31.355</v>
      </c>
      <c r="BF60" s="294">
        <f>(59.7+65.38)/2</f>
        <v>62.54</v>
      </c>
      <c r="BG60" s="294">
        <f>(5.39+6.08)/2</f>
        <v>5.7349999999999994</v>
      </c>
      <c r="BH60" s="294">
        <f>(43.62+5.13+52.8)/2</f>
        <v>50.774999999999999</v>
      </c>
      <c r="BI60" s="294"/>
      <c r="BJ60" s="294">
        <f>(9.16+11.62)/2</f>
        <v>10.39</v>
      </c>
      <c r="BK60" s="294">
        <f>(20.56+27.61)/2</f>
        <v>24.085000000000001</v>
      </c>
      <c r="BL60" s="294">
        <f>(42.25+48.39)/2</f>
        <v>45.32</v>
      </c>
      <c r="BM60" s="294"/>
      <c r="BN60" s="294">
        <f>(9.54+11.09)/2</f>
        <v>10.315</v>
      </c>
      <c r="BO60" s="294">
        <f>(0.99+1.15)/2</f>
        <v>1.0699999999999998</v>
      </c>
      <c r="BP60" s="294">
        <f>(0.4+1.17)/2</f>
        <v>0.78499999999999992</v>
      </c>
      <c r="BQ60" s="221"/>
      <c r="BR60" s="294">
        <f>(5.91+5.74)/2</f>
        <v>5.8250000000000002</v>
      </c>
      <c r="BS60" s="294">
        <f>(1.24+1.69+1.74+3.91+2.54+2.35+3.38)/2</f>
        <v>8.4250000000000007</v>
      </c>
      <c r="BT60" s="294">
        <f>(0.53+0.66)/2</f>
        <v>0.59499999999999997</v>
      </c>
      <c r="BU60" s="294"/>
      <c r="BV60" s="294">
        <f>(25.52+27.41)/2</f>
        <v>26.465</v>
      </c>
      <c r="BW60" s="294">
        <f>(3.95+4.58)/2</f>
        <v>4.2650000000000006</v>
      </c>
      <c r="BX60" s="294">
        <f>(5.51+1.88+18.48+26.45+2.19)/2</f>
        <v>27.254999999999999</v>
      </c>
      <c r="BY60" s="294">
        <f>(15.35+17.65)/2</f>
        <v>16.5</v>
      </c>
      <c r="BZ60" s="294">
        <f>(0.03+6+7.89)/2</f>
        <v>6.96</v>
      </c>
      <c r="CA60" s="294">
        <f>(4.95+5.56)/2</f>
        <v>5.2549999999999999</v>
      </c>
      <c r="CB60" s="221"/>
      <c r="CC60" s="221">
        <f>(0.03)</f>
        <v>0.03</v>
      </c>
      <c r="CD60" s="249" t="s">
        <v>221</v>
      </c>
      <c r="CE60" s="251">
        <f t="shared" ref="CE60:CE70" si="0">SUM(C60:CD60)</f>
        <v>1378.7000000000003</v>
      </c>
    </row>
    <row r="61" spans="1:84" ht="12.6" customHeight="1">
      <c r="A61" s="171" t="s">
        <v>235</v>
      </c>
      <c r="B61" s="175"/>
      <c r="C61" s="184">
        <f>9410389+76190</f>
        <v>9486579</v>
      </c>
      <c r="D61" s="184">
        <f>3743733+30310</f>
        <v>3774043</v>
      </c>
      <c r="E61" s="184">
        <f>15640992+126635</f>
        <v>15767627</v>
      </c>
      <c r="F61" s="184" t="s">
        <v>1269</v>
      </c>
      <c r="G61" s="184" t="s">
        <v>1269</v>
      </c>
      <c r="H61" s="184" t="s">
        <v>1269</v>
      </c>
      <c r="I61" s="184" t="s">
        <v>1269</v>
      </c>
      <c r="J61" s="184" t="s">
        <v>1269</v>
      </c>
      <c r="K61" s="184" t="s">
        <v>1269</v>
      </c>
      <c r="L61" s="184" t="s">
        <v>1269</v>
      </c>
      <c r="M61" s="184" t="s">
        <v>1269</v>
      </c>
      <c r="N61" s="184" t="s">
        <v>1269</v>
      </c>
      <c r="O61" s="184">
        <v>5372050</v>
      </c>
      <c r="P61" s="184">
        <v>7041602</v>
      </c>
      <c r="Q61" s="184">
        <v>1763610</v>
      </c>
      <c r="R61" s="184">
        <v>128808</v>
      </c>
      <c r="S61" s="184">
        <f>1896777-109074</f>
        <v>1787703</v>
      </c>
      <c r="T61" s="184">
        <v>335732</v>
      </c>
      <c r="U61" s="184">
        <v>3690846</v>
      </c>
      <c r="V61" s="184">
        <v>3591522</v>
      </c>
      <c r="W61" s="184">
        <v>553326</v>
      </c>
      <c r="X61" s="184">
        <v>1126444</v>
      </c>
      <c r="Y61" s="184">
        <v>3727876</v>
      </c>
      <c r="Z61" s="184">
        <v>0</v>
      </c>
      <c r="AA61" s="184">
        <v>359421</v>
      </c>
      <c r="AB61" s="184">
        <v>3329243</v>
      </c>
      <c r="AC61" s="184">
        <v>2862430</v>
      </c>
      <c r="AD61" s="184">
        <v>2801</v>
      </c>
      <c r="AE61" s="184">
        <v>716139</v>
      </c>
      <c r="AF61" s="184" t="s">
        <v>1269</v>
      </c>
      <c r="AG61" s="184">
        <v>6094331</v>
      </c>
      <c r="AH61" s="184" t="s">
        <v>1269</v>
      </c>
      <c r="AI61" s="184">
        <v>2203159</v>
      </c>
      <c r="AJ61" s="184" t="s">
        <v>1269</v>
      </c>
      <c r="AK61" s="184">
        <v>344539</v>
      </c>
      <c r="AL61" s="184">
        <v>161438</v>
      </c>
      <c r="AM61" s="184" t="s">
        <v>1269</v>
      </c>
      <c r="AN61" s="184">
        <v>387502</v>
      </c>
      <c r="AO61" s="184" t="s">
        <v>1269</v>
      </c>
      <c r="AP61" s="184" t="s">
        <v>1269</v>
      </c>
      <c r="AQ61" s="184" t="s">
        <v>1269</v>
      </c>
      <c r="AR61" s="184" t="s">
        <v>1269</v>
      </c>
      <c r="AS61" s="184" t="s">
        <v>1269</v>
      </c>
      <c r="AT61" s="184" t="s">
        <v>1269</v>
      </c>
      <c r="AU61" s="184" t="s">
        <v>1269</v>
      </c>
      <c r="AV61" s="184"/>
      <c r="AW61" s="184">
        <v>4540</v>
      </c>
      <c r="AX61" s="184" t="s">
        <v>1269</v>
      </c>
      <c r="AY61" s="184">
        <v>2024396</v>
      </c>
      <c r="AZ61" s="184" t="s">
        <v>1269</v>
      </c>
      <c r="BA61" s="184">
        <v>112206</v>
      </c>
      <c r="BB61" s="184" t="s">
        <v>1269</v>
      </c>
      <c r="BC61" s="184"/>
      <c r="BD61" s="184"/>
      <c r="BE61" s="184">
        <v>2144452</v>
      </c>
      <c r="BF61" s="184">
        <v>2195992</v>
      </c>
      <c r="BG61" s="184">
        <v>191912</v>
      </c>
      <c r="BH61" s="184">
        <v>2887802</v>
      </c>
      <c r="BI61" s="184">
        <v>271922</v>
      </c>
      <c r="BJ61" s="184">
        <v>530504</v>
      </c>
      <c r="BK61" s="184">
        <v>1142018</v>
      </c>
      <c r="BL61" s="184">
        <v>1985898</v>
      </c>
      <c r="BM61" s="184" t="s">
        <v>1269</v>
      </c>
      <c r="BN61" s="184">
        <v>2496273</v>
      </c>
      <c r="BO61" s="184" t="s">
        <v>1269</v>
      </c>
      <c r="BP61" s="184">
        <v>98373</v>
      </c>
      <c r="BQ61" s="184" t="s">
        <v>1269</v>
      </c>
      <c r="BR61" s="184">
        <v>499464</v>
      </c>
      <c r="BS61" s="184">
        <v>80691</v>
      </c>
      <c r="BT61" s="184">
        <v>37235</v>
      </c>
      <c r="BU61" s="184" t="s">
        <v>1269</v>
      </c>
      <c r="BV61" s="184">
        <v>1277874</v>
      </c>
      <c r="BW61" s="184">
        <v>219190</v>
      </c>
      <c r="BX61" s="184"/>
      <c r="BY61" s="184">
        <v>3797858</v>
      </c>
      <c r="BZ61" s="184" t="s">
        <v>1269</v>
      </c>
      <c r="CA61" s="184">
        <v>529888</v>
      </c>
      <c r="CB61" s="184" t="s">
        <v>1269</v>
      </c>
      <c r="CC61" s="184">
        <v>50522</v>
      </c>
      <c r="CD61" s="249" t="s">
        <v>221</v>
      </c>
      <c r="CE61" s="195">
        <f t="shared" si="0"/>
        <v>97187781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2619367</v>
      </c>
      <c r="D62" s="195">
        <f t="shared" si="1"/>
        <v>1042062</v>
      </c>
      <c r="E62" s="195">
        <f t="shared" si="1"/>
        <v>4353646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1483293</v>
      </c>
      <c r="P62" s="195">
        <f t="shared" si="1"/>
        <v>1944278</v>
      </c>
      <c r="Q62" s="195">
        <f t="shared" si="1"/>
        <v>486956</v>
      </c>
      <c r="R62" s="195">
        <f t="shared" si="1"/>
        <v>35566</v>
      </c>
      <c r="S62" s="195">
        <f t="shared" si="1"/>
        <v>493608</v>
      </c>
      <c r="T62" s="195">
        <f t="shared" si="1"/>
        <v>92700</v>
      </c>
      <c r="U62" s="195">
        <f t="shared" si="1"/>
        <v>1019090</v>
      </c>
      <c r="V62" s="195">
        <f t="shared" si="1"/>
        <v>991666</v>
      </c>
      <c r="W62" s="195">
        <f t="shared" si="1"/>
        <v>152780</v>
      </c>
      <c r="X62" s="195">
        <f t="shared" si="1"/>
        <v>311026</v>
      </c>
      <c r="Y62" s="195">
        <f t="shared" si="1"/>
        <v>1029315</v>
      </c>
      <c r="Z62" s="195">
        <f t="shared" si="1"/>
        <v>0</v>
      </c>
      <c r="AA62" s="195">
        <f t="shared" si="1"/>
        <v>99241</v>
      </c>
      <c r="AB62" s="195">
        <f t="shared" si="1"/>
        <v>919247</v>
      </c>
      <c r="AC62" s="195">
        <f t="shared" si="1"/>
        <v>790354</v>
      </c>
      <c r="AD62" s="195">
        <f t="shared" si="1"/>
        <v>773</v>
      </c>
      <c r="AE62" s="195">
        <f t="shared" si="1"/>
        <v>197735</v>
      </c>
      <c r="AF62" s="195">
        <f t="shared" si="1"/>
        <v>0</v>
      </c>
      <c r="AG62" s="195">
        <f t="shared" si="1"/>
        <v>1682724</v>
      </c>
      <c r="AH62" s="195">
        <f t="shared" si="1"/>
        <v>0</v>
      </c>
      <c r="AI62" s="195">
        <f t="shared" si="1"/>
        <v>608321</v>
      </c>
      <c r="AJ62" s="195">
        <f t="shared" si="1"/>
        <v>0</v>
      </c>
      <c r="AK62" s="195">
        <f t="shared" si="1"/>
        <v>95132</v>
      </c>
      <c r="AL62" s="195">
        <f t="shared" si="1"/>
        <v>44575</v>
      </c>
      <c r="AM62" s="195">
        <f t="shared" si="1"/>
        <v>0</v>
      </c>
      <c r="AN62" s="195">
        <f t="shared" si="1"/>
        <v>106994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1254</v>
      </c>
      <c r="AX62" s="195">
        <f t="shared" si="1"/>
        <v>0</v>
      </c>
      <c r="AY62" s="195">
        <f>ROUND(AY47+AY48,0)</f>
        <v>558962</v>
      </c>
      <c r="AZ62" s="195">
        <f>ROUND(AZ47+AZ48,0)</f>
        <v>0</v>
      </c>
      <c r="BA62" s="195">
        <f>ROUND(BA47+BA48,0)</f>
        <v>30982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592111</v>
      </c>
      <c r="BF62" s="195">
        <f t="shared" si="1"/>
        <v>606342</v>
      </c>
      <c r="BG62" s="195">
        <f t="shared" si="1"/>
        <v>52989</v>
      </c>
      <c r="BH62" s="195">
        <f t="shared" si="1"/>
        <v>797360</v>
      </c>
      <c r="BI62" s="195">
        <f t="shared" si="1"/>
        <v>75081</v>
      </c>
      <c r="BJ62" s="195">
        <f t="shared" si="1"/>
        <v>146479</v>
      </c>
      <c r="BK62" s="195">
        <f t="shared" si="1"/>
        <v>315326</v>
      </c>
      <c r="BL62" s="195">
        <f t="shared" si="1"/>
        <v>548332</v>
      </c>
      <c r="BM62" s="195">
        <f t="shared" si="1"/>
        <v>0</v>
      </c>
      <c r="BN62" s="195">
        <f t="shared" si="1"/>
        <v>689253</v>
      </c>
      <c r="BO62" s="195">
        <f t="shared" ref="BO62:CC62" si="2">ROUND(BO47+BO48,0)</f>
        <v>0</v>
      </c>
      <c r="BP62" s="195">
        <f t="shared" si="2"/>
        <v>27162</v>
      </c>
      <c r="BQ62" s="195">
        <f t="shared" si="2"/>
        <v>0</v>
      </c>
      <c r="BR62" s="195">
        <f t="shared" si="2"/>
        <v>137908</v>
      </c>
      <c r="BS62" s="195">
        <f t="shared" si="2"/>
        <v>22280</v>
      </c>
      <c r="BT62" s="195">
        <f t="shared" si="2"/>
        <v>10281</v>
      </c>
      <c r="BU62" s="195">
        <f t="shared" si="2"/>
        <v>0</v>
      </c>
      <c r="BV62" s="195">
        <f t="shared" si="2"/>
        <v>352838</v>
      </c>
      <c r="BW62" s="195">
        <f t="shared" si="2"/>
        <v>60521</v>
      </c>
      <c r="BX62" s="195">
        <f t="shared" si="2"/>
        <v>0</v>
      </c>
      <c r="BY62" s="195">
        <f t="shared" si="2"/>
        <v>1048638</v>
      </c>
      <c r="BZ62" s="195">
        <f t="shared" si="2"/>
        <v>0</v>
      </c>
      <c r="CA62" s="195">
        <f t="shared" si="2"/>
        <v>146309</v>
      </c>
      <c r="CB62" s="195">
        <f t="shared" si="2"/>
        <v>0</v>
      </c>
      <c r="CC62" s="195">
        <f t="shared" si="2"/>
        <v>13950</v>
      </c>
      <c r="CD62" s="249" t="s">
        <v>221</v>
      </c>
      <c r="CE62" s="195">
        <f t="shared" si="0"/>
        <v>26834807</v>
      </c>
      <c r="CF62" s="252"/>
    </row>
    <row r="63" spans="1:84" ht="12.6" customHeight="1">
      <c r="A63" s="171" t="s">
        <v>236</v>
      </c>
      <c r="B63" s="175"/>
      <c r="C63" s="184">
        <v>937330</v>
      </c>
      <c r="D63" s="184"/>
      <c r="E63" s="184">
        <v>112289</v>
      </c>
      <c r="F63" s="184" t="s">
        <v>1269</v>
      </c>
      <c r="G63" s="184" t="s">
        <v>1269</v>
      </c>
      <c r="H63" s="184" t="s">
        <v>1269</v>
      </c>
      <c r="I63" s="184" t="s">
        <v>1269</v>
      </c>
      <c r="J63" s="184" t="s">
        <v>1269</v>
      </c>
      <c r="K63" s="184" t="s">
        <v>1269</v>
      </c>
      <c r="L63" s="184" t="s">
        <v>1269</v>
      </c>
      <c r="M63" s="184" t="s">
        <v>1269</v>
      </c>
      <c r="N63" s="184" t="s">
        <v>1269</v>
      </c>
      <c r="O63" s="184">
        <v>1350000</v>
      </c>
      <c r="P63" s="184">
        <v>1033625</v>
      </c>
      <c r="Q63" s="184">
        <v>0</v>
      </c>
      <c r="R63" s="184">
        <v>1300008</v>
      </c>
      <c r="S63" s="184">
        <v>0</v>
      </c>
      <c r="T63" s="184">
        <v>0</v>
      </c>
      <c r="U63" s="184">
        <v>0</v>
      </c>
      <c r="V63" s="184">
        <v>22663</v>
      </c>
      <c r="W63" s="184">
        <v>0</v>
      </c>
      <c r="X63" s="184">
        <v>0</v>
      </c>
      <c r="Y63" s="184">
        <v>10425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 t="s">
        <v>1269</v>
      </c>
      <c r="AG63" s="184">
        <v>2530806</v>
      </c>
      <c r="AH63" s="184" t="s">
        <v>1269</v>
      </c>
      <c r="AI63" s="184">
        <v>0</v>
      </c>
      <c r="AJ63" s="184" t="s">
        <v>1269</v>
      </c>
      <c r="AK63" s="184">
        <v>0</v>
      </c>
      <c r="AL63" s="184">
        <v>0</v>
      </c>
      <c r="AM63" s="184" t="s">
        <v>1269</v>
      </c>
      <c r="AN63" s="184">
        <v>0</v>
      </c>
      <c r="AO63" s="184" t="s">
        <v>1269</v>
      </c>
      <c r="AP63" s="184" t="s">
        <v>1269</v>
      </c>
      <c r="AQ63" s="184" t="s">
        <v>1269</v>
      </c>
      <c r="AR63" s="184" t="s">
        <v>1269</v>
      </c>
      <c r="AS63" s="184" t="s">
        <v>1269</v>
      </c>
      <c r="AT63" s="184" t="s">
        <v>1269</v>
      </c>
      <c r="AU63" s="184" t="s">
        <v>1269</v>
      </c>
      <c r="AV63" s="184"/>
      <c r="AW63" s="184">
        <v>0</v>
      </c>
      <c r="AX63" s="184" t="s">
        <v>1269</v>
      </c>
      <c r="AY63" s="184">
        <v>0</v>
      </c>
      <c r="AZ63" s="184" t="s">
        <v>1269</v>
      </c>
      <c r="BA63" s="184">
        <v>0</v>
      </c>
      <c r="BB63" s="184" t="s">
        <v>1269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 t="s">
        <v>1269</v>
      </c>
      <c r="BJ63" s="184">
        <v>0</v>
      </c>
      <c r="BK63" s="184">
        <v>0</v>
      </c>
      <c r="BL63" s="184">
        <v>0</v>
      </c>
      <c r="BM63" s="184" t="s">
        <v>1269</v>
      </c>
      <c r="BN63" s="184">
        <v>269697</v>
      </c>
      <c r="BO63" s="184" t="s">
        <v>1269</v>
      </c>
      <c r="BP63" s="184">
        <v>0</v>
      </c>
      <c r="BQ63" s="184" t="s">
        <v>1269</v>
      </c>
      <c r="BR63" s="184">
        <v>0</v>
      </c>
      <c r="BS63" s="184">
        <v>0</v>
      </c>
      <c r="BT63" s="184">
        <v>0</v>
      </c>
      <c r="BU63" s="184" t="s">
        <v>1269</v>
      </c>
      <c r="BV63" s="184">
        <v>0</v>
      </c>
      <c r="BW63" s="184">
        <v>82493</v>
      </c>
      <c r="BX63" s="184">
        <v>0</v>
      </c>
      <c r="BY63" s="184">
        <v>0</v>
      </c>
      <c r="BZ63" s="184" t="s">
        <v>1269</v>
      </c>
      <c r="CA63" s="184">
        <v>0</v>
      </c>
      <c r="CB63" s="184" t="s">
        <v>1269</v>
      </c>
      <c r="CC63" s="184">
        <v>8494495</v>
      </c>
      <c r="CD63" s="249" t="s">
        <v>221</v>
      </c>
      <c r="CE63" s="195">
        <f t="shared" si="0"/>
        <v>16143831</v>
      </c>
      <c r="CF63" s="252"/>
    </row>
    <row r="64" spans="1:84" ht="12.6" customHeight="1">
      <c r="A64" s="171" t="s">
        <v>237</v>
      </c>
      <c r="B64" s="175"/>
      <c r="C64" s="184">
        <v>793474</v>
      </c>
      <c r="D64" s="184">
        <v>370036</v>
      </c>
      <c r="E64" s="184">
        <v>1479676</v>
      </c>
      <c r="F64" s="184" t="s">
        <v>1269</v>
      </c>
      <c r="G64" s="184" t="s">
        <v>1269</v>
      </c>
      <c r="H64" s="184" t="s">
        <v>1269</v>
      </c>
      <c r="I64" s="184" t="s">
        <v>1269</v>
      </c>
      <c r="J64" s="184" t="s">
        <v>1269</v>
      </c>
      <c r="K64" s="184" t="s">
        <v>1269</v>
      </c>
      <c r="L64" s="184" t="s">
        <v>1269</v>
      </c>
      <c r="M64" s="184" t="s">
        <v>1269</v>
      </c>
      <c r="N64" s="184" t="s">
        <v>1269</v>
      </c>
      <c r="O64" s="184">
        <v>443785</v>
      </c>
      <c r="P64" s="184">
        <v>24285334</v>
      </c>
      <c r="Q64" s="184">
        <v>191008</v>
      </c>
      <c r="R64" s="184">
        <v>447535</v>
      </c>
      <c r="S64" s="184">
        <v>279258</v>
      </c>
      <c r="T64" s="184">
        <v>235894</v>
      </c>
      <c r="U64" s="184">
        <v>3323960</v>
      </c>
      <c r="V64" s="184">
        <v>8643956</v>
      </c>
      <c r="W64" s="184">
        <v>28727</v>
      </c>
      <c r="X64" s="184">
        <v>223003</v>
      </c>
      <c r="Y64" s="184">
        <v>234373</v>
      </c>
      <c r="Z64" s="184">
        <v>0</v>
      </c>
      <c r="AA64" s="184">
        <v>524064</v>
      </c>
      <c r="AB64" s="184">
        <v>8310734</v>
      </c>
      <c r="AC64" s="184">
        <v>684877</v>
      </c>
      <c r="AD64" s="184">
        <v>9205</v>
      </c>
      <c r="AE64" s="184">
        <v>2599</v>
      </c>
      <c r="AF64" s="184" t="s">
        <v>1269</v>
      </c>
      <c r="AG64" s="184">
        <v>673342</v>
      </c>
      <c r="AH64" s="184" t="s">
        <v>1269</v>
      </c>
      <c r="AI64" s="184">
        <v>1404446</v>
      </c>
      <c r="AJ64" s="184" t="s">
        <v>1269</v>
      </c>
      <c r="AK64" s="184">
        <v>805</v>
      </c>
      <c r="AL64" s="184">
        <v>1063</v>
      </c>
      <c r="AM64" s="184" t="s">
        <v>1269</v>
      </c>
      <c r="AN64" s="184">
        <v>11665</v>
      </c>
      <c r="AO64" s="184" t="s">
        <v>1269</v>
      </c>
      <c r="AP64" s="184" t="s">
        <v>1269</v>
      </c>
      <c r="AQ64" s="184" t="s">
        <v>1269</v>
      </c>
      <c r="AR64" s="184" t="s">
        <v>1269</v>
      </c>
      <c r="AS64" s="184" t="s">
        <v>1269</v>
      </c>
      <c r="AT64" s="184" t="s">
        <v>1269</v>
      </c>
      <c r="AU64" s="184" t="s">
        <v>1269</v>
      </c>
      <c r="AV64" s="184">
        <v>162</v>
      </c>
      <c r="AW64" s="184">
        <v>0</v>
      </c>
      <c r="AX64" s="184" t="s">
        <v>1269</v>
      </c>
      <c r="AY64" s="184">
        <v>1992563</v>
      </c>
      <c r="AZ64" s="184"/>
      <c r="BA64" s="184">
        <v>30609</v>
      </c>
      <c r="BB64" s="184" t="s">
        <v>1269</v>
      </c>
      <c r="BC64" s="184"/>
      <c r="BD64" s="184">
        <v>7322</v>
      </c>
      <c r="BE64" s="184">
        <v>100515</v>
      </c>
      <c r="BF64" s="184">
        <v>236292</v>
      </c>
      <c r="BG64" s="184">
        <v>353</v>
      </c>
      <c r="BH64" s="184">
        <v>17259</v>
      </c>
      <c r="BI64" s="184">
        <v>43803</v>
      </c>
      <c r="BJ64" s="184">
        <v>7052</v>
      </c>
      <c r="BK64" s="184">
        <v>12382</v>
      </c>
      <c r="BL64" s="184">
        <v>45224</v>
      </c>
      <c r="BM64" s="184" t="s">
        <v>1269</v>
      </c>
      <c r="BN64" s="184">
        <v>37850</v>
      </c>
      <c r="BO64" s="184" t="s">
        <v>1269</v>
      </c>
      <c r="BP64" s="184">
        <v>1893</v>
      </c>
      <c r="BQ64" s="184" t="s">
        <v>1269</v>
      </c>
      <c r="BR64" s="184">
        <v>11630</v>
      </c>
      <c r="BS64" s="184">
        <v>7537</v>
      </c>
      <c r="BT64" s="184">
        <v>0</v>
      </c>
      <c r="BU64" s="184" t="s">
        <v>1269</v>
      </c>
      <c r="BV64" s="184">
        <v>26758</v>
      </c>
      <c r="BW64" s="184">
        <v>2624</v>
      </c>
      <c r="BX64" s="184"/>
      <c r="BY64" s="184">
        <v>66732</v>
      </c>
      <c r="BZ64" s="184" t="s">
        <v>1269</v>
      </c>
      <c r="CA64" s="184">
        <v>17222</v>
      </c>
      <c r="CB64" s="184" t="s">
        <v>1269</v>
      </c>
      <c r="CC64" s="184">
        <v>546787</v>
      </c>
      <c r="CD64" s="249" t="s">
        <v>221</v>
      </c>
      <c r="CE64" s="195">
        <f t="shared" si="0"/>
        <v>55815388</v>
      </c>
      <c r="CF64" s="252"/>
    </row>
    <row r="65" spans="1:86" ht="12.6" customHeight="1">
      <c r="A65" s="171" t="s">
        <v>238</v>
      </c>
      <c r="B65" s="175"/>
      <c r="C65" s="184">
        <v>0</v>
      </c>
      <c r="D65" s="184">
        <v>0</v>
      </c>
      <c r="E65" s="184">
        <v>0</v>
      </c>
      <c r="F65" s="184" t="s">
        <v>1269</v>
      </c>
      <c r="G65" s="184" t="s">
        <v>1269</v>
      </c>
      <c r="H65" s="184" t="s">
        <v>1269</v>
      </c>
      <c r="I65" s="184" t="s">
        <v>1269</v>
      </c>
      <c r="J65" s="184" t="s">
        <v>1269</v>
      </c>
      <c r="K65" s="184" t="s">
        <v>1269</v>
      </c>
      <c r="L65" s="184" t="s">
        <v>1269</v>
      </c>
      <c r="M65" s="184" t="s">
        <v>1269</v>
      </c>
      <c r="N65" s="184" t="s">
        <v>1269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 t="s">
        <v>1269</v>
      </c>
      <c r="AG65" s="184">
        <v>0</v>
      </c>
      <c r="AH65" s="184" t="s">
        <v>1269</v>
      </c>
      <c r="AI65" s="184">
        <v>0</v>
      </c>
      <c r="AJ65" s="184" t="s">
        <v>1269</v>
      </c>
      <c r="AK65" s="184">
        <v>0</v>
      </c>
      <c r="AL65" s="184">
        <v>0</v>
      </c>
      <c r="AM65" s="184" t="s">
        <v>1269</v>
      </c>
      <c r="AN65" s="184">
        <v>0</v>
      </c>
      <c r="AO65" s="184" t="s">
        <v>1269</v>
      </c>
      <c r="AP65" s="184" t="s">
        <v>1269</v>
      </c>
      <c r="AQ65" s="184" t="s">
        <v>1269</v>
      </c>
      <c r="AR65" s="184" t="s">
        <v>1269</v>
      </c>
      <c r="AS65" s="184" t="s">
        <v>1269</v>
      </c>
      <c r="AT65" s="184" t="s">
        <v>1269</v>
      </c>
      <c r="AU65" s="184" t="s">
        <v>1269</v>
      </c>
      <c r="AV65" s="184">
        <v>0</v>
      </c>
      <c r="AW65" s="184">
        <v>0</v>
      </c>
      <c r="AX65" s="184" t="s">
        <v>1269</v>
      </c>
      <c r="AY65" s="184">
        <v>0</v>
      </c>
      <c r="AZ65" s="184" t="s">
        <v>1269</v>
      </c>
      <c r="BA65" s="184">
        <v>0</v>
      </c>
      <c r="BB65" s="184" t="s">
        <v>1269</v>
      </c>
      <c r="BC65" s="184">
        <v>0</v>
      </c>
      <c r="BD65" s="184">
        <v>0</v>
      </c>
      <c r="BE65" s="184">
        <v>2841346</v>
      </c>
      <c r="BF65" s="184">
        <v>0</v>
      </c>
      <c r="BG65" s="184">
        <v>0</v>
      </c>
      <c r="BH65" s="184">
        <v>0</v>
      </c>
      <c r="BI65" s="184">
        <v>268561</v>
      </c>
      <c r="BJ65" s="184">
        <v>0</v>
      </c>
      <c r="BK65" s="184">
        <v>0</v>
      </c>
      <c r="BL65" s="184">
        <v>0</v>
      </c>
      <c r="BM65" s="184" t="s">
        <v>1269</v>
      </c>
      <c r="BN65" s="184">
        <v>0</v>
      </c>
      <c r="BO65" s="184" t="s">
        <v>1269</v>
      </c>
      <c r="BP65" s="184">
        <v>0</v>
      </c>
      <c r="BQ65" s="184" t="s">
        <v>1269</v>
      </c>
      <c r="BR65" s="184">
        <v>0</v>
      </c>
      <c r="BS65" s="184">
        <v>0</v>
      </c>
      <c r="BT65" s="184">
        <v>0</v>
      </c>
      <c r="BU65" s="184" t="s">
        <v>1269</v>
      </c>
      <c r="BV65" s="184">
        <v>0</v>
      </c>
      <c r="BW65" s="184">
        <v>0</v>
      </c>
      <c r="BX65" s="184">
        <v>0</v>
      </c>
      <c r="BY65" s="184">
        <v>0</v>
      </c>
      <c r="BZ65" s="184" t="s">
        <v>1269</v>
      </c>
      <c r="CA65" s="184">
        <v>0</v>
      </c>
      <c r="CB65" s="184" t="s">
        <v>1269</v>
      </c>
      <c r="CC65" s="184">
        <v>365016</v>
      </c>
      <c r="CD65" s="249" t="s">
        <v>221</v>
      </c>
      <c r="CE65" s="195">
        <f t="shared" si="0"/>
        <v>3474923</v>
      </c>
      <c r="CF65" s="252"/>
    </row>
    <row r="66" spans="1:86" ht="12.6" customHeight="1">
      <c r="A66" s="171" t="s">
        <v>239</v>
      </c>
      <c r="B66" s="175"/>
      <c r="C66" s="184">
        <v>3227</v>
      </c>
      <c r="D66" s="184">
        <v>6007</v>
      </c>
      <c r="E66" s="184">
        <v>629326</v>
      </c>
      <c r="F66" s="184" t="s">
        <v>1269</v>
      </c>
      <c r="G66" s="184" t="s">
        <v>1269</v>
      </c>
      <c r="H66" s="184" t="s">
        <v>1269</v>
      </c>
      <c r="I66" s="184" t="s">
        <v>1269</v>
      </c>
      <c r="J66" s="184" t="s">
        <v>1269</v>
      </c>
      <c r="K66" s="184" t="s">
        <v>1269</v>
      </c>
      <c r="L66" s="184" t="s">
        <v>1269</v>
      </c>
      <c r="M66" s="184" t="s">
        <v>1269</v>
      </c>
      <c r="N66" s="184" t="s">
        <v>1269</v>
      </c>
      <c r="O66" s="184">
        <v>235353</v>
      </c>
      <c r="P66" s="184">
        <v>1221630</v>
      </c>
      <c r="Q66" s="184">
        <v>0</v>
      </c>
      <c r="R66" s="184">
        <v>0</v>
      </c>
      <c r="S66" s="184">
        <v>46197</v>
      </c>
      <c r="T66" s="184">
        <v>41150</v>
      </c>
      <c r="U66" s="184">
        <v>888044</v>
      </c>
      <c r="V66" s="184">
        <v>14422</v>
      </c>
      <c r="W66" s="184">
        <v>66135</v>
      </c>
      <c r="X66" s="184">
        <v>2900</v>
      </c>
      <c r="Y66" s="184">
        <v>3857512</v>
      </c>
      <c r="Z66" s="184">
        <v>63000</v>
      </c>
      <c r="AA66" s="184">
        <v>28182</v>
      </c>
      <c r="AB66" s="184">
        <v>-24151</v>
      </c>
      <c r="AC66" s="184">
        <v>19003</v>
      </c>
      <c r="AD66" s="184">
        <v>899523</v>
      </c>
      <c r="AE66" s="184">
        <v>0</v>
      </c>
      <c r="AF66" s="184" t="s">
        <v>1269</v>
      </c>
      <c r="AG66" s="184">
        <v>395527</v>
      </c>
      <c r="AH66" s="184" t="s">
        <v>1269</v>
      </c>
      <c r="AI66" s="184">
        <v>26415</v>
      </c>
      <c r="AJ66" s="184" t="s">
        <v>1269</v>
      </c>
      <c r="AK66" s="184">
        <v>0</v>
      </c>
      <c r="AL66" s="184">
        <v>0</v>
      </c>
      <c r="AM66" s="184" t="s">
        <v>1269</v>
      </c>
      <c r="AN66" s="184">
        <v>0</v>
      </c>
      <c r="AO66" s="184" t="s">
        <v>1269</v>
      </c>
      <c r="AP66" s="184" t="s">
        <v>1269</v>
      </c>
      <c r="AQ66" s="184" t="s">
        <v>1269</v>
      </c>
      <c r="AR66" s="184" t="s">
        <v>1269</v>
      </c>
      <c r="AS66" s="184" t="s">
        <v>1269</v>
      </c>
      <c r="AT66" s="184" t="s">
        <v>1269</v>
      </c>
      <c r="AU66" s="184" t="s">
        <v>1269</v>
      </c>
      <c r="AV66" s="184"/>
      <c r="AW66" s="184"/>
      <c r="AX66" s="184" t="s">
        <v>1269</v>
      </c>
      <c r="AY66" s="184">
        <v>40067</v>
      </c>
      <c r="AZ66" s="184" t="s">
        <v>1269</v>
      </c>
      <c r="BA66" s="184">
        <v>1203379</v>
      </c>
      <c r="BB66" s="184" t="s">
        <v>1269</v>
      </c>
      <c r="BC66" s="184">
        <v>0</v>
      </c>
      <c r="BD66" s="184"/>
      <c r="BE66" s="184">
        <v>386173</v>
      </c>
      <c r="BF66" s="184">
        <v>104316</v>
      </c>
      <c r="BG66" s="184">
        <v>107567</v>
      </c>
      <c r="BH66" s="184">
        <v>2410036</v>
      </c>
      <c r="BI66" s="184">
        <v>1246114</v>
      </c>
      <c r="BJ66" s="184">
        <v>-95502</v>
      </c>
      <c r="BK66" s="184">
        <v>3182292</v>
      </c>
      <c r="BL66" s="184">
        <v>4813</v>
      </c>
      <c r="BM66" s="184" t="s">
        <v>1269</v>
      </c>
      <c r="BN66" s="184">
        <v>1745593</v>
      </c>
      <c r="BO66" s="184" t="s">
        <v>1269</v>
      </c>
      <c r="BP66" s="184">
        <v>21097</v>
      </c>
      <c r="BQ66" s="184" t="s">
        <v>1269</v>
      </c>
      <c r="BR66" s="184">
        <v>5767</v>
      </c>
      <c r="BS66" s="184">
        <v>-6778</v>
      </c>
      <c r="BT66" s="184">
        <v>0</v>
      </c>
      <c r="BU66" s="184" t="s">
        <v>1269</v>
      </c>
      <c r="BV66" s="184">
        <v>740519</v>
      </c>
      <c r="BW66" s="184">
        <v>33662</v>
      </c>
      <c r="BX66" s="184"/>
      <c r="BY66" s="184">
        <v>105995</v>
      </c>
      <c r="BZ66" s="184" t="s">
        <v>1269</v>
      </c>
      <c r="CA66" s="184">
        <v>3252</v>
      </c>
      <c r="CB66" s="184" t="s">
        <v>1269</v>
      </c>
      <c r="CC66" s="184">
        <v>2191493</v>
      </c>
      <c r="CD66" s="249" t="s">
        <v>221</v>
      </c>
      <c r="CE66" s="195">
        <f t="shared" si="0"/>
        <v>21849257</v>
      </c>
      <c r="CF66" s="252"/>
    </row>
    <row r="67" spans="1:86" ht="12.6" customHeight="1">
      <c r="A67" s="171" t="s">
        <v>6</v>
      </c>
      <c r="B67" s="175"/>
      <c r="C67" s="195">
        <f>ROUND(C51+C52,0)</f>
        <v>902844</v>
      </c>
      <c r="D67" s="195">
        <f>ROUND(D51+D52,0)</f>
        <v>201140</v>
      </c>
      <c r="E67" s="195">
        <f t="shared" ref="E67:BP67" si="3">ROUND(E51+E52,0)</f>
        <v>2361393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256360</v>
      </c>
      <c r="P67" s="195">
        <f t="shared" si="3"/>
        <v>1113414</v>
      </c>
      <c r="Q67" s="195">
        <f t="shared" si="3"/>
        <v>312435</v>
      </c>
      <c r="R67" s="195">
        <f t="shared" si="3"/>
        <v>21693</v>
      </c>
      <c r="S67" s="195">
        <f t="shared" si="3"/>
        <v>486780</v>
      </c>
      <c r="T67" s="195">
        <f t="shared" si="3"/>
        <v>0</v>
      </c>
      <c r="U67" s="195">
        <f t="shared" si="3"/>
        <v>476841</v>
      </c>
      <c r="V67" s="195">
        <f t="shared" si="3"/>
        <v>284144</v>
      </c>
      <c r="W67" s="195">
        <f t="shared" si="3"/>
        <v>136675</v>
      </c>
      <c r="X67" s="195">
        <f t="shared" si="3"/>
        <v>160345</v>
      </c>
      <c r="Y67" s="195">
        <f t="shared" si="3"/>
        <v>676886</v>
      </c>
      <c r="Z67" s="195">
        <f t="shared" si="3"/>
        <v>0</v>
      </c>
      <c r="AA67" s="195">
        <f t="shared" si="3"/>
        <v>58907</v>
      </c>
      <c r="AB67" s="195">
        <f t="shared" si="3"/>
        <v>344868</v>
      </c>
      <c r="AC67" s="195">
        <f t="shared" si="3"/>
        <v>171539</v>
      </c>
      <c r="AD67" s="195">
        <f t="shared" si="3"/>
        <v>0</v>
      </c>
      <c r="AE67" s="195">
        <f t="shared" si="3"/>
        <v>68952</v>
      </c>
      <c r="AF67" s="195">
        <f t="shared" si="3"/>
        <v>0</v>
      </c>
      <c r="AG67" s="195">
        <f t="shared" si="3"/>
        <v>573658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143114</v>
      </c>
      <c r="AW67" s="195">
        <f t="shared" si="3"/>
        <v>0</v>
      </c>
      <c r="AX67" s="195">
        <f t="shared" si="3"/>
        <v>0</v>
      </c>
      <c r="AY67" s="195">
        <f t="shared" si="3"/>
        <v>323389</v>
      </c>
      <c r="AZ67" s="195">
        <f>ROUND(AZ51+AZ52,0)</f>
        <v>0</v>
      </c>
      <c r="BA67" s="195">
        <f>ROUND(BA51+BA52,0)</f>
        <v>121341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6740939</v>
      </c>
      <c r="BF67" s="195">
        <f t="shared" si="3"/>
        <v>204800</v>
      </c>
      <c r="BG67" s="195">
        <f t="shared" si="3"/>
        <v>0</v>
      </c>
      <c r="BH67" s="195">
        <f t="shared" si="3"/>
        <v>48007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1132034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83004</v>
      </c>
      <c r="BS67" s="195">
        <f t="shared" si="4"/>
        <v>38951</v>
      </c>
      <c r="BT67" s="195">
        <f t="shared" si="4"/>
        <v>0</v>
      </c>
      <c r="BU67" s="195">
        <f t="shared" si="4"/>
        <v>0</v>
      </c>
      <c r="BV67" s="195">
        <f t="shared" si="4"/>
        <v>226599</v>
      </c>
      <c r="BW67" s="195">
        <f t="shared" si="4"/>
        <v>0</v>
      </c>
      <c r="BX67" s="195">
        <f t="shared" si="4"/>
        <v>23777</v>
      </c>
      <c r="BY67" s="195">
        <f t="shared" si="4"/>
        <v>359855</v>
      </c>
      <c r="BZ67" s="195">
        <f t="shared" si="4"/>
        <v>0</v>
      </c>
      <c r="CA67" s="195">
        <f t="shared" si="4"/>
        <v>30429</v>
      </c>
      <c r="CB67" s="195">
        <f t="shared" si="4"/>
        <v>0</v>
      </c>
      <c r="CC67" s="195">
        <f t="shared" si="4"/>
        <v>87706</v>
      </c>
      <c r="CD67" s="249" t="s">
        <v>221</v>
      </c>
      <c r="CE67" s="195">
        <f t="shared" si="0"/>
        <v>18172819</v>
      </c>
      <c r="CF67" s="252"/>
    </row>
    <row r="68" spans="1:86" ht="12.6" customHeight="1">
      <c r="A68" s="171" t="s">
        <v>240</v>
      </c>
      <c r="B68" s="175"/>
      <c r="C68" s="184">
        <v>17375</v>
      </c>
      <c r="D68" s="184">
        <v>74136</v>
      </c>
      <c r="E68" s="184">
        <v>114482</v>
      </c>
      <c r="F68" s="184" t="s">
        <v>1269</v>
      </c>
      <c r="G68" s="184" t="s">
        <v>1269</v>
      </c>
      <c r="H68" s="184" t="s">
        <v>1269</v>
      </c>
      <c r="I68" s="184" t="s">
        <v>1269</v>
      </c>
      <c r="J68" s="184" t="s">
        <v>1269</v>
      </c>
      <c r="K68" s="184" t="s">
        <v>1269</v>
      </c>
      <c r="L68" s="184" t="s">
        <v>1269</v>
      </c>
      <c r="M68" s="184" t="s">
        <v>1269</v>
      </c>
      <c r="N68" s="184" t="s">
        <v>1269</v>
      </c>
      <c r="O68" s="184">
        <v>138371</v>
      </c>
      <c r="P68" s="184">
        <v>1561444</v>
      </c>
      <c r="Q68" s="184">
        <v>-2429</v>
      </c>
      <c r="R68" s="184">
        <v>0</v>
      </c>
      <c r="S68" s="184">
        <v>135262</v>
      </c>
      <c r="T68" s="184">
        <v>0</v>
      </c>
      <c r="U68" s="184">
        <v>120339</v>
      </c>
      <c r="V68" s="184">
        <v>564094</v>
      </c>
      <c r="W68" s="184">
        <v>2234</v>
      </c>
      <c r="X68" s="184">
        <v>61158</v>
      </c>
      <c r="Y68" s="184">
        <v>123096</v>
      </c>
      <c r="Z68" s="184">
        <v>9000</v>
      </c>
      <c r="AA68" s="184">
        <v>0</v>
      </c>
      <c r="AB68" s="184">
        <v>181389</v>
      </c>
      <c r="AC68" s="184">
        <v>107341</v>
      </c>
      <c r="AD68" s="184">
        <v>-150</v>
      </c>
      <c r="AE68" s="184">
        <v>0</v>
      </c>
      <c r="AF68" s="184" t="s">
        <v>1269</v>
      </c>
      <c r="AG68" s="184">
        <v>243743</v>
      </c>
      <c r="AH68" s="184" t="s">
        <v>1269</v>
      </c>
      <c r="AI68" s="184">
        <v>27040</v>
      </c>
      <c r="AJ68" s="184" t="s">
        <v>1269</v>
      </c>
      <c r="AK68" s="184">
        <v>0</v>
      </c>
      <c r="AL68" s="184">
        <v>0</v>
      </c>
      <c r="AM68" s="184" t="s">
        <v>1269</v>
      </c>
      <c r="AN68" s="184">
        <v>59413</v>
      </c>
      <c r="AO68" s="184" t="s">
        <v>1269</v>
      </c>
      <c r="AP68" s="184" t="s">
        <v>1269</v>
      </c>
      <c r="AQ68" s="184" t="s">
        <v>1269</v>
      </c>
      <c r="AR68" s="184" t="s">
        <v>1269</v>
      </c>
      <c r="AS68" s="184" t="s">
        <v>1269</v>
      </c>
      <c r="AT68" s="184" t="s">
        <v>1269</v>
      </c>
      <c r="AU68" s="184" t="s">
        <v>1269</v>
      </c>
      <c r="AV68" s="184"/>
      <c r="AW68" s="184">
        <v>0</v>
      </c>
      <c r="AX68" s="184" t="s">
        <v>1269</v>
      </c>
      <c r="AY68" s="184">
        <v>19258</v>
      </c>
      <c r="AZ68" s="184" t="s">
        <v>1269</v>
      </c>
      <c r="BA68" s="184"/>
      <c r="BB68" s="184" t="s">
        <v>1269</v>
      </c>
      <c r="BC68" s="184">
        <v>0</v>
      </c>
      <c r="BD68" s="184">
        <v>0</v>
      </c>
      <c r="BE68" s="184">
        <v>9609</v>
      </c>
      <c r="BF68" s="184">
        <v>0</v>
      </c>
      <c r="BG68" s="184">
        <v>0</v>
      </c>
      <c r="BH68" s="184">
        <v>231669</v>
      </c>
      <c r="BI68" s="184" t="s">
        <v>1269</v>
      </c>
      <c r="BJ68" s="184">
        <v>1062</v>
      </c>
      <c r="BK68" s="184">
        <v>0</v>
      </c>
      <c r="BL68" s="184">
        <v>0</v>
      </c>
      <c r="BM68" s="184" t="s">
        <v>1269</v>
      </c>
      <c r="BN68" s="184">
        <v>2273</v>
      </c>
      <c r="BO68" s="184" t="s">
        <v>1269</v>
      </c>
      <c r="BP68" s="184">
        <v>0</v>
      </c>
      <c r="BQ68" s="184" t="s">
        <v>1269</v>
      </c>
      <c r="BR68" s="184">
        <v>0</v>
      </c>
      <c r="BS68" s="184">
        <v>13979</v>
      </c>
      <c r="BT68" s="184">
        <v>0</v>
      </c>
      <c r="BU68" s="184" t="s">
        <v>1269</v>
      </c>
      <c r="BV68" s="184">
        <v>0</v>
      </c>
      <c r="BW68" s="184">
        <v>0</v>
      </c>
      <c r="BX68" s="184"/>
      <c r="BY68" s="184">
        <v>0</v>
      </c>
      <c r="BZ68" s="184" t="s">
        <v>1269</v>
      </c>
      <c r="CA68" s="184">
        <v>0</v>
      </c>
      <c r="CB68" s="184" t="s">
        <v>1269</v>
      </c>
      <c r="CC68" s="184">
        <v>1509693</v>
      </c>
      <c r="CD68" s="249" t="s">
        <v>221</v>
      </c>
      <c r="CE68" s="195">
        <f t="shared" si="0"/>
        <v>5324881</v>
      </c>
      <c r="CF68" s="252"/>
    </row>
    <row r="69" spans="1:86" ht="12.6" customHeight="1">
      <c r="A69" s="171" t="s">
        <v>241</v>
      </c>
      <c r="B69" s="175"/>
      <c r="C69" s="184">
        <v>81048</v>
      </c>
      <c r="D69" s="184">
        <v>3314</v>
      </c>
      <c r="E69" s="184">
        <v>87414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66901</v>
      </c>
      <c r="P69" s="184">
        <v>1018853</v>
      </c>
      <c r="Q69" s="184">
        <v>12344</v>
      </c>
      <c r="R69" s="184">
        <v>6425</v>
      </c>
      <c r="S69" s="184">
        <v>312420</v>
      </c>
      <c r="T69" s="184">
        <v>20501</v>
      </c>
      <c r="U69" s="184">
        <v>94341</v>
      </c>
      <c r="V69" s="184">
        <v>573547</v>
      </c>
      <c r="W69" s="184">
        <v>237544</v>
      </c>
      <c r="X69" s="184">
        <v>194620</v>
      </c>
      <c r="Y69" s="184">
        <v>492034</v>
      </c>
      <c r="Z69" s="184">
        <v>0</v>
      </c>
      <c r="AA69" s="184">
        <v>17389</v>
      </c>
      <c r="AB69" s="184">
        <v>106371</v>
      </c>
      <c r="AC69" s="184">
        <v>41974</v>
      </c>
      <c r="AD69" s="184">
        <v>0</v>
      </c>
      <c r="AE69" s="184">
        <v>134</v>
      </c>
      <c r="AF69" s="184">
        <v>0</v>
      </c>
      <c r="AG69" s="184">
        <v>4278033</v>
      </c>
      <c r="AH69" s="184">
        <v>0</v>
      </c>
      <c r="AI69" s="184">
        <v>205812</v>
      </c>
      <c r="AJ69" s="184">
        <v>0</v>
      </c>
      <c r="AK69" s="184">
        <v>0</v>
      </c>
      <c r="AL69" s="184">
        <v>0</v>
      </c>
      <c r="AM69" s="184">
        <v>0</v>
      </c>
      <c r="AN69" s="184">
        <v>228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14735</v>
      </c>
      <c r="AW69" s="184">
        <v>0</v>
      </c>
      <c r="AX69" s="184">
        <v>0</v>
      </c>
      <c r="AY69" s="184">
        <v>28443</v>
      </c>
      <c r="AZ69" s="184">
        <v>0</v>
      </c>
      <c r="BA69" s="184">
        <v>0</v>
      </c>
      <c r="BB69" s="184">
        <v>0</v>
      </c>
      <c r="BC69" s="184">
        <v>0</v>
      </c>
      <c r="BD69" s="184"/>
      <c r="BE69" s="184">
        <v>1830949</v>
      </c>
      <c r="BF69" s="184">
        <v>47272</v>
      </c>
      <c r="BG69" s="184">
        <v>144</v>
      </c>
      <c r="BH69" s="184">
        <v>303877</v>
      </c>
      <c r="BI69" s="184">
        <v>2425</v>
      </c>
      <c r="BJ69" s="184">
        <v>34843</v>
      </c>
      <c r="BK69" s="184">
        <v>52273</v>
      </c>
      <c r="BL69" s="184">
        <v>339</v>
      </c>
      <c r="BM69" s="184">
        <v>0</v>
      </c>
      <c r="BN69" s="184">
        <v>18458478</v>
      </c>
      <c r="BO69" s="184">
        <v>0</v>
      </c>
      <c r="BP69" s="184">
        <v>477621</v>
      </c>
      <c r="BQ69" s="184">
        <v>0</v>
      </c>
      <c r="BR69" s="184">
        <v>448051</v>
      </c>
      <c r="BS69" s="184">
        <v>66241</v>
      </c>
      <c r="BT69" s="184">
        <v>0</v>
      </c>
      <c r="BU69" s="184">
        <v>0</v>
      </c>
      <c r="BV69" s="184">
        <v>47611</v>
      </c>
      <c r="BW69" s="184">
        <v>7863</v>
      </c>
      <c r="BX69" s="184"/>
      <c r="BY69" s="184">
        <v>256935</v>
      </c>
      <c r="BZ69" s="184">
        <v>0</v>
      </c>
      <c r="CA69" s="184">
        <v>11531</v>
      </c>
      <c r="CB69" s="184">
        <v>0</v>
      </c>
      <c r="CC69" s="184">
        <v>17592359</v>
      </c>
      <c r="CD69" s="188">
        <v>3267135</v>
      </c>
      <c r="CE69" s="195">
        <f t="shared" si="0"/>
        <v>50800372</v>
      </c>
      <c r="CF69" s="252"/>
    </row>
    <row r="70" spans="1:86" ht="12.6" customHeight="1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-428</v>
      </c>
      <c r="P70" s="184"/>
      <c r="Q70" s="184"/>
      <c r="R70" s="184"/>
      <c r="S70" s="184"/>
      <c r="T70" s="184"/>
      <c r="U70" s="185"/>
      <c r="V70" s="184"/>
      <c r="W70" s="184"/>
      <c r="X70" s="185"/>
      <c r="Y70" s="185">
        <v>379704</v>
      </c>
      <c r="Z70" s="185"/>
      <c r="AA70" s="185"/>
      <c r="AB70" s="185"/>
      <c r="AC70" s="185"/>
      <c r="AD70" s="185"/>
      <c r="AE70" s="185"/>
      <c r="AF70" s="185"/>
      <c r="AG70" s="185">
        <v>92570</v>
      </c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1074745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>
        <v>85845</v>
      </c>
      <c r="BJ70" s="185"/>
      <c r="BK70" s="185"/>
      <c r="BL70" s="185"/>
      <c r="BM70" s="185"/>
      <c r="BN70" s="185"/>
      <c r="BO70" s="185"/>
      <c r="BP70" s="185">
        <v>6401</v>
      </c>
      <c r="BQ70" s="185"/>
      <c r="BR70" s="185"/>
      <c r="BS70" s="185">
        <v>215877</v>
      </c>
      <c r="BT70" s="185"/>
      <c r="BU70" s="185"/>
      <c r="BV70" s="185">
        <v>17572</v>
      </c>
      <c r="BW70" s="185"/>
      <c r="BX70" s="185"/>
      <c r="BY70" s="185"/>
      <c r="BZ70" s="185"/>
      <c r="CA70" s="185">
        <v>20309</v>
      </c>
      <c r="CB70" s="185"/>
      <c r="CC70" s="185">
        <v>2253241</v>
      </c>
      <c r="CD70" s="188">
        <v>0</v>
      </c>
      <c r="CE70" s="195">
        <f t="shared" si="0"/>
        <v>4145836</v>
      </c>
      <c r="CF70" s="252"/>
    </row>
    <row r="71" spans="1:86" ht="12.6" customHeight="1">
      <c r="A71" s="171" t="s">
        <v>243</v>
      </c>
      <c r="B71" s="175"/>
      <c r="C71" s="195">
        <f>SUM(C61:C68)+C69-C70</f>
        <v>14841244</v>
      </c>
      <c r="D71" s="195">
        <f t="shared" ref="D71:AI71" si="5">SUM(D61:D69)-D70</f>
        <v>5470738</v>
      </c>
      <c r="E71" s="195">
        <f t="shared" si="5"/>
        <v>24905853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9346541</v>
      </c>
      <c r="P71" s="195">
        <f t="shared" si="5"/>
        <v>39220180</v>
      </c>
      <c r="Q71" s="195">
        <f t="shared" si="5"/>
        <v>2763924</v>
      </c>
      <c r="R71" s="195">
        <f t="shared" si="5"/>
        <v>1940035</v>
      </c>
      <c r="S71" s="195">
        <f t="shared" si="5"/>
        <v>3541228</v>
      </c>
      <c r="T71" s="195">
        <f t="shared" si="5"/>
        <v>725977</v>
      </c>
      <c r="U71" s="195">
        <f t="shared" si="5"/>
        <v>9613461</v>
      </c>
      <c r="V71" s="195">
        <f t="shared" si="5"/>
        <v>14686014</v>
      </c>
      <c r="W71" s="195">
        <f t="shared" si="5"/>
        <v>1177421</v>
      </c>
      <c r="X71" s="195">
        <f t="shared" si="5"/>
        <v>2079496</v>
      </c>
      <c r="Y71" s="195">
        <f t="shared" si="5"/>
        <v>9771813</v>
      </c>
      <c r="Z71" s="195">
        <f t="shared" si="5"/>
        <v>72000</v>
      </c>
      <c r="AA71" s="195">
        <f t="shared" si="5"/>
        <v>1087204</v>
      </c>
      <c r="AB71" s="195">
        <f t="shared" si="5"/>
        <v>13167701</v>
      </c>
      <c r="AC71" s="195">
        <f t="shared" si="5"/>
        <v>4677518</v>
      </c>
      <c r="AD71" s="195">
        <f t="shared" si="5"/>
        <v>912152</v>
      </c>
      <c r="AE71" s="195">
        <f t="shared" si="5"/>
        <v>985559</v>
      </c>
      <c r="AF71" s="195">
        <f t="shared" si="5"/>
        <v>0</v>
      </c>
      <c r="AG71" s="195">
        <f t="shared" si="5"/>
        <v>16379594</v>
      </c>
      <c r="AH71" s="195">
        <f t="shared" si="5"/>
        <v>0</v>
      </c>
      <c r="AI71" s="195">
        <f t="shared" si="5"/>
        <v>4475193</v>
      </c>
      <c r="AJ71" s="195">
        <f t="shared" ref="AJ71:BO71" si="6">SUM(AJ61:AJ69)-AJ70</f>
        <v>0</v>
      </c>
      <c r="AK71" s="195">
        <f t="shared" si="6"/>
        <v>440476</v>
      </c>
      <c r="AL71" s="195">
        <f t="shared" si="6"/>
        <v>207076</v>
      </c>
      <c r="AM71" s="195">
        <f t="shared" si="6"/>
        <v>0</v>
      </c>
      <c r="AN71" s="195">
        <f t="shared" si="6"/>
        <v>565802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158011</v>
      </c>
      <c r="AW71" s="195">
        <f t="shared" si="6"/>
        <v>5794</v>
      </c>
      <c r="AX71" s="195">
        <f t="shared" si="6"/>
        <v>0</v>
      </c>
      <c r="AY71" s="195">
        <f t="shared" si="6"/>
        <v>3912333</v>
      </c>
      <c r="AZ71" s="195">
        <f t="shared" si="6"/>
        <v>0</v>
      </c>
      <c r="BA71" s="195">
        <f t="shared" si="6"/>
        <v>1498517</v>
      </c>
      <c r="BB71" s="195">
        <f t="shared" si="6"/>
        <v>0</v>
      </c>
      <c r="BC71" s="195">
        <f t="shared" si="6"/>
        <v>0</v>
      </c>
      <c r="BD71" s="195">
        <f t="shared" si="6"/>
        <v>7322</v>
      </c>
      <c r="BE71" s="195">
        <f t="shared" si="6"/>
        <v>14646094</v>
      </c>
      <c r="BF71" s="195">
        <f t="shared" si="6"/>
        <v>3395014</v>
      </c>
      <c r="BG71" s="195">
        <f t="shared" si="6"/>
        <v>352965</v>
      </c>
      <c r="BH71" s="195">
        <f t="shared" si="6"/>
        <v>6696010</v>
      </c>
      <c r="BI71" s="195">
        <f t="shared" si="6"/>
        <v>1822061</v>
      </c>
      <c r="BJ71" s="195">
        <f t="shared" si="6"/>
        <v>624438</v>
      </c>
      <c r="BK71" s="195">
        <f t="shared" si="6"/>
        <v>4704291</v>
      </c>
      <c r="BL71" s="195">
        <f t="shared" si="6"/>
        <v>2584606</v>
      </c>
      <c r="BM71" s="195">
        <f t="shared" si="6"/>
        <v>0</v>
      </c>
      <c r="BN71" s="195">
        <f t="shared" si="6"/>
        <v>24831451</v>
      </c>
      <c r="BO71" s="195">
        <f t="shared" si="6"/>
        <v>0</v>
      </c>
      <c r="BP71" s="195">
        <f t="shared" ref="BP71:CC71" si="7">SUM(BP61:BP69)-BP70</f>
        <v>619745</v>
      </c>
      <c r="BQ71" s="195">
        <f t="shared" si="7"/>
        <v>0</v>
      </c>
      <c r="BR71" s="195">
        <f t="shared" si="7"/>
        <v>1185824</v>
      </c>
      <c r="BS71" s="195">
        <f t="shared" si="7"/>
        <v>7024</v>
      </c>
      <c r="BT71" s="195">
        <f t="shared" si="7"/>
        <v>47516</v>
      </c>
      <c r="BU71" s="195">
        <f t="shared" si="7"/>
        <v>0</v>
      </c>
      <c r="BV71" s="195">
        <f t="shared" si="7"/>
        <v>2654627</v>
      </c>
      <c r="BW71" s="195">
        <f t="shared" si="7"/>
        <v>406353</v>
      </c>
      <c r="BX71" s="195">
        <f t="shared" si="7"/>
        <v>23777</v>
      </c>
      <c r="BY71" s="195">
        <f t="shared" si="7"/>
        <v>5636013</v>
      </c>
      <c r="BZ71" s="195">
        <f t="shared" si="7"/>
        <v>0</v>
      </c>
      <c r="CA71" s="195">
        <f t="shared" si="7"/>
        <v>718322</v>
      </c>
      <c r="CB71" s="195">
        <f t="shared" si="7"/>
        <v>0</v>
      </c>
      <c r="CC71" s="195">
        <f t="shared" si="7"/>
        <v>28598780</v>
      </c>
      <c r="CD71" s="245">
        <f>CD69-CD70</f>
        <v>3267135</v>
      </c>
      <c r="CE71" s="195">
        <f>SUM(CE61:CE69)-CE70</f>
        <v>291458223</v>
      </c>
      <c r="CF71" s="252"/>
    </row>
    <row r="72" spans="1:86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6" ht="12.6" customHeight="1">
      <c r="A73" s="171" t="s">
        <v>245</v>
      </c>
      <c r="B73" s="175"/>
      <c r="C73" s="184">
        <v>39492584</v>
      </c>
      <c r="D73" s="184">
        <v>17759415</v>
      </c>
      <c r="E73" s="184">
        <v>64177461</v>
      </c>
      <c r="F73" s="184" t="s">
        <v>1269</v>
      </c>
      <c r="G73" s="184" t="s">
        <v>1269</v>
      </c>
      <c r="H73" s="184" t="s">
        <v>1269</v>
      </c>
      <c r="I73" s="184" t="s">
        <v>1269</v>
      </c>
      <c r="J73" s="184" t="s">
        <v>1269</v>
      </c>
      <c r="K73" s="184" t="s">
        <v>1269</v>
      </c>
      <c r="L73" s="184" t="s">
        <v>1269</v>
      </c>
      <c r="M73" s="184" t="s">
        <v>1269</v>
      </c>
      <c r="N73" s="184" t="s">
        <v>1269</v>
      </c>
      <c r="O73" s="184">
        <v>30459871</v>
      </c>
      <c r="P73" s="184">
        <v>248813115</v>
      </c>
      <c r="Q73" s="184">
        <v>9506763</v>
      </c>
      <c r="R73" s="184">
        <v>16405411</v>
      </c>
      <c r="S73" s="184">
        <v>106673</v>
      </c>
      <c r="T73" s="184">
        <v>4083647</v>
      </c>
      <c r="U73" s="184">
        <v>47236884</v>
      </c>
      <c r="V73" s="184">
        <v>69460484</v>
      </c>
      <c r="W73" s="184">
        <v>7810249</v>
      </c>
      <c r="X73" s="184">
        <v>44818613</v>
      </c>
      <c r="Y73" s="184">
        <v>19129598</v>
      </c>
      <c r="Z73" s="184">
        <v>0</v>
      </c>
      <c r="AA73" s="184">
        <v>5175110</v>
      </c>
      <c r="AB73" s="184">
        <v>116794548</v>
      </c>
      <c r="AC73" s="184">
        <v>24240452</v>
      </c>
      <c r="AD73" s="184">
        <v>9402806</v>
      </c>
      <c r="AE73" s="184">
        <v>5587928</v>
      </c>
      <c r="AF73" s="184" t="s">
        <v>1269</v>
      </c>
      <c r="AG73" s="184">
        <v>19298879</v>
      </c>
      <c r="AH73" s="184" t="s">
        <v>1269</v>
      </c>
      <c r="AI73" s="184">
        <v>4354726</v>
      </c>
      <c r="AJ73" s="184" t="s">
        <v>1269</v>
      </c>
      <c r="AK73" s="184">
        <v>3457513</v>
      </c>
      <c r="AL73" s="184">
        <v>1696188</v>
      </c>
      <c r="AM73" s="184" t="s">
        <v>1269</v>
      </c>
      <c r="AN73" s="184">
        <v>8410094</v>
      </c>
      <c r="AO73" s="184" t="s">
        <v>1269</v>
      </c>
      <c r="AP73" s="184" t="s">
        <v>1269</v>
      </c>
      <c r="AQ73" s="184" t="s">
        <v>1269</v>
      </c>
      <c r="AR73" s="184" t="s">
        <v>1269</v>
      </c>
      <c r="AS73" s="184" t="s">
        <v>1269</v>
      </c>
      <c r="AT73" s="184" t="s">
        <v>1269</v>
      </c>
      <c r="AU73" s="184" t="s">
        <v>1269</v>
      </c>
      <c r="AV73" s="184">
        <v>111409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817790421</v>
      </c>
      <c r="CF73" s="252"/>
    </row>
    <row r="74" spans="1:86" ht="12.6" customHeight="1">
      <c r="A74" s="171" t="s">
        <v>246</v>
      </c>
      <c r="B74" s="175"/>
      <c r="C74" s="184">
        <v>105312</v>
      </c>
      <c r="D74" s="184">
        <v>1660789</v>
      </c>
      <c r="E74" s="184">
        <v>17418271</v>
      </c>
      <c r="F74" s="184" t="s">
        <v>1269</v>
      </c>
      <c r="G74" s="184" t="s">
        <v>1269</v>
      </c>
      <c r="H74" s="184" t="s">
        <v>1269</v>
      </c>
      <c r="I74" s="184" t="s">
        <v>1269</v>
      </c>
      <c r="J74" s="184" t="s">
        <v>1269</v>
      </c>
      <c r="K74" s="184" t="s">
        <v>1269</v>
      </c>
      <c r="L74" s="184" t="s">
        <v>1269</v>
      </c>
      <c r="M74" s="184" t="s">
        <v>1269</v>
      </c>
      <c r="N74" s="184" t="s">
        <v>1269</v>
      </c>
      <c r="O74" s="184">
        <v>1797448</v>
      </c>
      <c r="P74" s="184">
        <v>114057573</v>
      </c>
      <c r="Q74" s="184">
        <v>16996363</v>
      </c>
      <c r="R74" s="184">
        <v>11828410</v>
      </c>
      <c r="S74" s="184">
        <v>15559</v>
      </c>
      <c r="T74" s="184">
        <v>67213</v>
      </c>
      <c r="U74" s="184">
        <v>35909859</v>
      </c>
      <c r="V74" s="184">
        <v>88119784</v>
      </c>
      <c r="W74" s="184">
        <v>19418933</v>
      </c>
      <c r="X74" s="184">
        <v>75822499</v>
      </c>
      <c r="Y74" s="184">
        <v>107793134</v>
      </c>
      <c r="Z74" s="184">
        <v>0</v>
      </c>
      <c r="AA74" s="184">
        <v>7132377</v>
      </c>
      <c r="AB74" s="184">
        <v>35465200</v>
      </c>
      <c r="AC74" s="184">
        <v>7753394</v>
      </c>
      <c r="AD74" s="184">
        <v>484666</v>
      </c>
      <c r="AE74" s="184">
        <v>300052</v>
      </c>
      <c r="AF74" s="184" t="s">
        <v>1269</v>
      </c>
      <c r="AG74" s="184">
        <v>73402638</v>
      </c>
      <c r="AH74" s="184" t="s">
        <v>1269</v>
      </c>
      <c r="AI74" s="184">
        <v>32602398</v>
      </c>
      <c r="AJ74" s="184" t="s">
        <v>1269</v>
      </c>
      <c r="AK74" s="184">
        <v>165336</v>
      </c>
      <c r="AL74" s="184">
        <v>182849</v>
      </c>
      <c r="AM74" s="184" t="s">
        <v>1269</v>
      </c>
      <c r="AN74" s="184">
        <v>2017363</v>
      </c>
      <c r="AO74" s="184" t="s">
        <v>1269</v>
      </c>
      <c r="AP74" s="184" t="s">
        <v>1269</v>
      </c>
      <c r="AQ74" s="184" t="s">
        <v>1269</v>
      </c>
      <c r="AR74" s="184" t="s">
        <v>1269</v>
      </c>
      <c r="AS74" s="184" t="s">
        <v>1269</v>
      </c>
      <c r="AT74" s="184" t="s">
        <v>1269</v>
      </c>
      <c r="AU74" s="184" t="s">
        <v>1269</v>
      </c>
      <c r="AV74" s="184">
        <v>4805097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655322517</v>
      </c>
      <c r="CF74" s="252"/>
    </row>
    <row r="75" spans="1:86" ht="12.6" customHeight="1">
      <c r="A75" s="171" t="s">
        <v>247</v>
      </c>
      <c r="B75" s="175"/>
      <c r="C75" s="195">
        <f t="shared" ref="C75:AV75" si="9">SUM(C73:C74)</f>
        <v>39597896</v>
      </c>
      <c r="D75" s="195">
        <f t="shared" si="9"/>
        <v>19420204</v>
      </c>
      <c r="E75" s="195">
        <f t="shared" si="9"/>
        <v>81595732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32257319</v>
      </c>
      <c r="P75" s="195">
        <f t="shared" si="9"/>
        <v>362870688</v>
      </c>
      <c r="Q75" s="195">
        <f t="shared" si="9"/>
        <v>26503126</v>
      </c>
      <c r="R75" s="195">
        <f t="shared" si="9"/>
        <v>28233821</v>
      </c>
      <c r="S75" s="195">
        <f t="shared" si="9"/>
        <v>122232</v>
      </c>
      <c r="T75" s="195">
        <f t="shared" si="9"/>
        <v>4150860</v>
      </c>
      <c r="U75" s="195">
        <f t="shared" si="9"/>
        <v>83146743</v>
      </c>
      <c r="V75" s="195">
        <f t="shared" si="9"/>
        <v>157580268</v>
      </c>
      <c r="W75" s="195">
        <f t="shared" si="9"/>
        <v>27229182</v>
      </c>
      <c r="X75" s="195">
        <f t="shared" si="9"/>
        <v>120641112</v>
      </c>
      <c r="Y75" s="195">
        <f t="shared" si="9"/>
        <v>126922732</v>
      </c>
      <c r="Z75" s="195">
        <f t="shared" si="9"/>
        <v>0</v>
      </c>
      <c r="AA75" s="195">
        <f t="shared" si="9"/>
        <v>12307487</v>
      </c>
      <c r="AB75" s="195">
        <f t="shared" si="9"/>
        <v>152259748</v>
      </c>
      <c r="AC75" s="195">
        <f t="shared" si="9"/>
        <v>31993846</v>
      </c>
      <c r="AD75" s="195">
        <f t="shared" si="9"/>
        <v>9887472</v>
      </c>
      <c r="AE75" s="195">
        <f t="shared" si="9"/>
        <v>5887980</v>
      </c>
      <c r="AF75" s="195">
        <f t="shared" si="9"/>
        <v>0</v>
      </c>
      <c r="AG75" s="195">
        <f t="shared" si="9"/>
        <v>92701517</v>
      </c>
      <c r="AH75" s="195">
        <f t="shared" si="9"/>
        <v>0</v>
      </c>
      <c r="AI75" s="195">
        <f t="shared" si="9"/>
        <v>36957124</v>
      </c>
      <c r="AJ75" s="195">
        <f t="shared" si="9"/>
        <v>0</v>
      </c>
      <c r="AK75" s="195">
        <f t="shared" si="9"/>
        <v>3622849</v>
      </c>
      <c r="AL75" s="195">
        <f t="shared" si="9"/>
        <v>1879037</v>
      </c>
      <c r="AM75" s="195">
        <f t="shared" si="9"/>
        <v>0</v>
      </c>
      <c r="AN75" s="195">
        <f t="shared" si="9"/>
        <v>10427457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4916506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1473112938</v>
      </c>
      <c r="CF75" s="252"/>
    </row>
    <row r="76" spans="1:86" ht="12.6" customHeight="1">
      <c r="A76" s="171" t="s">
        <v>248</v>
      </c>
      <c r="B76" s="175"/>
      <c r="C76" s="184">
        <v>33795</v>
      </c>
      <c r="D76" s="184">
        <v>7529</v>
      </c>
      <c r="E76" s="185">
        <v>88391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9596</v>
      </c>
      <c r="P76" s="185">
        <v>41677</v>
      </c>
      <c r="Q76" s="185">
        <v>11695</v>
      </c>
      <c r="R76" s="185">
        <v>812</v>
      </c>
      <c r="S76" s="185">
        <v>18221</v>
      </c>
      <c r="T76" s="185"/>
      <c r="U76" s="185">
        <v>17849</v>
      </c>
      <c r="V76" s="185">
        <v>10636</v>
      </c>
      <c r="W76" s="185">
        <v>5116</v>
      </c>
      <c r="X76" s="185">
        <v>6002</v>
      </c>
      <c r="Y76" s="185">
        <v>25337</v>
      </c>
      <c r="Z76" s="185"/>
      <c r="AA76" s="185">
        <v>2205</v>
      </c>
      <c r="AB76" s="185">
        <v>12909</v>
      </c>
      <c r="AC76" s="185">
        <v>6421</v>
      </c>
      <c r="AD76" s="185"/>
      <c r="AE76" s="185">
        <v>2581</v>
      </c>
      <c r="AF76" s="185"/>
      <c r="AG76" s="185">
        <v>21473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5357</v>
      </c>
      <c r="AW76" s="185"/>
      <c r="AX76" s="185"/>
      <c r="AY76" s="290">
        <v>12105</v>
      </c>
      <c r="AZ76" s="290"/>
      <c r="BA76" s="290">
        <v>4542</v>
      </c>
      <c r="BB76" s="290"/>
      <c r="BC76" s="290"/>
      <c r="BD76" s="290"/>
      <c r="BE76" s="290">
        <v>252325</v>
      </c>
      <c r="BF76" s="290">
        <v>7666</v>
      </c>
      <c r="BG76" s="185"/>
      <c r="BH76" s="185">
        <v>1797</v>
      </c>
      <c r="BI76" s="185"/>
      <c r="BJ76" s="185"/>
      <c r="BK76" s="185"/>
      <c r="BL76" s="185"/>
      <c r="BM76" s="185"/>
      <c r="BN76" s="290">
        <v>42374</v>
      </c>
      <c r="BO76" s="290"/>
      <c r="BP76" s="290"/>
      <c r="BQ76" s="290"/>
      <c r="BR76" s="290">
        <v>3107</v>
      </c>
      <c r="BS76" s="185">
        <v>1458</v>
      </c>
      <c r="BT76" s="185"/>
      <c r="BU76" s="185"/>
      <c r="BV76" s="185">
        <v>8482</v>
      </c>
      <c r="BW76" s="185"/>
      <c r="BX76" s="185">
        <v>890</v>
      </c>
      <c r="BY76" s="185">
        <v>13470</v>
      </c>
      <c r="BZ76" s="185"/>
      <c r="CA76" s="185">
        <v>1139</v>
      </c>
      <c r="CB76" s="185"/>
      <c r="CC76" s="290">
        <v>3283</v>
      </c>
      <c r="CD76" s="249" t="s">
        <v>221</v>
      </c>
      <c r="CE76" s="195">
        <f t="shared" si="8"/>
        <v>680240</v>
      </c>
      <c r="CF76" s="195">
        <f>BE59-CE76</f>
        <v>0</v>
      </c>
      <c r="CG76" s="234">
        <f>CE76-CC76-BN76-BE76-AY76-BF76-BR76</f>
        <v>359380</v>
      </c>
      <c r="CH76" s="234"/>
    </row>
    <row r="77" spans="1:86" ht="12.6" customHeight="1">
      <c r="A77" s="171" t="s">
        <v>249</v>
      </c>
      <c r="B77" s="175"/>
      <c r="C77" s="184">
        <f>0.076*CH77</f>
        <v>83847.759999999995</v>
      </c>
      <c r="D77" s="184">
        <f>0.19*CH77</f>
        <v>209619.4</v>
      </c>
      <c r="E77" s="184">
        <f>(0.683*CH77)+441</f>
        <v>753967.58000000007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f>0.03*CH77</f>
        <v>33097.799999999996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0.012*CH77</f>
        <v>13239.12</v>
      </c>
      <c r="AH77" s="184"/>
      <c r="AI77" s="184">
        <f>0.0086*CH77</f>
        <v>9488.0360000000001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1103259.6960000002</v>
      </c>
      <c r="CF77" s="195">
        <f>AY59-CE77</f>
        <v>-146807.69600000023</v>
      </c>
      <c r="CG77" s="234"/>
      <c r="CH77" s="234">
        <v>1103260</v>
      </c>
    </row>
    <row r="78" spans="1:86" ht="12.6" customHeight="1">
      <c r="A78" s="171" t="s">
        <v>250</v>
      </c>
      <c r="B78" s="175"/>
      <c r="C78" s="184">
        <f>(C76/$CG$76)*$CG$78</f>
        <v>11535.607003728643</v>
      </c>
      <c r="D78" s="184">
        <f t="shared" ref="D78:AW78" si="10">(D76/$CG$76)*$CG$78</f>
        <v>2569.9536952529356</v>
      </c>
      <c r="E78" s="184">
        <f t="shared" si="10"/>
        <v>30171.440706216261</v>
      </c>
      <c r="F78" s="184">
        <f t="shared" si="10"/>
        <v>0</v>
      </c>
      <c r="G78" s="184">
        <f t="shared" si="10"/>
        <v>0</v>
      </c>
      <c r="H78" s="184">
        <f t="shared" si="10"/>
        <v>0</v>
      </c>
      <c r="I78" s="184">
        <f t="shared" si="10"/>
        <v>0</v>
      </c>
      <c r="J78" s="184">
        <f t="shared" si="10"/>
        <v>0</v>
      </c>
      <c r="K78" s="184">
        <f t="shared" si="10"/>
        <v>0</v>
      </c>
      <c r="L78" s="184">
        <f t="shared" si="10"/>
        <v>0</v>
      </c>
      <c r="M78" s="184">
        <f t="shared" si="10"/>
        <v>0</v>
      </c>
      <c r="N78" s="184">
        <f t="shared" si="10"/>
        <v>0</v>
      </c>
      <c r="O78" s="184">
        <f t="shared" si="10"/>
        <v>3275.5048027157882</v>
      </c>
      <c r="P78" s="184">
        <f t="shared" si="10"/>
        <v>14226.053945684233</v>
      </c>
      <c r="Q78" s="184">
        <f t="shared" si="10"/>
        <v>3991.9788107295899</v>
      </c>
      <c r="R78" s="184">
        <f t="shared" si="10"/>
        <v>277.16860148032725</v>
      </c>
      <c r="S78" s="184">
        <f t="shared" si="10"/>
        <v>6219.5678418387224</v>
      </c>
      <c r="T78" s="184">
        <f t="shared" si="10"/>
        <v>0</v>
      </c>
      <c r="U78" s="184">
        <f t="shared" si="10"/>
        <v>6092.5891229339422</v>
      </c>
      <c r="V78" s="184">
        <f t="shared" si="10"/>
        <v>3630.4990706216263</v>
      </c>
      <c r="W78" s="184">
        <f t="shared" si="10"/>
        <v>1746.2987255829485</v>
      </c>
      <c r="X78" s="184">
        <f t="shared" si="10"/>
        <v>2048.7265345873448</v>
      </c>
      <c r="Y78" s="184">
        <f t="shared" si="10"/>
        <v>8648.5478518559739</v>
      </c>
      <c r="Z78" s="184">
        <f t="shared" si="10"/>
        <v>0</v>
      </c>
      <c r="AA78" s="184">
        <f t="shared" si="10"/>
        <v>752.65611608881966</v>
      </c>
      <c r="AB78" s="184">
        <f t="shared" si="10"/>
        <v>4406.3663503812122</v>
      </c>
      <c r="AC78" s="184">
        <f t="shared" si="10"/>
        <v>2191.7482636763311</v>
      </c>
      <c r="AD78" s="184">
        <f t="shared" si="10"/>
        <v>0</v>
      </c>
      <c r="AE78" s="184">
        <f t="shared" si="10"/>
        <v>881.00019756246866</v>
      </c>
      <c r="AF78" s="184">
        <f t="shared" si="10"/>
        <v>0</v>
      </c>
      <c r="AG78" s="184">
        <f t="shared" si="10"/>
        <v>7329.6076103288997</v>
      </c>
      <c r="AH78" s="184">
        <f t="shared" si="10"/>
        <v>0</v>
      </c>
      <c r="AI78" s="184">
        <f t="shared" si="10"/>
        <v>0</v>
      </c>
      <c r="AJ78" s="184">
        <f t="shared" si="10"/>
        <v>0</v>
      </c>
      <c r="AK78" s="184">
        <f t="shared" si="10"/>
        <v>0</v>
      </c>
      <c r="AL78" s="184">
        <f t="shared" si="10"/>
        <v>0</v>
      </c>
      <c r="AM78" s="184">
        <f t="shared" si="10"/>
        <v>0</v>
      </c>
      <c r="AN78" s="184">
        <f t="shared" si="10"/>
        <v>0</v>
      </c>
      <c r="AO78" s="184">
        <f t="shared" si="10"/>
        <v>0</v>
      </c>
      <c r="AP78" s="184">
        <f t="shared" si="10"/>
        <v>0</v>
      </c>
      <c r="AQ78" s="184">
        <f t="shared" si="10"/>
        <v>0</v>
      </c>
      <c r="AR78" s="184">
        <f t="shared" si="10"/>
        <v>0</v>
      </c>
      <c r="AS78" s="184">
        <f t="shared" si="10"/>
        <v>0</v>
      </c>
      <c r="AT78" s="184">
        <f t="shared" si="10"/>
        <v>0</v>
      </c>
      <c r="AU78" s="184">
        <f t="shared" si="10"/>
        <v>0</v>
      </c>
      <c r="AV78" s="184">
        <f t="shared" si="10"/>
        <v>1828.5618203572822</v>
      </c>
      <c r="AW78" s="184">
        <f t="shared" si="10"/>
        <v>0</v>
      </c>
      <c r="AX78" s="249" t="s">
        <v>221</v>
      </c>
      <c r="AY78" s="249" t="s">
        <v>221</v>
      </c>
      <c r="AZ78" s="249" t="s">
        <v>221</v>
      </c>
      <c r="BA78" s="184">
        <f t="shared" ref="BA78:BC78" si="11">(BA76/$CG$76)*$CG$78</f>
        <v>1550.3691969503034</v>
      </c>
      <c r="BB78" s="184">
        <f t="shared" si="11"/>
        <v>0</v>
      </c>
      <c r="BC78" s="184">
        <f t="shared" si="11"/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f t="shared" ref="BH78:BI78" si="12">(BH76/$CG$76)*$CG$78</f>
        <v>613.38913406422171</v>
      </c>
      <c r="BI78" s="184">
        <f t="shared" si="12"/>
        <v>0</v>
      </c>
      <c r="BJ78" s="249" t="s">
        <v>221</v>
      </c>
      <c r="BK78" s="184">
        <f t="shared" ref="BK78:BM78" si="13">(BK76/$CG$76)*$CG$78</f>
        <v>0</v>
      </c>
      <c r="BL78" s="184">
        <f t="shared" si="13"/>
        <v>0</v>
      </c>
      <c r="BM78" s="184">
        <f t="shared" si="13"/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f t="shared" ref="BS78:CB78" si="14">(BS76/$CG$76)*$CG$78</f>
        <v>497.6746563526072</v>
      </c>
      <c r="BT78" s="184">
        <f t="shared" si="14"/>
        <v>0</v>
      </c>
      <c r="BU78" s="184">
        <f t="shared" si="14"/>
        <v>0</v>
      </c>
      <c r="BV78" s="184">
        <f t="shared" si="14"/>
        <v>2895.251327285881</v>
      </c>
      <c r="BW78" s="184">
        <f t="shared" si="14"/>
        <v>0</v>
      </c>
      <c r="BX78" s="184">
        <f t="shared" si="14"/>
        <v>303.79317157326506</v>
      </c>
      <c r="BY78" s="184">
        <f t="shared" si="14"/>
        <v>4597.858450665035</v>
      </c>
      <c r="BZ78" s="184">
        <f t="shared" si="14"/>
        <v>0</v>
      </c>
      <c r="CA78" s="184">
        <f t="shared" si="14"/>
        <v>388.78699148533588</v>
      </c>
      <c r="CB78" s="184">
        <f t="shared" si="14"/>
        <v>0</v>
      </c>
      <c r="CC78" s="249" t="s">
        <v>221</v>
      </c>
      <c r="CD78" s="249" t="s">
        <v>221</v>
      </c>
      <c r="CE78" s="195">
        <f t="shared" si="8"/>
        <v>122670.99999999999</v>
      </c>
      <c r="CF78" s="195"/>
      <c r="CG78" s="234">
        <v>122671</v>
      </c>
      <c r="CH78" s="234"/>
    </row>
    <row r="79" spans="1:86" ht="12.6" customHeight="1">
      <c r="A79" s="171" t="s">
        <v>251</v>
      </c>
      <c r="B79" s="175"/>
      <c r="C79" s="225">
        <f>0.069*CH79</f>
        <v>118258.48120800001</v>
      </c>
      <c r="D79" s="225">
        <f>0.085*CH79</f>
        <v>145680.73772000003</v>
      </c>
      <c r="E79" s="184">
        <f>0.421*CH79</f>
        <v>721548.12447200005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f>0.026*CH79</f>
        <v>44561.166832000003</v>
      </c>
      <c r="P79" s="184">
        <f>0.294*CH79</f>
        <v>503883.96340800001</v>
      </c>
      <c r="Q79" s="184"/>
      <c r="R79" s="184"/>
      <c r="S79" s="184"/>
      <c r="T79" s="184"/>
      <c r="U79" s="184"/>
      <c r="V79" s="184"/>
      <c r="W79" s="184"/>
      <c r="X79" s="184"/>
      <c r="Y79" s="184">
        <f>0.0064*CH79</f>
        <v>10968.902604800001</v>
      </c>
      <c r="Z79" s="184"/>
      <c r="AA79" s="184"/>
      <c r="AB79" s="184"/>
      <c r="AC79" s="184">
        <f>0.0076*CH79</f>
        <v>13025.571843200001</v>
      </c>
      <c r="AD79" s="184"/>
      <c r="AE79" s="184"/>
      <c r="AF79" s="184"/>
      <c r="AG79" s="184">
        <f>0.068*CH79</f>
        <v>116544.59017600001</v>
      </c>
      <c r="AH79" s="184"/>
      <c r="AI79" s="184">
        <f>0.0063*CH79</f>
        <v>10797.5135016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(0.016*CH79)+1200</f>
        <v>28622.256512000004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1713891.3082776</v>
      </c>
      <c r="CF79" s="195">
        <f>BA59</f>
        <v>0</v>
      </c>
      <c r="CG79" s="234"/>
      <c r="CH79" s="234">
        <f>1566628*1.094</f>
        <v>1713891.0320000001</v>
      </c>
    </row>
    <row r="80" spans="1:86" ht="21" customHeight="1">
      <c r="A80" s="171" t="s">
        <v>252</v>
      </c>
      <c r="B80" s="175"/>
      <c r="C80" s="295">
        <v>40.9</v>
      </c>
      <c r="D80" s="187">
        <v>64.400000000000006</v>
      </c>
      <c r="E80" s="187">
        <v>92.9</v>
      </c>
      <c r="F80" s="187"/>
      <c r="G80" s="187"/>
      <c r="H80" s="187"/>
      <c r="I80" s="187"/>
      <c r="J80" s="187">
        <v>15.3</v>
      </c>
      <c r="K80" s="187"/>
      <c r="L80" s="187"/>
      <c r="M80" s="187"/>
      <c r="N80" s="187"/>
      <c r="O80" s="187">
        <v>16.899999999999999</v>
      </c>
      <c r="P80" s="187">
        <f>18.9+10.5</f>
        <v>29.4</v>
      </c>
      <c r="Q80" s="187">
        <v>11.9</v>
      </c>
      <c r="R80" s="187">
        <v>0</v>
      </c>
      <c r="S80" s="187">
        <v>0</v>
      </c>
      <c r="T80" s="187">
        <v>2.9</v>
      </c>
      <c r="U80" s="187">
        <v>0</v>
      </c>
      <c r="V80" s="187">
        <f>2.7+0.1</f>
        <v>2.8000000000000003</v>
      </c>
      <c r="W80" s="187">
        <v>0.2</v>
      </c>
      <c r="X80" s="187">
        <v>1.8</v>
      </c>
      <c r="Y80" s="187"/>
      <c r="Z80" s="187">
        <v>0.6</v>
      </c>
      <c r="AA80" s="187">
        <v>0.2</v>
      </c>
      <c r="AB80" s="187">
        <v>0</v>
      </c>
      <c r="AC80" s="187">
        <v>8.1</v>
      </c>
      <c r="AD80" s="187">
        <v>0</v>
      </c>
      <c r="AE80" s="187"/>
      <c r="AF80" s="187"/>
      <c r="AG80" s="187">
        <v>25</v>
      </c>
      <c r="AH80" s="187"/>
      <c r="AI80" s="187">
        <f>3.7+12.5</f>
        <v>16.2</v>
      </c>
      <c r="AJ80" s="187"/>
      <c r="AK80" s="187"/>
      <c r="AL80" s="187"/>
      <c r="AM80" s="187"/>
      <c r="AN80" s="187">
        <v>8.6</v>
      </c>
      <c r="AO80" s="187"/>
      <c r="AP80" s="187">
        <v>11.3</v>
      </c>
      <c r="AQ80" s="187"/>
      <c r="AR80" s="187"/>
      <c r="AS80" s="187"/>
      <c r="AT80" s="187"/>
      <c r="AU80" s="187"/>
      <c r="AV80" s="187">
        <v>5.8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355.20000000000005</v>
      </c>
      <c r="CF80" s="255"/>
    </row>
    <row r="81" spans="1:84" ht="12.6" customHeight="1">
      <c r="A81" s="208" t="s">
        <v>253</v>
      </c>
      <c r="B81" s="208"/>
      <c r="C81" s="208"/>
      <c r="D81" s="208"/>
      <c r="E81" s="208"/>
    </row>
    <row r="82" spans="1:84" ht="12.6" customHeight="1">
      <c r="A82" s="171" t="s">
        <v>254</v>
      </c>
      <c r="B82" s="172"/>
      <c r="C82" s="282" t="s">
        <v>1265</v>
      </c>
      <c r="D82" s="256"/>
      <c r="E82" s="175"/>
    </row>
    <row r="83" spans="1:84" ht="12.6" customHeight="1">
      <c r="A83" s="173" t="s">
        <v>255</v>
      </c>
      <c r="B83" s="172" t="s">
        <v>256</v>
      </c>
      <c r="C83" s="227" t="s">
        <v>1270</v>
      </c>
      <c r="D83" s="256"/>
      <c r="E83" s="175"/>
      <c r="CF83" s="180">
        <f>CH77-CE77</f>
        <v>0.30399999977089465</v>
      </c>
    </row>
    <row r="84" spans="1:84" ht="12.6" customHeight="1">
      <c r="A84" s="173" t="s">
        <v>257</v>
      </c>
      <c r="B84" s="172" t="s">
        <v>256</v>
      </c>
      <c r="C84" s="296" t="s">
        <v>1271</v>
      </c>
      <c r="D84" s="205"/>
      <c r="E84" s="204"/>
    </row>
    <row r="85" spans="1:84" ht="12.6" customHeight="1">
      <c r="A85" s="173" t="s">
        <v>1251</v>
      </c>
      <c r="B85" s="172"/>
      <c r="C85" s="297" t="s">
        <v>1272</v>
      </c>
      <c r="D85" s="205"/>
      <c r="E85" s="204"/>
    </row>
    <row r="86" spans="1:84" ht="12.6" customHeight="1">
      <c r="A86" s="173" t="s">
        <v>1252</v>
      </c>
      <c r="B86" s="172" t="s">
        <v>256</v>
      </c>
      <c r="C86" s="298" t="s">
        <v>1273</v>
      </c>
      <c r="D86" s="205"/>
      <c r="E86" s="204"/>
    </row>
    <row r="87" spans="1:84" ht="12.6" customHeight="1">
      <c r="A87" s="173" t="s">
        <v>258</v>
      </c>
      <c r="B87" s="172" t="s">
        <v>256</v>
      </c>
      <c r="C87" s="296" t="s">
        <v>1274</v>
      </c>
      <c r="D87" s="205"/>
      <c r="E87" s="204"/>
    </row>
    <row r="88" spans="1:84" ht="12.6" customHeight="1">
      <c r="A88" s="173" t="s">
        <v>259</v>
      </c>
      <c r="B88" s="172" t="s">
        <v>256</v>
      </c>
      <c r="C88" s="296" t="s">
        <v>1275</v>
      </c>
      <c r="D88" s="205"/>
      <c r="E88" s="204"/>
    </row>
    <row r="89" spans="1:84" ht="12.6" customHeight="1">
      <c r="A89" s="173" t="s">
        <v>260</v>
      </c>
      <c r="B89" s="172" t="s">
        <v>256</v>
      </c>
      <c r="C89" s="296" t="s">
        <v>1276</v>
      </c>
      <c r="D89" s="205"/>
      <c r="E89" s="204"/>
    </row>
    <row r="90" spans="1:84" ht="12.6" customHeight="1">
      <c r="A90" s="173" t="s">
        <v>261</v>
      </c>
      <c r="B90" s="172" t="s">
        <v>256</v>
      </c>
      <c r="C90" s="296" t="s">
        <v>1277</v>
      </c>
      <c r="D90" s="205"/>
      <c r="E90" s="204"/>
    </row>
    <row r="91" spans="1:84" ht="12.6" customHeight="1">
      <c r="A91" s="173" t="s">
        <v>262</v>
      </c>
      <c r="B91" s="172" t="s">
        <v>256</v>
      </c>
      <c r="C91" s="296" t="s">
        <v>1278</v>
      </c>
      <c r="D91" s="205"/>
      <c r="E91" s="204"/>
    </row>
    <row r="92" spans="1:84" ht="12.6" customHeight="1">
      <c r="A92" s="173" t="s">
        <v>263</v>
      </c>
      <c r="B92" s="172" t="s">
        <v>256</v>
      </c>
      <c r="C92" s="299" t="s">
        <v>1279</v>
      </c>
      <c r="D92" s="256"/>
      <c r="E92" s="175"/>
    </row>
    <row r="93" spans="1:84" ht="12.6" customHeight="1">
      <c r="A93" s="173" t="s">
        <v>264</v>
      </c>
      <c r="B93" s="172" t="s">
        <v>256</v>
      </c>
      <c r="C93" s="300" t="s">
        <v>1280</v>
      </c>
      <c r="D93" s="256"/>
      <c r="E93" s="175"/>
    </row>
    <row r="94" spans="1:84" ht="12.6" customHeight="1">
      <c r="A94" s="173"/>
      <c r="B94" s="173"/>
      <c r="C94" s="191"/>
      <c r="D94" s="175"/>
      <c r="E94" s="175"/>
    </row>
    <row r="95" spans="1:84" ht="12.6" customHeight="1">
      <c r="A95" s="208" t="s">
        <v>265</v>
      </c>
      <c r="B95" s="208"/>
      <c r="C95" s="208"/>
      <c r="D95" s="208"/>
      <c r="E95" s="208"/>
    </row>
    <row r="96" spans="1:84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/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304">
        <v>10866</v>
      </c>
      <c r="D111" s="174">
        <v>55241</v>
      </c>
      <c r="E111" s="175"/>
    </row>
    <row r="112" spans="1:5" ht="12.6" customHeight="1">
      <c r="A112" s="173" t="s">
        <v>279</v>
      </c>
      <c r="B112" s="172" t="s">
        <v>256</v>
      </c>
      <c r="C112" s="189"/>
      <c r="D112" s="174"/>
      <c r="E112" s="175"/>
    </row>
    <row r="113" spans="1:5" ht="12.6" customHeight="1">
      <c r="A113" s="173" t="s">
        <v>280</v>
      </c>
      <c r="B113" s="172" t="s">
        <v>256</v>
      </c>
      <c r="C113" s="189"/>
      <c r="D113" s="174"/>
      <c r="E113" s="175"/>
    </row>
    <row r="114" spans="1:5" ht="12.6" customHeight="1">
      <c r="A114" s="173" t="s">
        <v>281</v>
      </c>
      <c r="B114" s="172" t="s">
        <v>256</v>
      </c>
      <c r="C114" s="189">
        <v>1329</v>
      </c>
      <c r="D114" s="174">
        <v>1984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>
        <v>35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68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>
        <v>213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9">
        <v>10</v>
      </c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26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/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/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/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352</v>
      </c>
    </row>
    <row r="128" spans="1:5" ht="12.6" customHeight="1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/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305">
        <v>3673</v>
      </c>
      <c r="C138" s="304">
        <v>2741</v>
      </c>
      <c r="D138" s="305">
        <v>4452</v>
      </c>
      <c r="E138" s="175">
        <f>SUM(B138:D138)</f>
        <v>10866</v>
      </c>
    </row>
    <row r="139" spans="1:6" ht="12.6" customHeight="1">
      <c r="A139" s="173" t="s">
        <v>215</v>
      </c>
      <c r="B139" s="174">
        <v>26267</v>
      </c>
      <c r="C139" s="189">
        <v>13188</v>
      </c>
      <c r="D139" s="174">
        <v>15786</v>
      </c>
      <c r="E139" s="175">
        <f>SUM(B139:D139)</f>
        <v>55241</v>
      </c>
    </row>
    <row r="140" spans="1:6" ht="12.6" customHeight="1">
      <c r="A140" s="173" t="s">
        <v>298</v>
      </c>
      <c r="B140" s="305">
        <v>25781</v>
      </c>
      <c r="C140" s="305">
        <v>34078</v>
      </c>
      <c r="D140" s="305">
        <v>47657</v>
      </c>
      <c r="E140" s="175">
        <f>SUM(B140:D140)</f>
        <v>107516</v>
      </c>
    </row>
    <row r="141" spans="1:6" ht="12.6" customHeight="1">
      <c r="A141" s="173" t="s">
        <v>245</v>
      </c>
      <c r="B141" s="174">
        <v>404326476</v>
      </c>
      <c r="C141" s="189">
        <v>162361031</v>
      </c>
      <c r="D141" s="174">
        <v>218876041</v>
      </c>
      <c r="E141" s="175">
        <f>SUM(B141:D141)</f>
        <v>785563548</v>
      </c>
      <c r="F141" s="199"/>
    </row>
    <row r="142" spans="1:6" ht="12.6" customHeight="1">
      <c r="A142" s="173" t="s">
        <v>246</v>
      </c>
      <c r="B142" s="174">
        <v>320928484</v>
      </c>
      <c r="C142" s="189">
        <v>154392289</v>
      </c>
      <c r="D142" s="174">
        <v>224100106</v>
      </c>
      <c r="E142" s="175">
        <f>SUM(B142:D142)</f>
        <v>699420879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>
      <c r="A155" s="177"/>
      <c r="B155" s="177"/>
      <c r="C155" s="193"/>
      <c r="D155" s="178"/>
      <c r="E155" s="175"/>
    </row>
    <row r="156" spans="1:5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3"/>
      <c r="D158" s="175"/>
      <c r="E158" s="175"/>
    </row>
    <row r="159" spans="1:5" ht="12.6" customHeight="1">
      <c r="A159" s="177"/>
      <c r="B159" s="177"/>
      <c r="C159" s="193"/>
      <c r="D159" s="178"/>
      <c r="E159" s="175"/>
    </row>
    <row r="160" spans="1:5" ht="12.6" customHeight="1">
      <c r="A160" s="177"/>
      <c r="B160" s="177"/>
      <c r="C160" s="193"/>
      <c r="D160" s="178"/>
      <c r="E160" s="175"/>
    </row>
    <row r="161" spans="1:5" ht="12.6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4" customHeight="1">
      <c r="A163" s="207" t="s">
        <v>305</v>
      </c>
      <c r="B163" s="208"/>
      <c r="C163" s="208"/>
      <c r="D163" s="208"/>
      <c r="E163" s="208"/>
    </row>
    <row r="164" spans="1:5" ht="11.4" customHeight="1">
      <c r="A164" s="257" t="s">
        <v>306</v>
      </c>
      <c r="B164" s="257"/>
      <c r="C164" s="257"/>
      <c r="D164" s="257"/>
      <c r="E164" s="257"/>
    </row>
    <row r="165" spans="1:5" ht="11.4" customHeight="1">
      <c r="A165" s="173" t="s">
        <v>307</v>
      </c>
      <c r="B165" s="172" t="s">
        <v>256</v>
      </c>
      <c r="C165" s="189">
        <v>6924990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301">
        <v>422868</v>
      </c>
      <c r="D166" s="175"/>
      <c r="E166" s="175"/>
    </row>
    <row r="167" spans="1:5" ht="11.4" customHeight="1">
      <c r="A167" s="177" t="s">
        <v>309</v>
      </c>
      <c r="B167" s="172" t="s">
        <v>256</v>
      </c>
      <c r="C167" s="301">
        <v>1422508</v>
      </c>
      <c r="D167" s="175"/>
      <c r="E167" s="175"/>
    </row>
    <row r="168" spans="1:5" ht="11.4" customHeight="1">
      <c r="A168" s="173" t="s">
        <v>310</v>
      </c>
      <c r="B168" s="172" t="s">
        <v>256</v>
      </c>
      <c r="C168" s="301">
        <v>15959664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301">
        <v>31957</v>
      </c>
      <c r="D169" s="175"/>
      <c r="E169" s="175"/>
    </row>
    <row r="170" spans="1:5" ht="11.4" customHeight="1">
      <c r="A170" s="173" t="s">
        <v>312</v>
      </c>
      <c r="B170" s="172" t="s">
        <v>256</v>
      </c>
      <c r="C170" s="189">
        <v>1946929</v>
      </c>
      <c r="D170" s="175"/>
      <c r="E170" s="175"/>
    </row>
    <row r="171" spans="1:5" ht="11.4" customHeight="1">
      <c r="A171" s="173" t="s">
        <v>313</v>
      </c>
      <c r="B171" s="172" t="s">
        <v>256</v>
      </c>
      <c r="C171" s="189">
        <v>125889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9"/>
      <c r="D172" s="175"/>
      <c r="E172" s="175"/>
    </row>
    <row r="173" spans="1:5" ht="11.4" customHeight="1">
      <c r="A173" s="173" t="s">
        <v>203</v>
      </c>
      <c r="B173" s="175"/>
      <c r="C173" s="191"/>
      <c r="D173" s="175">
        <f>SUM(C165:C172)</f>
        <v>26834805</v>
      </c>
      <c r="E173" s="175"/>
    </row>
    <row r="174" spans="1:5" ht="11.4" customHeight="1">
      <c r="A174" s="257" t="s">
        <v>314</v>
      </c>
      <c r="B174" s="257"/>
      <c r="C174" s="257"/>
      <c r="D174" s="257"/>
      <c r="E174" s="257"/>
    </row>
    <row r="175" spans="1:5" ht="11.4" customHeight="1">
      <c r="A175" s="173" t="s">
        <v>315</v>
      </c>
      <c r="B175" s="172" t="s">
        <v>256</v>
      </c>
      <c r="C175" s="189">
        <v>2634900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9">
        <v>2689982</v>
      </c>
      <c r="D176" s="175"/>
      <c r="E176" s="175"/>
    </row>
    <row r="177" spans="1:5" ht="11.4" customHeight="1">
      <c r="A177" s="173" t="s">
        <v>203</v>
      </c>
      <c r="B177" s="175"/>
      <c r="C177" s="191"/>
      <c r="D177" s="175">
        <f>SUM(C175:C176)</f>
        <v>5324882</v>
      </c>
      <c r="E177" s="175"/>
    </row>
    <row r="178" spans="1:5" ht="11.4" customHeight="1">
      <c r="A178" s="257" t="s">
        <v>317</v>
      </c>
      <c r="B178" s="257"/>
      <c r="C178" s="257"/>
      <c r="D178" s="257"/>
      <c r="E178" s="257"/>
    </row>
    <row r="179" spans="1:5" ht="11.4" customHeight="1">
      <c r="A179" s="173" t="s">
        <v>318</v>
      </c>
      <c r="B179" s="172" t="s">
        <v>256</v>
      </c>
      <c r="C179" s="189">
        <v>2815335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9"/>
      <c r="D180" s="175"/>
      <c r="E180" s="175"/>
    </row>
    <row r="181" spans="1:5" ht="11.4" customHeight="1">
      <c r="A181" s="173" t="s">
        <v>203</v>
      </c>
      <c r="B181" s="175"/>
      <c r="C181" s="191"/>
      <c r="D181" s="175">
        <f>SUM(C179:C180)</f>
        <v>2815335</v>
      </c>
      <c r="E181" s="175"/>
    </row>
    <row r="182" spans="1:5" ht="11.4" customHeight="1">
      <c r="A182" s="257" t="s">
        <v>320</v>
      </c>
      <c r="B182" s="257"/>
      <c r="C182" s="257"/>
      <c r="D182" s="257"/>
      <c r="E182" s="257"/>
    </row>
    <row r="183" spans="1:5" ht="11.4" customHeight="1">
      <c r="A183" s="173" t="s">
        <v>321</v>
      </c>
      <c r="B183" s="172" t="s">
        <v>256</v>
      </c>
      <c r="C183" s="189">
        <v>191554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9">
        <v>17838986.710000001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9"/>
      <c r="D185" s="175"/>
      <c r="E185" s="175"/>
    </row>
    <row r="186" spans="1:5" ht="11.4" customHeight="1">
      <c r="A186" s="173" t="s">
        <v>203</v>
      </c>
      <c r="B186" s="175"/>
      <c r="C186" s="191"/>
      <c r="D186" s="175">
        <f>SUM(C183:C185)</f>
        <v>18030540.710000001</v>
      </c>
      <c r="E186" s="175"/>
    </row>
    <row r="187" spans="1:5" ht="11.4" customHeight="1">
      <c r="A187" s="257" t="s">
        <v>323</v>
      </c>
      <c r="B187" s="257"/>
      <c r="C187" s="257"/>
      <c r="D187" s="257"/>
      <c r="E187" s="257"/>
    </row>
    <row r="188" spans="1:5" ht="11.4" customHeight="1">
      <c r="A188" s="173" t="s">
        <v>324</v>
      </c>
      <c r="B188" s="172" t="s">
        <v>256</v>
      </c>
      <c r="C188" s="189"/>
      <c r="D188" s="175"/>
      <c r="E188" s="175"/>
    </row>
    <row r="189" spans="1:5" ht="11.4" customHeight="1">
      <c r="A189" s="173" t="s">
        <v>325</v>
      </c>
      <c r="B189" s="172" t="s">
        <v>256</v>
      </c>
      <c r="C189" s="189">
        <v>14690039</v>
      </c>
      <c r="D189" s="175"/>
      <c r="E189" s="175"/>
    </row>
    <row r="190" spans="1:5" ht="11.4" customHeight="1">
      <c r="A190" s="173" t="s">
        <v>203</v>
      </c>
      <c r="B190" s="175"/>
      <c r="C190" s="191"/>
      <c r="D190" s="175">
        <f>SUM(C188:C189)</f>
        <v>14690039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302">
        <v>15239201</v>
      </c>
      <c r="C195" s="302">
        <v>3990433</v>
      </c>
      <c r="D195" s="302">
        <v>0</v>
      </c>
      <c r="E195" s="175">
        <f t="shared" ref="E195:E203" si="15">SUM(B195:C195)-D195</f>
        <v>19229634</v>
      </c>
    </row>
    <row r="196" spans="1:8" ht="12.6" customHeight="1">
      <c r="A196" s="173" t="s">
        <v>333</v>
      </c>
      <c r="B196" s="302">
        <v>1054574</v>
      </c>
      <c r="C196" s="302">
        <v>0</v>
      </c>
      <c r="D196" s="302">
        <v>338255</v>
      </c>
      <c r="E196" s="175">
        <f t="shared" si="15"/>
        <v>716319</v>
      </c>
    </row>
    <row r="197" spans="1:8" ht="12.6" customHeight="1">
      <c r="A197" s="173" t="s">
        <v>334</v>
      </c>
      <c r="B197" s="302">
        <v>98031588</v>
      </c>
      <c r="C197" s="302">
        <v>27165944.25</v>
      </c>
      <c r="D197" s="302">
        <v>0</v>
      </c>
      <c r="E197" s="175">
        <f t="shared" si="15"/>
        <v>125197532.25</v>
      </c>
    </row>
    <row r="198" spans="1:8" ht="12.6" customHeight="1">
      <c r="A198" s="173" t="s">
        <v>335</v>
      </c>
      <c r="B198" s="302">
        <v>34556398</v>
      </c>
      <c r="C198" s="302">
        <v>37317.56</v>
      </c>
      <c r="D198" s="302">
        <v>33388417.559999999</v>
      </c>
      <c r="E198" s="175">
        <f t="shared" si="15"/>
        <v>1205298.0000000037</v>
      </c>
    </row>
    <row r="199" spans="1:8" ht="12.6" customHeight="1">
      <c r="A199" s="173" t="s">
        <v>336</v>
      </c>
      <c r="B199" s="302">
        <v>11782462</v>
      </c>
      <c r="C199" s="302">
        <v>72150.23</v>
      </c>
      <c r="D199" s="302">
        <v>11854612.23</v>
      </c>
      <c r="E199" s="175">
        <f t="shared" si="15"/>
        <v>0</v>
      </c>
    </row>
    <row r="200" spans="1:8" ht="12.6" customHeight="1">
      <c r="A200" s="173" t="s">
        <v>337</v>
      </c>
      <c r="B200" s="302">
        <v>59478724</v>
      </c>
      <c r="C200" s="302">
        <v>300028.45999999996</v>
      </c>
      <c r="D200" s="302">
        <v>18363345.67999997</v>
      </c>
      <c r="E200" s="175">
        <f t="shared" si="15"/>
        <v>41415406.780000031</v>
      </c>
    </row>
    <row r="201" spans="1:8" ht="12.6" customHeight="1">
      <c r="A201" s="173" t="s">
        <v>338</v>
      </c>
      <c r="B201" s="302">
        <v>15458434</v>
      </c>
      <c r="C201" s="302">
        <v>275556.27</v>
      </c>
      <c r="D201" s="302">
        <v>15733990.27</v>
      </c>
      <c r="E201" s="175">
        <f t="shared" si="15"/>
        <v>0</v>
      </c>
    </row>
    <row r="202" spans="1:8" ht="12.6" customHeight="1">
      <c r="A202" s="173" t="s">
        <v>339</v>
      </c>
      <c r="B202" s="302">
        <v>425606</v>
      </c>
      <c r="C202" s="302">
        <v>0</v>
      </c>
      <c r="D202" s="302">
        <v>114556</v>
      </c>
      <c r="E202" s="175">
        <f t="shared" si="15"/>
        <v>311050</v>
      </c>
    </row>
    <row r="203" spans="1:8" ht="12.6" customHeight="1">
      <c r="A203" s="173" t="s">
        <v>340</v>
      </c>
      <c r="B203" s="302">
        <v>238922</v>
      </c>
      <c r="C203" s="302">
        <v>1600</v>
      </c>
      <c r="D203" s="302">
        <v>178528.14</v>
      </c>
      <c r="E203" s="175">
        <f t="shared" si="15"/>
        <v>61993.859999999986</v>
      </c>
    </row>
    <row r="204" spans="1:8" ht="12.6" customHeight="1">
      <c r="A204" s="173" t="s">
        <v>203</v>
      </c>
      <c r="B204" s="175">
        <f>SUM(B195:B203)</f>
        <v>236265909</v>
      </c>
      <c r="C204" s="191">
        <f>SUM(C195:C203)</f>
        <v>31843029.77</v>
      </c>
      <c r="D204" s="175">
        <f>SUM(D195:D203)</f>
        <v>79971704.87999998</v>
      </c>
      <c r="E204" s="175">
        <f>SUM(E195:E203)</f>
        <v>188137233.89000005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8" ht="12.6" customHeight="1">
      <c r="A209" s="173" t="s">
        <v>333</v>
      </c>
      <c r="B209" s="174">
        <v>717396</v>
      </c>
      <c r="C209" s="189">
        <v>108313.16000000003</v>
      </c>
      <c r="D209" s="174">
        <v>766184.06</v>
      </c>
      <c r="E209" s="175">
        <f t="shared" ref="E209:E216" si="16">SUM(B209:C209)-D209</f>
        <v>59525.099999999977</v>
      </c>
      <c r="H209" s="259"/>
    </row>
    <row r="210" spans="1:8" ht="12.6" customHeight="1">
      <c r="A210" s="173" t="s">
        <v>334</v>
      </c>
      <c r="B210" s="174">
        <v>26525799</v>
      </c>
      <c r="C210" s="189">
        <v>4954843.42</v>
      </c>
      <c r="D210" s="174">
        <v>28277863.020000003</v>
      </c>
      <c r="E210" s="175">
        <f t="shared" si="16"/>
        <v>3202779.3999999985</v>
      </c>
      <c r="H210" s="259"/>
    </row>
    <row r="211" spans="1:8" ht="12.6" customHeight="1">
      <c r="A211" s="173" t="s">
        <v>335</v>
      </c>
      <c r="B211" s="174">
        <v>8682007</v>
      </c>
      <c r="C211" s="189">
        <v>1060582.95</v>
      </c>
      <c r="D211" s="174">
        <v>9687649.4499999993</v>
      </c>
      <c r="E211" s="175">
        <f t="shared" si="16"/>
        <v>54940.5</v>
      </c>
      <c r="H211" s="259"/>
    </row>
    <row r="212" spans="1:8" ht="12.6" customHeight="1">
      <c r="A212" s="173" t="s">
        <v>336</v>
      </c>
      <c r="B212" s="174">
        <v>5405429</v>
      </c>
      <c r="C212" s="189">
        <v>626246.78</v>
      </c>
      <c r="D212" s="174">
        <v>6031675.7800000003</v>
      </c>
      <c r="E212" s="175">
        <f t="shared" si="16"/>
        <v>0</v>
      </c>
      <c r="H212" s="259"/>
    </row>
    <row r="213" spans="1:8" ht="12.6" customHeight="1">
      <c r="A213" s="173" t="s">
        <v>337</v>
      </c>
      <c r="B213" s="174">
        <v>41366117</v>
      </c>
      <c r="C213" s="189">
        <v>7860854.5000000009</v>
      </c>
      <c r="D213" s="174">
        <v>44398765.899999999</v>
      </c>
      <c r="E213" s="175">
        <f t="shared" si="16"/>
        <v>4828205.6000000015</v>
      </c>
      <c r="H213" s="259"/>
    </row>
    <row r="214" spans="1:8" ht="12.6" customHeight="1">
      <c r="A214" s="173" t="s">
        <v>338</v>
      </c>
      <c r="B214" s="174">
        <v>6319723</v>
      </c>
      <c r="C214" s="189">
        <v>1380064.55</v>
      </c>
      <c r="D214" s="174">
        <v>7699787.5499999998</v>
      </c>
      <c r="E214" s="175">
        <f t="shared" si="16"/>
        <v>0</v>
      </c>
      <c r="H214" s="259"/>
    </row>
    <row r="215" spans="1:8" ht="12.6" customHeight="1">
      <c r="A215" s="173" t="s">
        <v>339</v>
      </c>
      <c r="B215" s="174">
        <v>195221</v>
      </c>
      <c r="C215" s="189">
        <v>20773.760000000002</v>
      </c>
      <c r="D215" s="174">
        <v>196461.38</v>
      </c>
      <c r="E215" s="175">
        <f t="shared" si="16"/>
        <v>19533.380000000005</v>
      </c>
      <c r="H215" s="259"/>
    </row>
    <row r="216" spans="1:8" ht="12.6" customHeight="1">
      <c r="A216" s="173" t="s">
        <v>340</v>
      </c>
      <c r="B216" s="174">
        <v>0</v>
      </c>
      <c r="C216" s="189"/>
      <c r="D216" s="174">
        <v>0</v>
      </c>
      <c r="E216" s="175">
        <f t="shared" si="16"/>
        <v>0</v>
      </c>
      <c r="H216" s="259"/>
    </row>
    <row r="217" spans="1:8" ht="12.6" customHeight="1">
      <c r="A217" s="173" t="s">
        <v>203</v>
      </c>
      <c r="B217" s="175">
        <f>SUM(B208:B216)</f>
        <v>89211692</v>
      </c>
      <c r="C217" s="191">
        <f>SUM(C208:C216)</f>
        <v>16011679.120000003</v>
      </c>
      <c r="D217" s="175">
        <f>SUM(D208:D216)</f>
        <v>97058387.140000001</v>
      </c>
      <c r="E217" s="175">
        <f>SUM(E208:E216)</f>
        <v>8164983.9799999995</v>
      </c>
    </row>
    <row r="218" spans="1:8" ht="21.75" customHeight="1">
      <c r="A218" s="173"/>
      <c r="B218" s="175"/>
      <c r="C218" s="191"/>
      <c r="D218" s="175"/>
      <c r="E218" s="175"/>
    </row>
    <row r="219" spans="1:8" ht="12.6" customHeight="1">
      <c r="A219" s="208" t="s">
        <v>342</v>
      </c>
      <c r="B219" s="208"/>
      <c r="C219" s="208"/>
      <c r="D219" s="208"/>
      <c r="E219" s="208"/>
    </row>
    <row r="220" spans="1:8" ht="12.6" customHeight="1">
      <c r="A220" s="208"/>
      <c r="B220" s="325" t="s">
        <v>1255</v>
      </c>
      <c r="C220" s="325"/>
      <c r="D220" s="208"/>
      <c r="E220" s="208"/>
    </row>
    <row r="221" spans="1:8" ht="12.6" customHeight="1">
      <c r="A221" s="272" t="s">
        <v>1255</v>
      </c>
      <c r="B221" s="208"/>
      <c r="C221" s="189">
        <v>6030674</v>
      </c>
      <c r="D221" s="172">
        <f>C221</f>
        <v>6030674</v>
      </c>
      <c r="E221" s="208"/>
    </row>
    <row r="222" spans="1:8" ht="12.6" customHeight="1">
      <c r="A222" s="257" t="s">
        <v>343</v>
      </c>
      <c r="B222" s="257"/>
      <c r="C222" s="257"/>
      <c r="D222" s="257"/>
      <c r="E222" s="257"/>
    </row>
    <row r="223" spans="1:8" ht="12.6" customHeight="1">
      <c r="A223" s="173" t="s">
        <v>344</v>
      </c>
      <c r="B223" s="172" t="s">
        <v>256</v>
      </c>
      <c r="C223" s="189">
        <v>431089141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9">
        <v>263816570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9">
        <v>13432128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9">
        <v>42424547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9">
        <v>426901495</v>
      </c>
      <c r="D227" s="175"/>
      <c r="E227" s="175"/>
    </row>
    <row r="228" spans="1:5" ht="12.6" customHeight="1">
      <c r="A228" s="173" t="s">
        <v>349</v>
      </c>
      <c r="B228" s="172" t="s">
        <v>256</v>
      </c>
      <c r="C228" s="189">
        <v>9204885</v>
      </c>
      <c r="D228" s="175"/>
      <c r="E228" s="175"/>
    </row>
    <row r="229" spans="1:5" ht="12.6" customHeight="1">
      <c r="A229" s="173" t="s">
        <v>350</v>
      </c>
      <c r="B229" s="175"/>
      <c r="C229" s="191"/>
      <c r="D229" s="175">
        <f>SUM(C223:C228)</f>
        <v>1186868766</v>
      </c>
      <c r="E229" s="175"/>
    </row>
    <row r="230" spans="1:5" ht="12.6" customHeight="1">
      <c r="A230" s="257" t="s">
        <v>351</v>
      </c>
      <c r="B230" s="257"/>
      <c r="C230" s="257"/>
      <c r="D230" s="257"/>
      <c r="E230" s="257"/>
    </row>
    <row r="231" spans="1:5" ht="12.6" customHeight="1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>
      <c r="A232" s="171"/>
      <c r="B232" s="172"/>
      <c r="C232" s="191"/>
      <c r="D232" s="175"/>
      <c r="E232" s="175"/>
    </row>
    <row r="233" spans="1:5" ht="12.6" customHeight="1">
      <c r="A233" s="171" t="s">
        <v>353</v>
      </c>
      <c r="B233" s="172" t="s">
        <v>256</v>
      </c>
      <c r="C233" s="189">
        <v>935323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9">
        <v>1903508</v>
      </c>
      <c r="D234" s="175"/>
      <c r="E234" s="175"/>
    </row>
    <row r="235" spans="1:5" ht="12.6" customHeight="1">
      <c r="A235" s="173"/>
      <c r="B235" s="175"/>
      <c r="C235" s="191"/>
      <c r="D235" s="175"/>
      <c r="E235" s="175"/>
    </row>
    <row r="236" spans="1:5" ht="12.6" customHeight="1">
      <c r="A236" s="171" t="s">
        <v>355</v>
      </c>
      <c r="B236" s="175"/>
      <c r="C236" s="191"/>
      <c r="D236" s="175">
        <f>SUM(C233:C235)</f>
        <v>2838831</v>
      </c>
      <c r="E236" s="175"/>
    </row>
    <row r="237" spans="1:5" ht="12.6" customHeight="1">
      <c r="A237" s="257" t="s">
        <v>356</v>
      </c>
      <c r="B237" s="257"/>
      <c r="C237" s="257"/>
      <c r="D237" s="257"/>
      <c r="E237" s="257"/>
    </row>
    <row r="238" spans="1:5" ht="12.6" customHeight="1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>
      <c r="A241" s="173"/>
      <c r="B241" s="175"/>
      <c r="C241" s="191"/>
      <c r="D241" s="175"/>
      <c r="E241" s="175"/>
    </row>
    <row r="242" spans="1:5" ht="12.6" customHeight="1">
      <c r="A242" s="173" t="s">
        <v>359</v>
      </c>
      <c r="B242" s="175"/>
      <c r="C242" s="191"/>
      <c r="D242" s="175">
        <f>D221+D229+D236+D240</f>
        <v>1195738271</v>
      </c>
      <c r="E242" s="175"/>
    </row>
    <row r="243" spans="1:5" ht="12.6" customHeight="1">
      <c r="A243" s="173"/>
      <c r="B243" s="173"/>
      <c r="C243" s="191"/>
      <c r="D243" s="175"/>
      <c r="E243" s="175"/>
    </row>
    <row r="244" spans="1:5" ht="12.6" customHeight="1">
      <c r="A244" s="173"/>
      <c r="B244" s="173"/>
      <c r="C244" s="191"/>
      <c r="D244" s="175"/>
      <c r="E244" s="175"/>
    </row>
    <row r="245" spans="1:5" ht="12.6" customHeight="1">
      <c r="A245" s="173"/>
      <c r="B245" s="173"/>
      <c r="C245" s="191"/>
      <c r="D245" s="175"/>
      <c r="E245" s="175"/>
    </row>
    <row r="246" spans="1:5" ht="12.6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>
        <v>-1905871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189">
        <v>47238254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9">
        <v>2099648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>
      <c r="A255" s="173" t="s">
        <v>366</v>
      </c>
      <c r="B255" s="172" t="s">
        <v>256</v>
      </c>
      <c r="C255" s="189">
        <v>2026017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>
      <c r="A257" s="173" t="s">
        <v>368</v>
      </c>
      <c r="B257" s="172" t="s">
        <v>256</v>
      </c>
      <c r="C257" s="189">
        <v>8677130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9">
        <v>907299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54843181</v>
      </c>
      <c r="E260" s="175"/>
    </row>
    <row r="261" spans="1:5" ht="11.25" customHeight="1">
      <c r="A261" s="257" t="s">
        <v>372</v>
      </c>
      <c r="B261" s="257"/>
      <c r="C261" s="257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257"/>
      <c r="D266" s="257"/>
      <c r="E266" s="257"/>
    </row>
    <row r="267" spans="1:5" ht="12.45" customHeight="1">
      <c r="A267" s="173" t="s">
        <v>332</v>
      </c>
      <c r="B267" s="172" t="s">
        <v>256</v>
      </c>
      <c r="C267" s="189">
        <f>E195</f>
        <v>19229634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9">
        <f>E196</f>
        <v>716319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9">
        <f>E197</f>
        <v>125197532.25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f>E198</f>
        <v>1205298.0000000037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9">
        <f>E199</f>
        <v>0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9">
        <f>E200+E201</f>
        <v>41415406.780000031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9">
        <f>E202</f>
        <v>311050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188075240.03000003</v>
      </c>
      <c r="E275" s="175"/>
    </row>
    <row r="276" spans="1:5" ht="12.6" customHeight="1">
      <c r="A276" s="173" t="s">
        <v>380</v>
      </c>
      <c r="B276" s="172" t="s">
        <v>256</v>
      </c>
      <c r="C276" s="189">
        <f>E217</f>
        <v>8164983.9799999995</v>
      </c>
      <c r="D276" s="175"/>
      <c r="E276" s="175"/>
    </row>
    <row r="277" spans="1:5" ht="12.6" customHeight="1">
      <c r="A277" s="173" t="s">
        <v>381</v>
      </c>
      <c r="B277" s="175"/>
      <c r="C277" s="191"/>
      <c r="D277" s="175">
        <f>D275-C276</f>
        <v>179910256.05000004</v>
      </c>
      <c r="E277" s="175"/>
    </row>
    <row r="278" spans="1:5" ht="12.6" customHeight="1">
      <c r="A278" s="257" t="s">
        <v>382</v>
      </c>
      <c r="B278" s="257"/>
      <c r="C278" s="257"/>
      <c r="D278" s="257"/>
      <c r="E278" s="257"/>
    </row>
    <row r="279" spans="1:5" ht="12.6" customHeight="1">
      <c r="A279" s="173" t="s">
        <v>383</v>
      </c>
      <c r="B279" s="172" t="s">
        <v>256</v>
      </c>
      <c r="C279" s="189"/>
      <c r="D279" s="175"/>
      <c r="E279" s="175"/>
    </row>
    <row r="280" spans="1:5" ht="12.6" customHeight="1">
      <c r="A280" s="173" t="s">
        <v>384</v>
      </c>
      <c r="B280" s="172" t="s">
        <v>256</v>
      </c>
      <c r="C280" s="189"/>
      <c r="D280" s="175"/>
      <c r="E280" s="175"/>
    </row>
    <row r="281" spans="1:5" ht="12.6" customHeight="1">
      <c r="A281" s="173" t="s">
        <v>385</v>
      </c>
      <c r="B281" s="172" t="s">
        <v>256</v>
      </c>
      <c r="C281" s="189"/>
      <c r="D281" s="175"/>
      <c r="E281" s="175"/>
    </row>
    <row r="282" spans="1:5" ht="12.6" customHeight="1">
      <c r="A282" s="173" t="s">
        <v>373</v>
      </c>
      <c r="B282" s="172" t="s">
        <v>256</v>
      </c>
      <c r="C282" s="189">
        <f>892382+296778</f>
        <v>1189160</v>
      </c>
      <c r="D282" s="175"/>
      <c r="E282" s="175"/>
    </row>
    <row r="283" spans="1:5" ht="12.6" customHeight="1">
      <c r="A283" s="173" t="s">
        <v>386</v>
      </c>
      <c r="B283" s="175"/>
      <c r="C283" s="191"/>
      <c r="D283" s="175">
        <f>C279-C280+C281+C282</f>
        <v>1189160</v>
      </c>
      <c r="E283" s="175"/>
    </row>
    <row r="284" spans="1:5" ht="12.6" customHeight="1">
      <c r="A284" s="173"/>
      <c r="B284" s="175"/>
      <c r="C284" s="191"/>
      <c r="D284" s="175"/>
      <c r="E284" s="175"/>
    </row>
    <row r="285" spans="1:5" ht="12.6" customHeight="1">
      <c r="A285" s="257" t="s">
        <v>387</v>
      </c>
      <c r="B285" s="257"/>
      <c r="C285" s="257"/>
      <c r="D285" s="257"/>
      <c r="E285" s="257"/>
    </row>
    <row r="286" spans="1:5" ht="12.6" customHeight="1">
      <c r="A286" s="173" t="s">
        <v>388</v>
      </c>
      <c r="B286" s="172" t="s">
        <v>256</v>
      </c>
      <c r="C286" s="189">
        <f>23397988-1116110</f>
        <v>22281878</v>
      </c>
      <c r="D286" s="175"/>
      <c r="E286" s="175"/>
    </row>
    <row r="287" spans="1:5" ht="12.6" customHeight="1">
      <c r="A287" s="173" t="s">
        <v>389</v>
      </c>
      <c r="B287" s="172" t="s">
        <v>256</v>
      </c>
      <c r="C287" s="189"/>
      <c r="D287" s="175"/>
      <c r="E287" s="175"/>
    </row>
    <row r="288" spans="1:5" ht="12.6" customHeight="1">
      <c r="A288" s="173" t="s">
        <v>390</v>
      </c>
      <c r="B288" s="172" t="s">
        <v>256</v>
      </c>
      <c r="C288" s="189">
        <v>9006667</v>
      </c>
      <c r="D288" s="175"/>
      <c r="E288" s="175"/>
    </row>
    <row r="289" spans="1:5" ht="12.6" customHeight="1">
      <c r="A289" s="173" t="s">
        <v>391</v>
      </c>
      <c r="B289" s="172" t="s">
        <v>256</v>
      </c>
      <c r="C289" s="189"/>
      <c r="D289" s="175"/>
      <c r="E289" s="175"/>
    </row>
    <row r="290" spans="1:5" ht="12.6" customHeight="1">
      <c r="A290" s="173" t="s">
        <v>392</v>
      </c>
      <c r="B290" s="175"/>
      <c r="C290" s="191"/>
      <c r="D290" s="175">
        <f>SUM(C286:C289)</f>
        <v>31288545</v>
      </c>
      <c r="E290" s="175"/>
    </row>
    <row r="291" spans="1:5" ht="12.6" customHeight="1">
      <c r="A291" s="173"/>
      <c r="B291" s="175"/>
      <c r="C291" s="191"/>
      <c r="D291" s="175"/>
      <c r="E291" s="175"/>
    </row>
    <row r="292" spans="1:5" ht="12.6" customHeight="1">
      <c r="A292" s="173" t="s">
        <v>393</v>
      </c>
      <c r="B292" s="175"/>
      <c r="C292" s="191"/>
      <c r="D292" s="175">
        <f>D260+D265+D277+D283+D290</f>
        <v>267231142.05000004</v>
      </c>
      <c r="E292" s="175"/>
    </row>
    <row r="293" spans="1:5" ht="12.6" customHeight="1">
      <c r="A293" s="173"/>
      <c r="B293" s="173"/>
      <c r="C293" s="191"/>
      <c r="D293" s="175"/>
      <c r="E293" s="175"/>
    </row>
    <row r="294" spans="1:5" ht="12.6" customHeight="1">
      <c r="A294" s="173"/>
      <c r="B294" s="173"/>
      <c r="C294" s="191"/>
      <c r="D294" s="175"/>
      <c r="E294" s="175"/>
    </row>
    <row r="295" spans="1:5" ht="12.6" customHeight="1">
      <c r="A295" s="173"/>
      <c r="B295" s="173"/>
      <c r="C295" s="191"/>
      <c r="D295" s="175"/>
      <c r="E295" s="175"/>
    </row>
    <row r="296" spans="1:5" ht="12.6" customHeight="1">
      <c r="A296" s="173"/>
      <c r="B296" s="173"/>
      <c r="C296" s="191"/>
      <c r="D296" s="175"/>
      <c r="E296" s="175"/>
    </row>
    <row r="297" spans="1:5" ht="12.6" customHeight="1">
      <c r="A297" s="173"/>
      <c r="B297" s="173"/>
      <c r="C297" s="191"/>
      <c r="D297" s="175"/>
      <c r="E297" s="175"/>
    </row>
    <row r="298" spans="1:5" ht="12.6" customHeight="1">
      <c r="A298" s="173"/>
      <c r="B298" s="173"/>
      <c r="C298" s="191"/>
      <c r="D298" s="175"/>
      <c r="E298" s="175"/>
    </row>
    <row r="299" spans="1:5" ht="12.6" customHeight="1">
      <c r="A299" s="173"/>
      <c r="B299" s="173"/>
      <c r="C299" s="191"/>
      <c r="D299" s="175"/>
      <c r="E299" s="175"/>
    </row>
    <row r="300" spans="1:5" ht="12.6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" customHeight="1">
      <c r="A304" s="173" t="s">
        <v>396</v>
      </c>
      <c r="B304" s="172" t="s">
        <v>256</v>
      </c>
      <c r="C304" s="189"/>
      <c r="D304" s="175"/>
      <c r="E304" s="175"/>
    </row>
    <row r="305" spans="1:5" ht="12.6" customHeight="1">
      <c r="A305" s="173" t="s">
        <v>397</v>
      </c>
      <c r="B305" s="172" t="s">
        <v>256</v>
      </c>
      <c r="C305" s="189">
        <v>13558149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9"/>
      <c r="D306" s="175"/>
      <c r="E306" s="175"/>
    </row>
    <row r="307" spans="1:5" ht="12.6" customHeight="1">
      <c r="A307" s="173" t="s">
        <v>399</v>
      </c>
      <c r="B307" s="172" t="s">
        <v>256</v>
      </c>
      <c r="C307" s="189">
        <f>3569065+251626</f>
        <v>3820691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189"/>
      <c r="D308" s="175"/>
      <c r="E308" s="175"/>
    </row>
    <row r="309" spans="1:5" ht="12.6" customHeight="1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>
      <c r="A310" s="173" t="s">
        <v>401</v>
      </c>
      <c r="B310" s="172" t="s">
        <v>256</v>
      </c>
      <c r="C310" s="189"/>
      <c r="D310" s="175"/>
      <c r="E310" s="175"/>
    </row>
    <row r="311" spans="1:5" ht="12.6" customHeight="1">
      <c r="A311" s="173" t="s">
        <v>402</v>
      </c>
      <c r="B311" s="172" t="s">
        <v>256</v>
      </c>
      <c r="C311" s="189"/>
      <c r="D311" s="175"/>
      <c r="E311" s="175"/>
    </row>
    <row r="312" spans="1:5" ht="12.6" customHeight="1">
      <c r="A312" s="173" t="s">
        <v>403</v>
      </c>
      <c r="B312" s="172" t="s">
        <v>256</v>
      </c>
      <c r="C312" s="189">
        <v>28068</v>
      </c>
      <c r="D312" s="175"/>
      <c r="E312" s="175"/>
    </row>
    <row r="313" spans="1:5" ht="12.6" customHeight="1">
      <c r="A313" s="173" t="s">
        <v>404</v>
      </c>
      <c r="B313" s="172" t="s">
        <v>256</v>
      </c>
      <c r="C313" s="189"/>
      <c r="D313" s="175"/>
      <c r="E313" s="175"/>
    </row>
    <row r="314" spans="1:5" ht="12.6" customHeight="1">
      <c r="A314" s="173" t="s">
        <v>405</v>
      </c>
      <c r="B314" s="175"/>
      <c r="C314" s="191"/>
      <c r="D314" s="175">
        <f>SUM(C304:C313)</f>
        <v>17406908</v>
      </c>
      <c r="E314" s="175"/>
    </row>
    <row r="315" spans="1:5" ht="12.6" customHeight="1">
      <c r="A315" s="257" t="s">
        <v>406</v>
      </c>
      <c r="B315" s="257"/>
      <c r="C315" s="257"/>
      <c r="D315" s="257"/>
      <c r="E315" s="257"/>
    </row>
    <row r="316" spans="1:5" ht="12.6" customHeight="1">
      <c r="A316" s="173" t="s">
        <v>407</v>
      </c>
      <c r="B316" s="172" t="s">
        <v>256</v>
      </c>
      <c r="C316" s="189"/>
      <c r="D316" s="175"/>
      <c r="E316" s="175"/>
    </row>
    <row r="317" spans="1:5" ht="12.6" customHeight="1">
      <c r="A317" s="173" t="s">
        <v>408</v>
      </c>
      <c r="B317" s="172" t="s">
        <v>256</v>
      </c>
      <c r="C317" s="189"/>
      <c r="D317" s="175"/>
      <c r="E317" s="175"/>
    </row>
    <row r="318" spans="1:5" ht="12.6" customHeight="1">
      <c r="A318" s="173" t="s">
        <v>409</v>
      </c>
      <c r="B318" s="172" t="s">
        <v>256</v>
      </c>
      <c r="C318" s="189"/>
      <c r="D318" s="175"/>
      <c r="E318" s="175"/>
    </row>
    <row r="319" spans="1:5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>
      <c r="A320" s="257" t="s">
        <v>411</v>
      </c>
      <c r="B320" s="257"/>
      <c r="C320" s="257"/>
      <c r="D320" s="257"/>
      <c r="E320" s="257"/>
    </row>
    <row r="321" spans="1:5" ht="12.6" customHeight="1">
      <c r="A321" s="173" t="s">
        <v>412</v>
      </c>
      <c r="B321" s="172" t="s">
        <v>256</v>
      </c>
      <c r="C321" s="189"/>
      <c r="D321" s="175"/>
      <c r="E321" s="175"/>
    </row>
    <row r="322" spans="1:5" ht="12.6" customHeight="1">
      <c r="A322" s="173" t="s">
        <v>413</v>
      </c>
      <c r="B322" s="172" t="s">
        <v>256</v>
      </c>
      <c r="C322" s="189"/>
      <c r="D322" s="175"/>
      <c r="E322" s="175"/>
    </row>
    <row r="323" spans="1:5" ht="12.6" customHeight="1">
      <c r="A323" s="173" t="s">
        <v>414</v>
      </c>
      <c r="B323" s="172" t="s">
        <v>256</v>
      </c>
      <c r="C323" s="189"/>
      <c r="D323" s="175"/>
      <c r="E323" s="175"/>
    </row>
    <row r="324" spans="1:5" ht="12.6" customHeight="1">
      <c r="A324" s="171" t="s">
        <v>415</v>
      </c>
      <c r="B324" s="172" t="s">
        <v>256</v>
      </c>
      <c r="C324" s="189"/>
      <c r="D324" s="175"/>
      <c r="E324" s="175"/>
    </row>
    <row r="325" spans="1:5" ht="12.6" customHeight="1">
      <c r="A325" s="173" t="s">
        <v>416</v>
      </c>
      <c r="B325" s="172" t="s">
        <v>256</v>
      </c>
      <c r="C325" s="189"/>
      <c r="D325" s="175"/>
      <c r="E325" s="175"/>
    </row>
    <row r="326" spans="1:5" ht="12.6" customHeight="1">
      <c r="A326" s="171" t="s">
        <v>417</v>
      </c>
      <c r="B326" s="172" t="s">
        <v>256</v>
      </c>
      <c r="C326" s="189"/>
      <c r="D326" s="175"/>
      <c r="E326" s="175"/>
    </row>
    <row r="327" spans="1:5" ht="12.6" customHeight="1">
      <c r="A327" s="173" t="s">
        <v>418</v>
      </c>
      <c r="B327" s="172" t="s">
        <v>256</v>
      </c>
      <c r="C327" s="189"/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>
      <c r="A331" s="173"/>
      <c r="B331" s="175"/>
      <c r="C331" s="191"/>
      <c r="D331" s="175"/>
      <c r="E331" s="175"/>
    </row>
    <row r="332" spans="1:5" ht="12.6" customHeight="1">
      <c r="A332" s="173" t="s">
        <v>421</v>
      </c>
      <c r="B332" s="172" t="s">
        <v>256</v>
      </c>
      <c r="C332" s="222"/>
      <c r="D332" s="175"/>
      <c r="E332" s="175"/>
    </row>
    <row r="333" spans="1:5" ht="12.6" customHeight="1">
      <c r="A333" s="173"/>
      <c r="B333" s="172"/>
      <c r="C333" s="232"/>
      <c r="D333" s="175"/>
      <c r="E333" s="175"/>
    </row>
    <row r="334" spans="1:5" ht="12.6" customHeight="1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>
      <c r="A336" s="173" t="s">
        <v>423</v>
      </c>
      <c r="B336" s="172" t="s">
        <v>256</v>
      </c>
      <c r="C336" s="303">
        <v>248148559</v>
      </c>
      <c r="D336" s="175"/>
      <c r="E336" s="175"/>
    </row>
    <row r="337" spans="1:5" ht="12.6" customHeight="1">
      <c r="A337" s="173" t="s">
        <v>422</v>
      </c>
      <c r="B337" s="172" t="s">
        <v>256</v>
      </c>
      <c r="C337" s="189">
        <v>1675675</v>
      </c>
      <c r="D337" s="175"/>
      <c r="E337" s="175"/>
    </row>
    <row r="338" spans="1:5" ht="12.6" customHeight="1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>
      <c r="A339" s="173" t="s">
        <v>424</v>
      </c>
      <c r="B339" s="175"/>
      <c r="C339" s="191"/>
      <c r="D339" s="175">
        <f>D314+D319+D330+C332+C336+C337</f>
        <v>267231142</v>
      </c>
      <c r="E339" s="175"/>
    </row>
    <row r="340" spans="1:5" ht="12.6" customHeight="1">
      <c r="A340" s="173"/>
      <c r="B340" s="175"/>
      <c r="C340" s="191"/>
      <c r="D340" s="175"/>
      <c r="E340" s="175"/>
    </row>
    <row r="341" spans="1:5" ht="12.6" customHeight="1">
      <c r="A341" s="173" t="s">
        <v>425</v>
      </c>
      <c r="B341" s="175"/>
      <c r="C341" s="191"/>
      <c r="D341" s="175">
        <f>D292</f>
        <v>267231142.05000004</v>
      </c>
      <c r="E341" s="175"/>
    </row>
    <row r="342" spans="1:5" ht="12.6" customHeight="1">
      <c r="A342" s="173"/>
      <c r="B342" s="173"/>
      <c r="C342" s="191"/>
      <c r="D342" s="175"/>
      <c r="E342" s="175"/>
    </row>
    <row r="343" spans="1:5" ht="12.6" customHeight="1">
      <c r="A343" s="173"/>
      <c r="B343" s="173"/>
      <c r="C343" s="191"/>
      <c r="D343" s="175">
        <f>D341-D339</f>
        <v>5.0000041723251343E-2</v>
      </c>
      <c r="E343" s="175"/>
    </row>
    <row r="344" spans="1:5" ht="12.6" customHeight="1">
      <c r="A344" s="173"/>
      <c r="B344" s="173"/>
      <c r="C344" s="191"/>
      <c r="D344" s="175"/>
      <c r="E344" s="175"/>
    </row>
    <row r="345" spans="1:5" ht="12.6" customHeight="1">
      <c r="A345" s="173"/>
      <c r="B345" s="173"/>
      <c r="C345" s="191"/>
      <c r="D345" s="175"/>
      <c r="E345" s="175"/>
    </row>
    <row r="346" spans="1:5" ht="12.6" customHeight="1">
      <c r="A346" s="173"/>
      <c r="B346" s="173"/>
      <c r="C346" s="191"/>
      <c r="D346" s="175"/>
      <c r="E346" s="175"/>
    </row>
    <row r="347" spans="1:5" ht="12.6" customHeight="1">
      <c r="A347" s="173"/>
      <c r="B347" s="173"/>
      <c r="C347" s="191"/>
      <c r="D347" s="175"/>
      <c r="E347" s="175"/>
    </row>
    <row r="348" spans="1:5" ht="12.6" customHeight="1">
      <c r="A348" s="173"/>
      <c r="B348" s="173"/>
      <c r="C348" s="191"/>
      <c r="D348" s="175"/>
      <c r="E348" s="175"/>
    </row>
    <row r="349" spans="1:5" ht="12.6" customHeight="1">
      <c r="A349" s="173"/>
      <c r="B349" s="173"/>
      <c r="C349" s="191"/>
      <c r="D349" s="175"/>
      <c r="E349" s="175"/>
    </row>
    <row r="350" spans="1:5" ht="12.6" customHeight="1">
      <c r="A350" s="173"/>
      <c r="B350" s="173"/>
      <c r="C350" s="191"/>
      <c r="D350" s="175"/>
      <c r="E350" s="175"/>
    </row>
    <row r="351" spans="1:5" ht="12.6" customHeight="1">
      <c r="A351" s="173"/>
      <c r="B351" s="173"/>
      <c r="C351" s="191"/>
      <c r="D351" s="175"/>
      <c r="E351" s="175"/>
    </row>
    <row r="352" spans="1:5" ht="12.6" customHeight="1">
      <c r="A352" s="173"/>
      <c r="B352" s="173"/>
      <c r="C352" s="191"/>
      <c r="D352" s="175"/>
      <c r="E352" s="175"/>
    </row>
    <row r="353" spans="1:5" ht="12.6" customHeight="1">
      <c r="A353" s="173"/>
      <c r="B353" s="173"/>
      <c r="C353" s="191"/>
      <c r="D353" s="175"/>
      <c r="E353" s="175"/>
    </row>
    <row r="354" spans="1:5" ht="12.6" customHeight="1">
      <c r="A354" s="173"/>
      <c r="B354" s="173"/>
      <c r="C354" s="191"/>
      <c r="D354" s="175"/>
      <c r="E354" s="175"/>
    </row>
    <row r="355" spans="1:5" ht="12.6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" customHeight="1">
      <c r="A357" s="208" t="s">
        <v>426</v>
      </c>
      <c r="B357" s="208"/>
      <c r="C357" s="208"/>
      <c r="D357" s="208"/>
      <c r="E357" s="208"/>
    </row>
    <row r="358" spans="1:5" ht="12.6" customHeight="1">
      <c r="A358" s="257" t="s">
        <v>427</v>
      </c>
      <c r="B358" s="257"/>
      <c r="C358" s="257"/>
      <c r="D358" s="257"/>
      <c r="E358" s="257"/>
    </row>
    <row r="359" spans="1:5" ht="12.6" customHeight="1">
      <c r="A359" s="173" t="s">
        <v>428</v>
      </c>
      <c r="B359" s="172" t="s">
        <v>256</v>
      </c>
      <c r="C359" s="189">
        <f>CE73</f>
        <v>817790421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9">
        <f>CE74</f>
        <v>655322517</v>
      </c>
      <c r="D360" s="175"/>
      <c r="E360" s="175"/>
    </row>
    <row r="361" spans="1:5" ht="12.6" customHeight="1">
      <c r="A361" s="173" t="s">
        <v>430</v>
      </c>
      <c r="B361" s="175"/>
      <c r="C361" s="191"/>
      <c r="D361" s="175">
        <f>SUM(C359:C360)</f>
        <v>1473112938</v>
      </c>
      <c r="E361" s="175"/>
    </row>
    <row r="362" spans="1:5" ht="12.6" customHeight="1">
      <c r="A362" s="257" t="s">
        <v>431</v>
      </c>
      <c r="B362" s="257"/>
      <c r="C362" s="257"/>
      <c r="D362" s="257"/>
      <c r="E362" s="257"/>
    </row>
    <row r="363" spans="1:5" ht="12.6" customHeight="1">
      <c r="A363" s="173" t="s">
        <v>1255</v>
      </c>
      <c r="B363" s="257"/>
      <c r="C363" s="189">
        <f>D221</f>
        <v>6030674</v>
      </c>
      <c r="D363" s="175"/>
      <c r="E363" s="257"/>
    </row>
    <row r="364" spans="1:5" ht="12.6" customHeight="1">
      <c r="A364" s="173" t="s">
        <v>432</v>
      </c>
      <c r="B364" s="172" t="s">
        <v>256</v>
      </c>
      <c r="C364" s="189">
        <f>D229</f>
        <v>1186868766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9">
        <f>D236</f>
        <v>2838831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9"/>
      <c r="D366" s="175"/>
      <c r="E366" s="175"/>
    </row>
    <row r="367" spans="1:5" ht="12.6" customHeight="1">
      <c r="A367" s="173" t="s">
        <v>359</v>
      </c>
      <c r="B367" s="175"/>
      <c r="C367" s="191"/>
      <c r="D367" s="175">
        <f>SUM(C363:C366)</f>
        <v>1195738271</v>
      </c>
      <c r="E367" s="175"/>
    </row>
    <row r="368" spans="1:5" ht="12.6" customHeight="1">
      <c r="A368" s="173" t="s">
        <v>435</v>
      </c>
      <c r="B368" s="175"/>
      <c r="C368" s="191"/>
      <c r="D368" s="175">
        <f>D361-D367</f>
        <v>277374667</v>
      </c>
      <c r="E368" s="175"/>
    </row>
    <row r="369" spans="1:5" ht="12.6" customHeight="1">
      <c r="A369" s="257" t="s">
        <v>436</v>
      </c>
      <c r="B369" s="257"/>
      <c r="C369" s="257"/>
      <c r="D369" s="257"/>
      <c r="E369" s="257"/>
    </row>
    <row r="370" spans="1:5" ht="12.6" customHeight="1">
      <c r="A370" s="173" t="s">
        <v>437</v>
      </c>
      <c r="B370" s="172" t="s">
        <v>256</v>
      </c>
      <c r="C370" s="189">
        <v>4145837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9"/>
      <c r="D371" s="175"/>
      <c r="E371" s="175"/>
    </row>
    <row r="372" spans="1:5" ht="12.6" customHeight="1">
      <c r="A372" s="173" t="s">
        <v>439</v>
      </c>
      <c r="B372" s="175"/>
      <c r="C372" s="191"/>
      <c r="D372" s="175">
        <f>SUM(C370:C371)</f>
        <v>4145837</v>
      </c>
      <c r="E372" s="175"/>
    </row>
    <row r="373" spans="1:5" ht="12.6" customHeight="1">
      <c r="A373" s="173" t="s">
        <v>440</v>
      </c>
      <c r="B373" s="175"/>
      <c r="C373" s="191"/>
      <c r="D373" s="175">
        <f>D368+D372</f>
        <v>281520504</v>
      </c>
      <c r="E373" s="175"/>
    </row>
    <row r="374" spans="1:5" ht="12.6" customHeight="1">
      <c r="A374" s="173"/>
      <c r="B374" s="175"/>
      <c r="C374" s="191"/>
      <c r="D374" s="175"/>
      <c r="E374" s="175"/>
    </row>
    <row r="375" spans="1:5" ht="12.6" customHeight="1">
      <c r="A375" s="173"/>
      <c r="B375" s="175"/>
      <c r="C375" s="191"/>
      <c r="D375" s="175"/>
      <c r="E375" s="175"/>
    </row>
    <row r="376" spans="1:5" ht="12.6" customHeight="1">
      <c r="A376" s="173"/>
      <c r="B376" s="175"/>
      <c r="C376" s="191"/>
      <c r="D376" s="175"/>
      <c r="E376" s="175"/>
    </row>
    <row r="377" spans="1:5" ht="12.6" customHeight="1">
      <c r="A377" s="257" t="s">
        <v>441</v>
      </c>
      <c r="B377" s="257"/>
      <c r="C377" s="257"/>
      <c r="D377" s="257"/>
      <c r="E377" s="257"/>
    </row>
    <row r="378" spans="1:5" ht="12.6" customHeight="1">
      <c r="A378" s="173" t="s">
        <v>442</v>
      </c>
      <c r="B378" s="172" t="s">
        <v>256</v>
      </c>
      <c r="C378" s="189">
        <f t="shared" ref="C378:C383" si="17">CE61</f>
        <v>97187781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9">
        <f t="shared" si="17"/>
        <v>26834807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9">
        <f t="shared" si="17"/>
        <v>16143831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9">
        <f t="shared" si="17"/>
        <v>55815388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9">
        <f t="shared" si="17"/>
        <v>3474923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9">
        <f t="shared" si="17"/>
        <v>21849257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9">
        <v>18172819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9">
        <f>D177</f>
        <v>5324882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9">
        <f>D181</f>
        <v>2815335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9">
        <f>D186</f>
        <v>18030540.710000001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9">
        <f>D190</f>
        <v>14690039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9">
        <v>15264456</v>
      </c>
      <c r="D389" s="175"/>
      <c r="E389" s="175"/>
    </row>
    <row r="390" spans="1:6" ht="12.6" customHeight="1">
      <c r="A390" s="173" t="s">
        <v>452</v>
      </c>
      <c r="B390" s="175"/>
      <c r="C390" s="191"/>
      <c r="D390" s="175">
        <f>SUM(C378:C389)</f>
        <v>295604058.71000004</v>
      </c>
      <c r="E390" s="175"/>
    </row>
    <row r="391" spans="1:6" ht="12.6" customHeight="1">
      <c r="A391" s="173" t="s">
        <v>453</v>
      </c>
      <c r="B391" s="175"/>
      <c r="C391" s="191"/>
      <c r="D391" s="175">
        <f>D373-D390</f>
        <v>-14083554.710000038</v>
      </c>
      <c r="E391" s="175"/>
    </row>
    <row r="392" spans="1:6" ht="12.6" customHeight="1">
      <c r="A392" s="173" t="s">
        <v>454</v>
      </c>
      <c r="B392" s="172" t="s">
        <v>256</v>
      </c>
      <c r="C392" s="189">
        <v>6501839</v>
      </c>
      <c r="D392" s="175"/>
      <c r="E392" s="175"/>
    </row>
    <row r="393" spans="1:6" ht="12.6" customHeight="1">
      <c r="A393" s="173" t="s">
        <v>455</v>
      </c>
      <c r="B393" s="175"/>
      <c r="C393" s="191"/>
      <c r="D393" s="195">
        <f>D391+C392</f>
        <v>-7581715.7100000381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-7581715.7100000381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Deaconess Hospital - Rockwood Health System   H-0     FYE 12/31/2017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10866</v>
      </c>
      <c r="C414" s="194">
        <f>E138</f>
        <v>10866</v>
      </c>
      <c r="D414" s="179"/>
    </row>
    <row r="415" spans="1:5" ht="12.6" customHeight="1">
      <c r="A415" s="179" t="s">
        <v>464</v>
      </c>
      <c r="B415" s="179">
        <f>D111</f>
        <v>55241</v>
      </c>
      <c r="C415" s="179">
        <f>E139</f>
        <v>55241</v>
      </c>
      <c r="D415" s="194">
        <f>SUM(C59:H59)+N59</f>
        <v>53193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1329</v>
      </c>
    </row>
    <row r="424" spans="1:7" ht="12.6" customHeight="1">
      <c r="A424" s="179" t="s">
        <v>1244</v>
      </c>
      <c r="B424" s="179">
        <f>D114</f>
        <v>1984</v>
      </c>
      <c r="D424" s="179">
        <f>J59</f>
        <v>4654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8">C378</f>
        <v>97187781</v>
      </c>
      <c r="C427" s="179">
        <f t="shared" ref="C427:C434" si="19">CE61</f>
        <v>97187781</v>
      </c>
      <c r="D427" s="179"/>
    </row>
    <row r="428" spans="1:7" ht="12.6" customHeight="1">
      <c r="A428" s="179" t="s">
        <v>3</v>
      </c>
      <c r="B428" s="179">
        <f t="shared" si="18"/>
        <v>26834807</v>
      </c>
      <c r="C428" s="179">
        <f t="shared" si="19"/>
        <v>26834807</v>
      </c>
      <c r="D428" s="179">
        <f>D173</f>
        <v>26834805</v>
      </c>
    </row>
    <row r="429" spans="1:7" ht="12.6" customHeight="1">
      <c r="A429" s="179" t="s">
        <v>236</v>
      </c>
      <c r="B429" s="179">
        <f t="shared" si="18"/>
        <v>16143831</v>
      </c>
      <c r="C429" s="179">
        <f t="shared" si="19"/>
        <v>16143831</v>
      </c>
      <c r="D429" s="179"/>
    </row>
    <row r="430" spans="1:7" ht="12.6" customHeight="1">
      <c r="A430" s="179" t="s">
        <v>237</v>
      </c>
      <c r="B430" s="179">
        <f t="shared" si="18"/>
        <v>55815388</v>
      </c>
      <c r="C430" s="179">
        <f t="shared" si="19"/>
        <v>55815388</v>
      </c>
      <c r="D430" s="179"/>
    </row>
    <row r="431" spans="1:7" ht="12.6" customHeight="1">
      <c r="A431" s="179" t="s">
        <v>444</v>
      </c>
      <c r="B431" s="179">
        <f t="shared" si="18"/>
        <v>3474923</v>
      </c>
      <c r="C431" s="179">
        <f t="shared" si="19"/>
        <v>3474923</v>
      </c>
      <c r="D431" s="179"/>
    </row>
    <row r="432" spans="1:7" ht="12.6" customHeight="1">
      <c r="A432" s="179" t="s">
        <v>445</v>
      </c>
      <c r="B432" s="179">
        <f t="shared" si="18"/>
        <v>21849257</v>
      </c>
      <c r="C432" s="179">
        <f t="shared" si="19"/>
        <v>21849257</v>
      </c>
      <c r="D432" s="179"/>
    </row>
    <row r="433" spans="1:7" ht="12.6" customHeight="1">
      <c r="A433" s="179" t="s">
        <v>6</v>
      </c>
      <c r="B433" s="179">
        <f t="shared" si="18"/>
        <v>18172819</v>
      </c>
      <c r="C433" s="179">
        <f t="shared" si="19"/>
        <v>18172819</v>
      </c>
      <c r="D433" s="179">
        <f>C217</f>
        <v>16011679.120000003</v>
      </c>
    </row>
    <row r="434" spans="1:7" ht="12.6" customHeight="1">
      <c r="A434" s="179" t="s">
        <v>474</v>
      </c>
      <c r="B434" s="179">
        <f t="shared" si="18"/>
        <v>5324882</v>
      </c>
      <c r="C434" s="179">
        <f t="shared" si="19"/>
        <v>5324881</v>
      </c>
      <c r="D434" s="179">
        <f>D177</f>
        <v>5324882</v>
      </c>
    </row>
    <row r="435" spans="1:7" ht="12.6" customHeight="1">
      <c r="A435" s="179" t="s">
        <v>447</v>
      </c>
      <c r="B435" s="179">
        <f t="shared" si="18"/>
        <v>2815335</v>
      </c>
      <c r="C435" s="179"/>
      <c r="D435" s="179">
        <f>D181</f>
        <v>2815335</v>
      </c>
    </row>
    <row r="436" spans="1:7" ht="12.6" customHeight="1">
      <c r="A436" s="179" t="s">
        <v>475</v>
      </c>
      <c r="B436" s="179">
        <f t="shared" si="18"/>
        <v>18030540.710000001</v>
      </c>
      <c r="C436" s="179"/>
      <c r="D436" s="179">
        <f>D186</f>
        <v>18030540.710000001</v>
      </c>
    </row>
    <row r="437" spans="1:7" ht="12.6" customHeight="1">
      <c r="A437" s="194" t="s">
        <v>449</v>
      </c>
      <c r="B437" s="194">
        <f t="shared" si="18"/>
        <v>14690039</v>
      </c>
      <c r="C437" s="194"/>
      <c r="D437" s="194">
        <f>D190</f>
        <v>14690039</v>
      </c>
    </row>
    <row r="438" spans="1:7" ht="12.6" customHeight="1">
      <c r="A438" s="194" t="s">
        <v>476</v>
      </c>
      <c r="B438" s="194">
        <f>C386+C387+C388</f>
        <v>35535914.710000001</v>
      </c>
      <c r="C438" s="194">
        <f>CD69</f>
        <v>3267135</v>
      </c>
      <c r="D438" s="194">
        <f>D181+D186+D190</f>
        <v>35535914.710000001</v>
      </c>
    </row>
    <row r="439" spans="1:7" ht="12.6" customHeight="1">
      <c r="A439" s="179" t="s">
        <v>451</v>
      </c>
      <c r="B439" s="194">
        <f>C389</f>
        <v>15264456</v>
      </c>
      <c r="C439" s="194">
        <f>SUM(C69:CC69)</f>
        <v>47533237</v>
      </c>
      <c r="D439" s="179"/>
    </row>
    <row r="440" spans="1:7" ht="12.6" customHeight="1">
      <c r="A440" s="179" t="s">
        <v>477</v>
      </c>
      <c r="B440" s="194">
        <f>B438+B439</f>
        <v>50800370.710000001</v>
      </c>
      <c r="C440" s="194">
        <f>CE69</f>
        <v>50800372</v>
      </c>
      <c r="D440" s="179"/>
    </row>
    <row r="441" spans="1:7" ht="12.6" customHeight="1">
      <c r="A441" s="179" t="s">
        <v>478</v>
      </c>
      <c r="B441" s="179">
        <f>D390</f>
        <v>295604058.71000004</v>
      </c>
      <c r="C441" s="179">
        <f>SUM(C427:C437)+C440</f>
        <v>295604059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6030674</v>
      </c>
      <c r="C444" s="179">
        <f>C363</f>
        <v>6030674</v>
      </c>
      <c r="D444" s="179"/>
    </row>
    <row r="445" spans="1:7" ht="12.6" customHeight="1">
      <c r="A445" s="179" t="s">
        <v>343</v>
      </c>
      <c r="B445" s="179">
        <f>D229</f>
        <v>1186868766</v>
      </c>
      <c r="C445" s="179">
        <f>C364</f>
        <v>1186868766</v>
      </c>
      <c r="D445" s="179"/>
    </row>
    <row r="446" spans="1:7" ht="12.6" customHeight="1">
      <c r="A446" s="179" t="s">
        <v>351</v>
      </c>
      <c r="B446" s="179">
        <f>D236</f>
        <v>2838831</v>
      </c>
      <c r="C446" s="179">
        <f>C365</f>
        <v>2838831</v>
      </c>
      <c r="D446" s="179"/>
    </row>
    <row r="447" spans="1:7" ht="12.6" customHeight="1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>
      <c r="A448" s="179" t="s">
        <v>358</v>
      </c>
      <c r="B448" s="179">
        <f>D242</f>
        <v>1195738271</v>
      </c>
      <c r="C448" s="179">
        <f>D367</f>
        <v>1195738271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0</v>
      </c>
    </row>
    <row r="454" spans="1:7" ht="12.6" customHeight="1">
      <c r="A454" s="179" t="s">
        <v>168</v>
      </c>
      <c r="B454" s="179">
        <f>C233</f>
        <v>935323</v>
      </c>
      <c r="C454" s="179"/>
      <c r="D454" s="179"/>
    </row>
    <row r="455" spans="1:7" ht="12.6" customHeight="1">
      <c r="A455" s="179" t="s">
        <v>131</v>
      </c>
      <c r="B455" s="179">
        <f>C234</f>
        <v>1903508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4145837</v>
      </c>
      <c r="C458" s="194">
        <f>CE70</f>
        <v>4145836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817790421</v>
      </c>
      <c r="C463" s="194">
        <f>CE73</f>
        <v>817790421</v>
      </c>
      <c r="D463" s="194">
        <f>E141+E147+E153</f>
        <v>785563548</v>
      </c>
    </row>
    <row r="464" spans="1:7" ht="12.6" customHeight="1">
      <c r="A464" s="179" t="s">
        <v>246</v>
      </c>
      <c r="B464" s="194">
        <f>C360</f>
        <v>655322517</v>
      </c>
      <c r="C464" s="194">
        <f>CE74</f>
        <v>655322517</v>
      </c>
      <c r="D464" s="194">
        <f>E142+E148+E154</f>
        <v>699420879</v>
      </c>
    </row>
    <row r="465" spans="1:7" ht="12.6" customHeight="1">
      <c r="A465" s="179" t="s">
        <v>247</v>
      </c>
      <c r="B465" s="194">
        <f>D361</f>
        <v>1473112938</v>
      </c>
      <c r="C465" s="194">
        <f>CE75</f>
        <v>1473112938</v>
      </c>
      <c r="D465" s="194">
        <f>D463+D464</f>
        <v>1484984427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20">C267</f>
        <v>19229634</v>
      </c>
      <c r="C468" s="179">
        <f>E195</f>
        <v>19229634</v>
      </c>
      <c r="D468" s="179"/>
    </row>
    <row r="469" spans="1:7" ht="12.6" customHeight="1">
      <c r="A469" s="179" t="s">
        <v>333</v>
      </c>
      <c r="B469" s="179">
        <f t="shared" si="20"/>
        <v>716319</v>
      </c>
      <c r="C469" s="179">
        <f>E196</f>
        <v>716319</v>
      </c>
      <c r="D469" s="179"/>
    </row>
    <row r="470" spans="1:7" ht="12.6" customHeight="1">
      <c r="A470" s="179" t="s">
        <v>334</v>
      </c>
      <c r="B470" s="179">
        <f t="shared" si="20"/>
        <v>125197532.25</v>
      </c>
      <c r="C470" s="179">
        <f>E197</f>
        <v>125197532.25</v>
      </c>
      <c r="D470" s="179"/>
    </row>
    <row r="471" spans="1:7" ht="12.6" customHeight="1">
      <c r="A471" s="179" t="s">
        <v>494</v>
      </c>
      <c r="B471" s="179">
        <f t="shared" si="20"/>
        <v>1205298.0000000037</v>
      </c>
      <c r="C471" s="179">
        <f>E198</f>
        <v>1205298.0000000037</v>
      </c>
      <c r="D471" s="179"/>
    </row>
    <row r="472" spans="1:7" ht="12.6" customHeight="1">
      <c r="A472" s="179" t="s">
        <v>377</v>
      </c>
      <c r="B472" s="179">
        <f t="shared" si="20"/>
        <v>0</v>
      </c>
      <c r="C472" s="179">
        <f>E199</f>
        <v>0</v>
      </c>
      <c r="D472" s="179"/>
    </row>
    <row r="473" spans="1:7" ht="12.6" customHeight="1">
      <c r="A473" s="179" t="s">
        <v>495</v>
      </c>
      <c r="B473" s="179">
        <f t="shared" si="20"/>
        <v>41415406.780000031</v>
      </c>
      <c r="C473" s="179">
        <f>SUM(E200:E201)</f>
        <v>41415406.780000031</v>
      </c>
      <c r="D473" s="179"/>
    </row>
    <row r="474" spans="1:7" ht="12.6" customHeight="1">
      <c r="A474" s="179" t="s">
        <v>339</v>
      </c>
      <c r="B474" s="179">
        <f t="shared" si="20"/>
        <v>311050</v>
      </c>
      <c r="C474" s="179">
        <f>E202</f>
        <v>311050</v>
      </c>
      <c r="D474" s="179"/>
    </row>
    <row r="475" spans="1:7" ht="12.6" customHeight="1">
      <c r="A475" s="179" t="s">
        <v>340</v>
      </c>
      <c r="B475" s="179">
        <f t="shared" si="20"/>
        <v>0</v>
      </c>
      <c r="C475" s="179">
        <f>E203</f>
        <v>61993.859999999986</v>
      </c>
      <c r="D475" s="179"/>
    </row>
    <row r="476" spans="1:7" ht="12.6" customHeight="1">
      <c r="A476" s="179" t="s">
        <v>203</v>
      </c>
      <c r="B476" s="179">
        <f>D275</f>
        <v>188075240.03000003</v>
      </c>
      <c r="C476" s="179">
        <f>E204</f>
        <v>188137233.89000005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8164983.9799999995</v>
      </c>
      <c r="C478" s="179">
        <f>E217</f>
        <v>8164983.9799999995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267231142.05000004</v>
      </c>
    </row>
    <row r="482" spans="1:12" ht="12.6" customHeight="1">
      <c r="A482" s="180" t="s">
        <v>499</v>
      </c>
      <c r="C482" s="180">
        <f>D339</f>
        <v>267231142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80" t="str">
        <f>C83</f>
        <v>037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A496" s="180" t="s">
        <v>512</v>
      </c>
      <c r="B496" s="240">
        <v>16576598</v>
      </c>
      <c r="C496" s="240">
        <f>C71</f>
        <v>14841244</v>
      </c>
      <c r="D496" s="240">
        <v>11391</v>
      </c>
      <c r="E496" s="180">
        <f>C59</f>
        <v>6057</v>
      </c>
      <c r="F496" s="263">
        <f t="shared" ref="F496:G511" si="21">IF(B496=0,"",IF(D496=0,"",B496/D496))</f>
        <v>1455.2364147133701</v>
      </c>
      <c r="G496" s="264">
        <f t="shared" si="21"/>
        <v>2450.2631665841177</v>
      </c>
      <c r="H496" s="265">
        <f>IF(B496=0,"",IF(C496=0,"",IF(D496=0,"",IF(E496=0,"",IF(G496/F496-1&lt;-0.25,G496/F496-1,IF(G496/F496-1&gt;0.25,G496/F496-1,""))))))</f>
        <v>0.68375608376095554</v>
      </c>
      <c r="I496" s="267"/>
      <c r="K496" s="261"/>
      <c r="L496" s="261"/>
    </row>
    <row r="497" spans="1:12" ht="12.6" customHeight="1">
      <c r="A497" s="180" t="s">
        <v>513</v>
      </c>
      <c r="B497" s="240">
        <v>12178096</v>
      </c>
      <c r="C497" s="240">
        <f>D71</f>
        <v>5470738</v>
      </c>
      <c r="D497" s="240">
        <v>19440</v>
      </c>
      <c r="E497" s="180">
        <f>D59</f>
        <v>19139</v>
      </c>
      <c r="F497" s="263">
        <f t="shared" si="21"/>
        <v>626.44526748971191</v>
      </c>
      <c r="G497" s="263">
        <f t="shared" si="21"/>
        <v>285.84241600919586</v>
      </c>
      <c r="H497" s="265">
        <f t="shared" ref="H497:H550" si="22">IF(B497=0,"",IF(C497=0,"",IF(D497=0,"",IF(E497=0,"",IF(G497/F497-1&lt;-0.25,G497/F497-1,IF(G497/F497-1&gt;0.25,G497/F497-1,""))))))</f>
        <v>-0.54370727844329947</v>
      </c>
      <c r="I497" s="267"/>
      <c r="K497" s="261"/>
      <c r="L497" s="261"/>
    </row>
    <row r="498" spans="1:12" ht="12.6" customHeight="1">
      <c r="A498" s="180" t="s">
        <v>514</v>
      </c>
      <c r="B498" s="240">
        <v>21007519</v>
      </c>
      <c r="C498" s="240">
        <f>E71</f>
        <v>24905853</v>
      </c>
      <c r="D498" s="240">
        <v>26541</v>
      </c>
      <c r="E498" s="180">
        <f>E59</f>
        <v>27997</v>
      </c>
      <c r="F498" s="263">
        <f t="shared" si="21"/>
        <v>791.51196262386497</v>
      </c>
      <c r="G498" s="263">
        <f t="shared" si="21"/>
        <v>889.59006322105938</v>
      </c>
      <c r="H498" s="265" t="str">
        <f t="shared" si="22"/>
        <v/>
      </c>
      <c r="I498" s="267"/>
      <c r="K498" s="261"/>
      <c r="L498" s="261"/>
    </row>
    <row r="499" spans="1:12" ht="12.6" customHeight="1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21"/>
        <v/>
      </c>
      <c r="G499" s="263" t="str">
        <f t="shared" si="21"/>
        <v/>
      </c>
      <c r="H499" s="265" t="str">
        <f t="shared" si="22"/>
        <v/>
      </c>
      <c r="I499" s="267"/>
      <c r="K499" s="261"/>
      <c r="L499" s="261"/>
    </row>
    <row r="500" spans="1:12" ht="12.6" customHeight="1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21"/>
        <v/>
      </c>
      <c r="G500" s="263" t="str">
        <f t="shared" si="21"/>
        <v/>
      </c>
      <c r="H500" s="265" t="str">
        <f t="shared" si="22"/>
        <v/>
      </c>
      <c r="I500" s="267"/>
      <c r="K500" s="261"/>
      <c r="L500" s="261"/>
    </row>
    <row r="501" spans="1:12" ht="12.6" customHeight="1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21"/>
        <v/>
      </c>
      <c r="G501" s="263" t="str">
        <f t="shared" si="21"/>
        <v/>
      </c>
      <c r="H501" s="265" t="str">
        <f t="shared" si="22"/>
        <v/>
      </c>
      <c r="I501" s="267"/>
      <c r="K501" s="261"/>
      <c r="L501" s="261"/>
    </row>
    <row r="502" spans="1:12" ht="12.6" customHeight="1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21"/>
        <v/>
      </c>
      <c r="G502" s="263" t="str">
        <f t="shared" si="21"/>
        <v/>
      </c>
      <c r="H502" s="265" t="str">
        <f t="shared" si="22"/>
        <v/>
      </c>
      <c r="I502" s="267"/>
      <c r="K502" s="261"/>
      <c r="L502" s="261"/>
    </row>
    <row r="503" spans="1:12" ht="12.6" customHeight="1">
      <c r="A503" s="180" t="s">
        <v>519</v>
      </c>
      <c r="B503" s="240">
        <v>0</v>
      </c>
      <c r="C503" s="240">
        <f>J71</f>
        <v>0</v>
      </c>
      <c r="D503" s="240">
        <v>2459</v>
      </c>
      <c r="E503" s="180">
        <f>J59</f>
        <v>4654</v>
      </c>
      <c r="F503" s="263" t="str">
        <f t="shared" si="21"/>
        <v/>
      </c>
      <c r="G503" s="263" t="str">
        <f t="shared" si="21"/>
        <v/>
      </c>
      <c r="H503" s="265" t="str">
        <f t="shared" si="22"/>
        <v/>
      </c>
      <c r="I503" s="267"/>
      <c r="K503" s="261"/>
      <c r="L503" s="261"/>
    </row>
    <row r="504" spans="1:12" ht="12.6" customHeight="1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21"/>
        <v/>
      </c>
      <c r="G504" s="263" t="str">
        <f t="shared" si="21"/>
        <v/>
      </c>
      <c r="H504" s="265" t="str">
        <f t="shared" si="22"/>
        <v/>
      </c>
      <c r="I504" s="267"/>
      <c r="K504" s="261"/>
      <c r="L504" s="261"/>
    </row>
    <row r="505" spans="1:12" ht="12.6" customHeight="1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21"/>
        <v/>
      </c>
      <c r="G505" s="263" t="str">
        <f t="shared" si="21"/>
        <v/>
      </c>
      <c r="H505" s="265" t="str">
        <f t="shared" si="22"/>
        <v/>
      </c>
      <c r="I505" s="267"/>
      <c r="K505" s="261"/>
      <c r="L505" s="261"/>
    </row>
    <row r="506" spans="1:12" ht="12.6" customHeight="1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21"/>
        <v/>
      </c>
      <c r="G506" s="263" t="str">
        <f t="shared" si="21"/>
        <v/>
      </c>
      <c r="H506" s="265" t="str">
        <f t="shared" si="22"/>
        <v/>
      </c>
      <c r="I506" s="267"/>
      <c r="K506" s="261"/>
      <c r="L506" s="261"/>
    </row>
    <row r="507" spans="1:12" ht="12.6" customHeight="1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21"/>
        <v/>
      </c>
      <c r="G507" s="263" t="str">
        <f t="shared" si="21"/>
        <v/>
      </c>
      <c r="H507" s="265" t="str">
        <f t="shared" si="22"/>
        <v/>
      </c>
      <c r="I507" s="267"/>
      <c r="K507" s="261"/>
      <c r="L507" s="261"/>
    </row>
    <row r="508" spans="1:12" ht="12.6" customHeight="1">
      <c r="A508" s="180" t="s">
        <v>524</v>
      </c>
      <c r="B508" s="240">
        <v>4404439</v>
      </c>
      <c r="C508" s="240">
        <f>O71</f>
        <v>9346541</v>
      </c>
      <c r="D508" s="240">
        <v>1465</v>
      </c>
      <c r="E508" s="180">
        <f>O59</f>
        <v>1441</v>
      </c>
      <c r="F508" s="263">
        <f t="shared" si="21"/>
        <v>3006.4430034129691</v>
      </c>
      <c r="G508" s="263">
        <f t="shared" si="21"/>
        <v>6486.1492019430952</v>
      </c>
      <c r="H508" s="265">
        <f t="shared" si="22"/>
        <v>1.1574163204091681</v>
      </c>
      <c r="I508" s="267"/>
      <c r="K508" s="261"/>
      <c r="L508" s="261"/>
    </row>
    <row r="509" spans="1:12" ht="12.6" customHeight="1">
      <c r="A509" s="180" t="s">
        <v>525</v>
      </c>
      <c r="B509" s="240">
        <v>35841035</v>
      </c>
      <c r="C509" s="240">
        <f>P71</f>
        <v>39220180</v>
      </c>
      <c r="D509" s="240">
        <v>1086976</v>
      </c>
      <c r="E509" s="180">
        <f>P59</f>
        <v>1007098</v>
      </c>
      <c r="F509" s="263">
        <f t="shared" si="21"/>
        <v>32.973161320949131</v>
      </c>
      <c r="G509" s="263">
        <f t="shared" si="21"/>
        <v>38.943757211314093</v>
      </c>
      <c r="H509" s="265" t="str">
        <f t="shared" si="22"/>
        <v/>
      </c>
      <c r="I509" s="267"/>
      <c r="K509" s="261"/>
      <c r="L509" s="261"/>
    </row>
    <row r="510" spans="1:12" ht="12.6" customHeight="1">
      <c r="A510" s="180" t="s">
        <v>526</v>
      </c>
      <c r="B510" s="240">
        <v>2315323</v>
      </c>
      <c r="C510" s="240">
        <f>Q71</f>
        <v>2763924</v>
      </c>
      <c r="D510" s="240">
        <v>0</v>
      </c>
      <c r="E510" s="180">
        <f>Q59</f>
        <v>0</v>
      </c>
      <c r="F510" s="263" t="str">
        <f t="shared" si="21"/>
        <v/>
      </c>
      <c r="G510" s="263" t="str">
        <f t="shared" si="21"/>
        <v/>
      </c>
      <c r="H510" s="265" t="str">
        <f t="shared" si="22"/>
        <v/>
      </c>
      <c r="I510" s="267"/>
      <c r="K510" s="261"/>
      <c r="L510" s="261"/>
    </row>
    <row r="511" spans="1:12" ht="12.6" customHeight="1">
      <c r="A511" s="180" t="s">
        <v>527</v>
      </c>
      <c r="B511" s="240">
        <v>1856342</v>
      </c>
      <c r="C511" s="240">
        <f>R71</f>
        <v>1940035</v>
      </c>
      <c r="D511" s="240">
        <v>1090431</v>
      </c>
      <c r="E511" s="180">
        <f>R59</f>
        <v>1070544</v>
      </c>
      <c r="F511" s="263">
        <f t="shared" si="21"/>
        <v>1.7023929070248369</v>
      </c>
      <c r="G511" s="263">
        <f t="shared" si="21"/>
        <v>1.8121954819232091</v>
      </c>
      <c r="H511" s="265" t="str">
        <f t="shared" si="22"/>
        <v/>
      </c>
      <c r="I511" s="267"/>
      <c r="K511" s="261"/>
      <c r="L511" s="261"/>
    </row>
    <row r="512" spans="1:12" ht="12.6" customHeight="1">
      <c r="A512" s="180" t="s">
        <v>528</v>
      </c>
      <c r="B512" s="240">
        <v>4952641</v>
      </c>
      <c r="C512" s="240">
        <f>S71</f>
        <v>3541228</v>
      </c>
      <c r="D512" s="181" t="s">
        <v>529</v>
      </c>
      <c r="E512" s="181" t="s">
        <v>529</v>
      </c>
      <c r="F512" s="263" t="str">
        <f t="shared" ref="F512:G527" si="23">IF(B512=0,"",IF(D512=0,"",B512/D512))</f>
        <v/>
      </c>
      <c r="G512" s="263" t="str">
        <f t="shared" si="23"/>
        <v/>
      </c>
      <c r="H512" s="265" t="str">
        <f t="shared" si="22"/>
        <v/>
      </c>
      <c r="I512" s="267"/>
      <c r="K512" s="261"/>
      <c r="L512" s="261"/>
    </row>
    <row r="513" spans="1:12" ht="12.6" customHeight="1">
      <c r="A513" s="180" t="s">
        <v>1246</v>
      </c>
      <c r="B513" s="240">
        <v>748340</v>
      </c>
      <c r="C513" s="240">
        <f>T71</f>
        <v>725977</v>
      </c>
      <c r="D513" s="181" t="s">
        <v>529</v>
      </c>
      <c r="E513" s="181" t="s">
        <v>529</v>
      </c>
      <c r="F513" s="263" t="str">
        <f t="shared" si="23"/>
        <v/>
      </c>
      <c r="G513" s="263" t="str">
        <f t="shared" si="23"/>
        <v/>
      </c>
      <c r="H513" s="265" t="str">
        <f t="shared" si="22"/>
        <v/>
      </c>
      <c r="I513" s="267"/>
      <c r="K513" s="261"/>
      <c r="L513" s="261"/>
    </row>
    <row r="514" spans="1:12" ht="12.6" customHeight="1">
      <c r="A514" s="180" t="s">
        <v>530</v>
      </c>
      <c r="B514" s="240">
        <v>9162180</v>
      </c>
      <c r="C514" s="240">
        <f>U71</f>
        <v>9613461</v>
      </c>
      <c r="D514" s="240">
        <v>678774</v>
      </c>
      <c r="E514" s="180">
        <f>U59</f>
        <v>655298</v>
      </c>
      <c r="F514" s="263">
        <f t="shared" si="23"/>
        <v>13.498130452845865</v>
      </c>
      <c r="G514" s="263">
        <f t="shared" si="23"/>
        <v>14.670365238410616</v>
      </c>
      <c r="H514" s="265" t="str">
        <f t="shared" si="22"/>
        <v/>
      </c>
      <c r="I514" s="267"/>
      <c r="K514" s="261"/>
      <c r="L514" s="261"/>
    </row>
    <row r="515" spans="1:12" ht="12.6" customHeight="1">
      <c r="A515" s="180" t="s">
        <v>531</v>
      </c>
      <c r="B515" s="240">
        <v>9147906</v>
      </c>
      <c r="C515" s="240">
        <f>V71</f>
        <v>14686014</v>
      </c>
      <c r="D515" s="240">
        <v>31056</v>
      </c>
      <c r="E515" s="180">
        <f>V59</f>
        <v>44930</v>
      </c>
      <c r="F515" s="263">
        <f t="shared" si="23"/>
        <v>294.56163060278209</v>
      </c>
      <c r="G515" s="263">
        <f t="shared" si="23"/>
        <v>326.8643222791008</v>
      </c>
      <c r="H515" s="265" t="str">
        <f t="shared" si="22"/>
        <v/>
      </c>
      <c r="I515" s="267"/>
      <c r="K515" s="261"/>
      <c r="L515" s="261"/>
    </row>
    <row r="516" spans="1:12" ht="12.6" customHeight="1">
      <c r="A516" s="180" t="s">
        <v>532</v>
      </c>
      <c r="B516" s="240">
        <v>1194743</v>
      </c>
      <c r="C516" s="240">
        <f>W71</f>
        <v>1177421</v>
      </c>
      <c r="D516" s="240">
        <v>3903</v>
      </c>
      <c r="E516" s="180">
        <f>W59</f>
        <v>3903</v>
      </c>
      <c r="F516" s="263">
        <f t="shared" si="23"/>
        <v>306.10889059697666</v>
      </c>
      <c r="G516" s="263">
        <f t="shared" si="23"/>
        <v>301.67076607737636</v>
      </c>
      <c r="H516" s="265" t="str">
        <f t="shared" si="22"/>
        <v/>
      </c>
      <c r="I516" s="267"/>
      <c r="K516" s="261"/>
      <c r="L516" s="261"/>
    </row>
    <row r="517" spans="1:12" ht="12.6" customHeight="1">
      <c r="A517" s="180" t="s">
        <v>533</v>
      </c>
      <c r="B517" s="240">
        <v>1963321</v>
      </c>
      <c r="C517" s="240">
        <f>X71</f>
        <v>2079496</v>
      </c>
      <c r="D517" s="240">
        <v>17553</v>
      </c>
      <c r="E517" s="180">
        <f>X59</f>
        <v>17553</v>
      </c>
      <c r="F517" s="263">
        <f t="shared" si="23"/>
        <v>111.85102261721643</v>
      </c>
      <c r="G517" s="263">
        <f t="shared" si="23"/>
        <v>118.46954936478095</v>
      </c>
      <c r="H517" s="265" t="str">
        <f t="shared" si="22"/>
        <v/>
      </c>
      <c r="I517" s="267"/>
      <c r="K517" s="261"/>
      <c r="L517" s="261"/>
    </row>
    <row r="518" spans="1:12" ht="12.6" customHeight="1">
      <c r="A518" s="180" t="s">
        <v>534</v>
      </c>
      <c r="B518" s="240">
        <v>10905760</v>
      </c>
      <c r="C518" s="240">
        <f>Y71</f>
        <v>9771813</v>
      </c>
      <c r="D518" s="240">
        <v>51158</v>
      </c>
      <c r="E518" s="180">
        <f>Y59</f>
        <v>40124</v>
      </c>
      <c r="F518" s="263">
        <f t="shared" si="23"/>
        <v>213.17799757613668</v>
      </c>
      <c r="G518" s="263">
        <f t="shared" si="23"/>
        <v>243.54034991526268</v>
      </c>
      <c r="H518" s="265" t="str">
        <f t="shared" si="22"/>
        <v/>
      </c>
      <c r="I518" s="267"/>
      <c r="K518" s="261"/>
      <c r="L518" s="261"/>
    </row>
    <row r="519" spans="1:12" ht="12.6" customHeight="1">
      <c r="A519" s="180" t="s">
        <v>535</v>
      </c>
      <c r="B519" s="240">
        <v>72000</v>
      </c>
      <c r="C519" s="240">
        <f>Z71</f>
        <v>72000</v>
      </c>
      <c r="D519" s="240">
        <v>320</v>
      </c>
      <c r="E519" s="180">
        <f>Z59</f>
        <v>0</v>
      </c>
      <c r="F519" s="263">
        <f t="shared" si="23"/>
        <v>225</v>
      </c>
      <c r="G519" s="263" t="str">
        <f t="shared" si="23"/>
        <v/>
      </c>
      <c r="H519" s="265" t="str">
        <f t="shared" si="22"/>
        <v/>
      </c>
      <c r="I519" s="267"/>
      <c r="K519" s="261"/>
      <c r="L519" s="261"/>
    </row>
    <row r="520" spans="1:12" ht="12.6" customHeight="1">
      <c r="A520" s="180" t="s">
        <v>536</v>
      </c>
      <c r="B520" s="240">
        <v>897093</v>
      </c>
      <c r="C520" s="240">
        <f>AA71</f>
        <v>1087204</v>
      </c>
      <c r="D520" s="240">
        <v>1368</v>
      </c>
      <c r="E520" s="180">
        <f>AA59</f>
        <v>1302</v>
      </c>
      <c r="F520" s="263">
        <f t="shared" si="23"/>
        <v>655.76973684210532</v>
      </c>
      <c r="G520" s="263">
        <f t="shared" si="23"/>
        <v>835.02611367127497</v>
      </c>
      <c r="H520" s="265">
        <f t="shared" si="22"/>
        <v>0.27335262174858577</v>
      </c>
      <c r="I520" s="267"/>
      <c r="K520" s="261"/>
      <c r="L520" s="261"/>
    </row>
    <row r="521" spans="1:12" ht="12.6" customHeight="1">
      <c r="A521" s="180" t="s">
        <v>537</v>
      </c>
      <c r="B521" s="240">
        <v>12250998</v>
      </c>
      <c r="C521" s="240">
        <f>AB71</f>
        <v>13167701</v>
      </c>
      <c r="D521" s="181" t="s">
        <v>529</v>
      </c>
      <c r="E521" s="181" t="s">
        <v>529</v>
      </c>
      <c r="F521" s="263" t="str">
        <f t="shared" si="23"/>
        <v/>
      </c>
      <c r="G521" s="263" t="str">
        <f t="shared" si="23"/>
        <v/>
      </c>
      <c r="H521" s="265" t="str">
        <f t="shared" si="22"/>
        <v/>
      </c>
      <c r="I521" s="267"/>
      <c r="K521" s="261"/>
      <c r="L521" s="261"/>
    </row>
    <row r="522" spans="1:12" ht="12.6" customHeight="1">
      <c r="A522" s="180" t="s">
        <v>538</v>
      </c>
      <c r="B522" s="240">
        <v>4276239</v>
      </c>
      <c r="C522" s="240">
        <f>AC71</f>
        <v>4677518</v>
      </c>
      <c r="D522" s="240">
        <v>185233</v>
      </c>
      <c r="E522" s="180">
        <f>AC59</f>
        <v>225879</v>
      </c>
      <c r="F522" s="263">
        <f t="shared" si="23"/>
        <v>23.085729864548973</v>
      </c>
      <c r="G522" s="263">
        <f t="shared" si="23"/>
        <v>20.708069364571298</v>
      </c>
      <c r="H522" s="265" t="str">
        <f t="shared" si="22"/>
        <v/>
      </c>
      <c r="I522" s="267"/>
      <c r="K522" s="261"/>
      <c r="L522" s="261"/>
    </row>
    <row r="523" spans="1:12" ht="12.6" customHeight="1">
      <c r="A523" s="180" t="s">
        <v>539</v>
      </c>
      <c r="B523" s="240">
        <v>750847</v>
      </c>
      <c r="C523" s="240">
        <f>AD71</f>
        <v>912152</v>
      </c>
      <c r="D523" s="240">
        <v>0</v>
      </c>
      <c r="E523" s="180">
        <f>AD59</f>
        <v>0</v>
      </c>
      <c r="F523" s="263" t="str">
        <f t="shared" si="23"/>
        <v/>
      </c>
      <c r="G523" s="263" t="str">
        <f t="shared" si="23"/>
        <v/>
      </c>
      <c r="H523" s="265" t="str">
        <f t="shared" si="22"/>
        <v/>
      </c>
      <c r="I523" s="267"/>
      <c r="K523" s="261"/>
      <c r="L523" s="261"/>
    </row>
    <row r="524" spans="1:12" ht="12.6" customHeight="1">
      <c r="A524" s="180" t="s">
        <v>540</v>
      </c>
      <c r="B524" s="240">
        <v>952028</v>
      </c>
      <c r="C524" s="240">
        <f>AE71</f>
        <v>985559</v>
      </c>
      <c r="D524" s="240">
        <v>24583</v>
      </c>
      <c r="E524" s="180">
        <f>AE59</f>
        <v>22424</v>
      </c>
      <c r="F524" s="263">
        <f t="shared" si="23"/>
        <v>38.727087824919657</v>
      </c>
      <c r="G524" s="263">
        <f t="shared" si="23"/>
        <v>43.951079200856228</v>
      </c>
      <c r="H524" s="265" t="str">
        <f t="shared" si="22"/>
        <v/>
      </c>
      <c r="I524" s="267"/>
      <c r="K524" s="261"/>
      <c r="L524" s="261"/>
    </row>
    <row r="525" spans="1:12" ht="12.6" customHeight="1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23"/>
        <v/>
      </c>
      <c r="G525" s="263" t="str">
        <f t="shared" si="23"/>
        <v/>
      </c>
      <c r="H525" s="265" t="str">
        <f t="shared" si="22"/>
        <v/>
      </c>
      <c r="I525" s="267"/>
      <c r="K525" s="261"/>
      <c r="L525" s="261"/>
    </row>
    <row r="526" spans="1:12" ht="12.6" customHeight="1">
      <c r="A526" s="180" t="s">
        <v>542</v>
      </c>
      <c r="B526" s="240">
        <v>12315411</v>
      </c>
      <c r="C526" s="240">
        <f>AG71</f>
        <v>16379594</v>
      </c>
      <c r="D526" s="240">
        <v>48448</v>
      </c>
      <c r="E526" s="180">
        <f>AG59</f>
        <v>49181</v>
      </c>
      <c r="F526" s="263">
        <f t="shared" si="23"/>
        <v>254.19854276750331</v>
      </c>
      <c r="G526" s="263">
        <f t="shared" si="23"/>
        <v>333.04719302169536</v>
      </c>
      <c r="H526" s="265">
        <f t="shared" si="22"/>
        <v>0.31018529609081624</v>
      </c>
      <c r="I526" s="267"/>
      <c r="K526" s="261"/>
      <c r="L526" s="261"/>
    </row>
    <row r="527" spans="1:12" ht="12.6" customHeight="1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23"/>
        <v/>
      </c>
      <c r="G527" s="263" t="str">
        <f t="shared" si="23"/>
        <v/>
      </c>
      <c r="H527" s="265" t="str">
        <f t="shared" si="22"/>
        <v/>
      </c>
      <c r="I527" s="267"/>
      <c r="K527" s="261"/>
      <c r="L527" s="261"/>
    </row>
    <row r="528" spans="1:12" ht="12.6" customHeight="1">
      <c r="A528" s="180" t="s">
        <v>544</v>
      </c>
      <c r="B528" s="240">
        <v>4003568</v>
      </c>
      <c r="C528" s="240">
        <f>AI71</f>
        <v>4475193</v>
      </c>
      <c r="D528" s="240">
        <v>7099</v>
      </c>
      <c r="E528" s="180">
        <f>AI59</f>
        <v>6881</v>
      </c>
      <c r="F528" s="263">
        <f t="shared" ref="F528:G540" si="24">IF(B528=0,"",IF(D528=0,"",B528/D528))</f>
        <v>563.96224820397242</v>
      </c>
      <c r="G528" s="263">
        <f t="shared" si="24"/>
        <v>650.36956837668947</v>
      </c>
      <c r="H528" s="265" t="str">
        <f t="shared" si="22"/>
        <v/>
      </c>
      <c r="I528" s="267"/>
      <c r="K528" s="261"/>
      <c r="L528" s="261"/>
    </row>
    <row r="529" spans="1:12" ht="12.6" customHeight="1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24"/>
        <v/>
      </c>
      <c r="G529" s="263" t="str">
        <f t="shared" si="24"/>
        <v/>
      </c>
      <c r="H529" s="265" t="str">
        <f t="shared" si="22"/>
        <v/>
      </c>
      <c r="I529" s="267"/>
      <c r="K529" s="261"/>
      <c r="L529" s="261"/>
    </row>
    <row r="530" spans="1:12" ht="12.6" customHeight="1">
      <c r="A530" s="180" t="s">
        <v>546</v>
      </c>
      <c r="B530" s="240">
        <v>389620</v>
      </c>
      <c r="C530" s="240">
        <f>AK71</f>
        <v>440476</v>
      </c>
      <c r="D530" s="240">
        <v>9385</v>
      </c>
      <c r="E530" s="180">
        <f>AK59</f>
        <v>10888</v>
      </c>
      <c r="F530" s="263">
        <f t="shared" si="24"/>
        <v>41.515183803942463</v>
      </c>
      <c r="G530" s="263">
        <f t="shared" si="24"/>
        <v>40.455180014695074</v>
      </c>
      <c r="H530" s="265" t="str">
        <f t="shared" si="22"/>
        <v/>
      </c>
      <c r="I530" s="267"/>
      <c r="K530" s="261"/>
      <c r="L530" s="261"/>
    </row>
    <row r="531" spans="1:12" ht="12.6" customHeight="1">
      <c r="A531" s="180" t="s">
        <v>547</v>
      </c>
      <c r="B531" s="240">
        <v>179493</v>
      </c>
      <c r="C531" s="240">
        <f>AL71</f>
        <v>207076</v>
      </c>
      <c r="D531" s="240">
        <v>2957</v>
      </c>
      <c r="E531" s="180">
        <f>AL59</f>
        <v>3149</v>
      </c>
      <c r="F531" s="263">
        <f t="shared" si="24"/>
        <v>60.701048359824149</v>
      </c>
      <c r="G531" s="263">
        <f t="shared" si="24"/>
        <v>65.759288663067636</v>
      </c>
      <c r="H531" s="265" t="str">
        <f t="shared" si="22"/>
        <v/>
      </c>
      <c r="I531" s="267"/>
      <c r="K531" s="261"/>
      <c r="L531" s="261"/>
    </row>
    <row r="532" spans="1:12" ht="12.6" customHeight="1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24"/>
        <v/>
      </c>
      <c r="G532" s="263" t="str">
        <f t="shared" si="24"/>
        <v/>
      </c>
      <c r="H532" s="265" t="str">
        <f t="shared" si="22"/>
        <v/>
      </c>
      <c r="I532" s="267"/>
      <c r="K532" s="261"/>
      <c r="L532" s="261"/>
    </row>
    <row r="533" spans="1:12" ht="12.6" customHeight="1">
      <c r="A533" s="180" t="s">
        <v>1247</v>
      </c>
      <c r="B533" s="240">
        <v>460463</v>
      </c>
      <c r="C533" s="240">
        <f>AN71</f>
        <v>565802</v>
      </c>
      <c r="D533" s="240">
        <v>3708</v>
      </c>
      <c r="E533" s="180">
        <f>AN59</f>
        <v>3708</v>
      </c>
      <c r="F533" s="263">
        <f t="shared" si="24"/>
        <v>124.18096008629989</v>
      </c>
      <c r="G533" s="263">
        <f t="shared" si="24"/>
        <v>152.58953613807984</v>
      </c>
      <c r="H533" s="265" t="str">
        <f t="shared" si="22"/>
        <v/>
      </c>
      <c r="I533" s="267"/>
      <c r="K533" s="261"/>
      <c r="L533" s="261"/>
    </row>
    <row r="534" spans="1:12" ht="12.6" customHeight="1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24"/>
        <v/>
      </c>
      <c r="G534" s="263" t="str">
        <f t="shared" si="24"/>
        <v/>
      </c>
      <c r="H534" s="265" t="str">
        <f t="shared" si="22"/>
        <v/>
      </c>
      <c r="I534" s="267"/>
      <c r="K534" s="261"/>
      <c r="L534" s="261"/>
    </row>
    <row r="535" spans="1:12" ht="12.6" customHeight="1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24"/>
        <v/>
      </c>
      <c r="G535" s="263" t="str">
        <f t="shared" si="24"/>
        <v/>
      </c>
      <c r="H535" s="265" t="str">
        <f t="shared" si="22"/>
        <v/>
      </c>
      <c r="I535" s="267"/>
      <c r="K535" s="261"/>
      <c r="L535" s="261"/>
    </row>
    <row r="536" spans="1:12" ht="12.6" customHeight="1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24"/>
        <v/>
      </c>
      <c r="G536" s="263" t="str">
        <f t="shared" si="24"/>
        <v/>
      </c>
      <c r="H536" s="265" t="str">
        <f t="shared" si="22"/>
        <v/>
      </c>
      <c r="I536" s="267"/>
      <c r="K536" s="261"/>
      <c r="L536" s="261"/>
    </row>
    <row r="537" spans="1:12" ht="12.6" customHeight="1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24"/>
        <v/>
      </c>
      <c r="G537" s="263" t="str">
        <f t="shared" si="24"/>
        <v/>
      </c>
      <c r="H537" s="265" t="str">
        <f t="shared" si="22"/>
        <v/>
      </c>
      <c r="I537" s="267"/>
      <c r="K537" s="261"/>
      <c r="L537" s="261"/>
    </row>
    <row r="538" spans="1:12" ht="12.6" customHeight="1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24"/>
        <v/>
      </c>
      <c r="G538" s="263" t="str">
        <f t="shared" si="24"/>
        <v/>
      </c>
      <c r="H538" s="265" t="str">
        <f t="shared" si="22"/>
        <v/>
      </c>
      <c r="I538" s="267"/>
      <c r="K538" s="261"/>
      <c r="L538" s="261"/>
    </row>
    <row r="539" spans="1:12" ht="12.6" customHeight="1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24"/>
        <v/>
      </c>
      <c r="G539" s="263" t="str">
        <f t="shared" si="24"/>
        <v/>
      </c>
      <c r="H539" s="265" t="str">
        <f t="shared" si="22"/>
        <v/>
      </c>
      <c r="I539" s="267"/>
      <c r="K539" s="261"/>
      <c r="L539" s="261"/>
    </row>
    <row r="540" spans="1:12" ht="12.6" customHeight="1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24"/>
        <v/>
      </c>
      <c r="G540" s="263" t="str">
        <f t="shared" si="24"/>
        <v/>
      </c>
      <c r="H540" s="265" t="str">
        <f t="shared" si="22"/>
        <v/>
      </c>
      <c r="I540" s="267"/>
      <c r="K540" s="261"/>
      <c r="L540" s="261"/>
    </row>
    <row r="541" spans="1:12" ht="12.6" customHeight="1">
      <c r="A541" s="180" t="s">
        <v>556</v>
      </c>
      <c r="B541" s="240">
        <v>2161674</v>
      </c>
      <c r="C541" s="240">
        <f>AV71</f>
        <v>158011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>
      <c r="A542" s="180" t="s">
        <v>1248</v>
      </c>
      <c r="B542" s="240">
        <v>1706431</v>
      </c>
      <c r="C542" s="240">
        <f>AW71</f>
        <v>5794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558</v>
      </c>
      <c r="B544" s="240">
        <v>3601458</v>
      </c>
      <c r="C544" s="240">
        <f>AY71</f>
        <v>3912333</v>
      </c>
      <c r="D544" s="240">
        <v>138935</v>
      </c>
      <c r="E544" s="180">
        <f>AY59</f>
        <v>956452</v>
      </c>
      <c r="F544" s="263">
        <f t="shared" ref="F544:G550" si="25">IF(B544=0,"",IF(D544=0,"",B544/D544))</f>
        <v>25.921891532011372</v>
      </c>
      <c r="G544" s="263">
        <f t="shared" si="25"/>
        <v>4.0904645502335715</v>
      </c>
      <c r="H544" s="265">
        <f t="shared" si="22"/>
        <v>-0.84220038320960533</v>
      </c>
      <c r="I544" s="267"/>
      <c r="K544" s="261"/>
      <c r="L544" s="261"/>
    </row>
    <row r="545" spans="1:13" ht="12.6" customHeight="1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5"/>
        <v/>
      </c>
      <c r="G545" s="263" t="str">
        <f t="shared" si="25"/>
        <v/>
      </c>
      <c r="H545" s="265" t="str">
        <f t="shared" si="22"/>
        <v/>
      </c>
      <c r="I545" s="267"/>
      <c r="K545" s="261"/>
      <c r="L545" s="261"/>
    </row>
    <row r="546" spans="1:13" ht="12.6" customHeight="1">
      <c r="A546" s="180" t="s">
        <v>560</v>
      </c>
      <c r="B546" s="240">
        <v>1453313</v>
      </c>
      <c r="C546" s="240">
        <f>BA71</f>
        <v>1498517</v>
      </c>
      <c r="D546" s="240">
        <v>0</v>
      </c>
      <c r="E546" s="180">
        <f>BA59</f>
        <v>0</v>
      </c>
      <c r="F546" s="263" t="str">
        <f t="shared" si="25"/>
        <v/>
      </c>
      <c r="G546" s="263" t="str">
        <f t="shared" si="25"/>
        <v/>
      </c>
      <c r="H546" s="265" t="str">
        <f t="shared" si="22"/>
        <v/>
      </c>
      <c r="I546" s="267"/>
      <c r="K546" s="261"/>
      <c r="L546" s="261"/>
    </row>
    <row r="547" spans="1:13" ht="12.6" customHeight="1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>
      <c r="A548" s="180" t="s">
        <v>562</v>
      </c>
      <c r="B548" s="240">
        <v>260971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563</v>
      </c>
      <c r="B549" s="240">
        <v>122871</v>
      </c>
      <c r="C549" s="240">
        <f>BD71</f>
        <v>7322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564</v>
      </c>
      <c r="B550" s="240">
        <v>15101225</v>
      </c>
      <c r="C550" s="240">
        <f>BE71</f>
        <v>14646094</v>
      </c>
      <c r="D550" s="240">
        <v>680240</v>
      </c>
      <c r="E550" s="180">
        <f>BE59</f>
        <v>680240</v>
      </c>
      <c r="F550" s="263">
        <f t="shared" si="25"/>
        <v>22.199848582853111</v>
      </c>
      <c r="G550" s="263">
        <f t="shared" si="25"/>
        <v>21.530774432553216</v>
      </c>
      <c r="H550" s="265" t="str">
        <f t="shared" si="22"/>
        <v/>
      </c>
      <c r="I550" s="267"/>
      <c r="K550" s="261"/>
      <c r="L550" s="261"/>
    </row>
    <row r="551" spans="1:13" ht="12.6" customHeight="1">
      <c r="A551" s="180" t="s">
        <v>565</v>
      </c>
      <c r="B551" s="240">
        <v>3241734</v>
      </c>
      <c r="C551" s="240">
        <f>BF71</f>
        <v>3395014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>
      <c r="A552" s="180" t="s">
        <v>566</v>
      </c>
      <c r="B552" s="240">
        <v>911785</v>
      </c>
      <c r="C552" s="240">
        <f>BG71</f>
        <v>352965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>
      <c r="A553" s="180" t="s">
        <v>567</v>
      </c>
      <c r="B553" s="240">
        <v>6361918</v>
      </c>
      <c r="C553" s="240">
        <f>BH71</f>
        <v>6696010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568</v>
      </c>
      <c r="B554" s="240">
        <v>0</v>
      </c>
      <c r="C554" s="240">
        <f>BI71</f>
        <v>1822061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569</v>
      </c>
      <c r="B555" s="240">
        <v>537094</v>
      </c>
      <c r="C555" s="240">
        <f>BJ71</f>
        <v>624438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570</v>
      </c>
      <c r="B556" s="240">
        <v>3515512</v>
      </c>
      <c r="C556" s="240">
        <f>BK71</f>
        <v>4704291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571</v>
      </c>
      <c r="B557" s="240">
        <v>2376983</v>
      </c>
      <c r="C557" s="240">
        <f>BL71</f>
        <v>2584606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573</v>
      </c>
      <c r="B559" s="240">
        <v>14170950</v>
      </c>
      <c r="C559" s="240">
        <f>BN71</f>
        <v>24831451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575</v>
      </c>
      <c r="B561" s="240">
        <v>520092</v>
      </c>
      <c r="C561" s="240">
        <f>BP71</f>
        <v>619745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577</v>
      </c>
      <c r="B563" s="240">
        <v>716159</v>
      </c>
      <c r="C563" s="240">
        <f>BR71</f>
        <v>1185824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1249</v>
      </c>
      <c r="B564" s="240">
        <v>154309</v>
      </c>
      <c r="C564" s="240">
        <f>BS71</f>
        <v>7024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578</v>
      </c>
      <c r="B565" s="240">
        <v>47865</v>
      </c>
      <c r="C565" s="240">
        <f>BT71</f>
        <v>47516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580</v>
      </c>
      <c r="B567" s="240">
        <v>2709439</v>
      </c>
      <c r="C567" s="240">
        <f>BV71</f>
        <v>2654627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581</v>
      </c>
      <c r="B568" s="240">
        <v>326520</v>
      </c>
      <c r="C568" s="240">
        <f>BW71</f>
        <v>406353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582</v>
      </c>
      <c r="B569" s="240">
        <v>3598386</v>
      </c>
      <c r="C569" s="240">
        <f>BX71</f>
        <v>23777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583</v>
      </c>
      <c r="B570" s="240">
        <v>3034001</v>
      </c>
      <c r="C570" s="240">
        <f>BY71</f>
        <v>5636013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585</v>
      </c>
      <c r="B572" s="240">
        <v>752065</v>
      </c>
      <c r="C572" s="240">
        <f>CA71</f>
        <v>718322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587</v>
      </c>
      <c r="B574" s="240">
        <v>89507</v>
      </c>
      <c r="C574" s="240">
        <f>CC71</f>
        <v>28598780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588</v>
      </c>
      <c r="B575" s="240">
        <v>34148656</v>
      </c>
      <c r="C575" s="240">
        <f>CD71</f>
        <v>3267135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>
      <c r="M576" s="265"/>
    </row>
    <row r="577" spans="13:13" ht="12.6" customHeight="1">
      <c r="M577" s="265"/>
    </row>
    <row r="578" spans="13:13" ht="12.6" customHeight="1">
      <c r="M578" s="265"/>
    </row>
    <row r="612" spans="1:14" ht="12.6" customHeight="1">
      <c r="A612" s="196"/>
      <c r="C612" s="181" t="s">
        <v>589</v>
      </c>
      <c r="D612" s="180">
        <f>CE76-(BE76+CD76)</f>
        <v>427915</v>
      </c>
      <c r="E612" s="180">
        <f>SUM(C624:D647)+SUM(C668:D713)</f>
        <v>234519566.53495902</v>
      </c>
      <c r="F612" s="180">
        <f>CE64-(AX64+BD64+BE64+BG64+BJ64+BN64+BP64+BQ64+CB64+CC64+CD64)</f>
        <v>55113616</v>
      </c>
      <c r="G612" s="180">
        <f>CE77-(AX77+AY77+BD77+BE77+BG77+BJ77+BN77+BP77+BQ77+CB77+CC77+CD77)</f>
        <v>1103259.6960000002</v>
      </c>
      <c r="H612" s="197">
        <f>CE60-(AX60+AY60+AZ60+BD60+BE60+BG60+BJ60+BN60+BO60+BP60+BQ60+BR60+CB60+CC60+CD60)</f>
        <v>1234.9000000000003</v>
      </c>
      <c r="I612" s="180">
        <f>CE78-(AX78+AY78+AZ78+BD78+BE78+BF78+BG78+BJ78+BN78+BO78+BP78+BQ78+BR78+CB78+CC78+CD78)</f>
        <v>122670.99999999999</v>
      </c>
      <c r="J612" s="180">
        <f>CE79-(AX79+AY79+AZ79+BA79+BD79+BE79+BF79+BG79+BJ79+BN79+BO79+BP79+BQ79+BR79+CB79+CC79+CD79)</f>
        <v>1713891.3082776</v>
      </c>
      <c r="K612" s="180">
        <f>CE75-(AW75+AX75+AY75+AZ75+BA75+BB75+BC75+BD75+BE75+BF75+BG75+BH75+BI75+BJ75+BK75+BL75+BM75+BN75+BO75+BP75+BQ75+BR75+BS75+BT75+BU75+BV75+BW75+BX75+CB75+CC75+CD75)</f>
        <v>1473112938</v>
      </c>
      <c r="L612" s="197">
        <f>CE80-(AW80+AX80+AY80+AZ80+BA80+BB80+BC80+BD80+BE80+BF80+BG80+BH80+BI80+BJ80+BK80+BL80+BM80+BN80+BO80+BP80+BQ80+BR80+BS80+BT80+BU80+BV80+BW80+BX80+BY80+BZ80+CA80+CB80+CC80+CD80)</f>
        <v>355.20000000000005</v>
      </c>
    </row>
    <row r="613" spans="1:14" ht="12.6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>
      <c r="A614" s="196">
        <v>8430</v>
      </c>
      <c r="B614" s="198" t="s">
        <v>140</v>
      </c>
      <c r="C614" s="180">
        <f>BE71</f>
        <v>14646094</v>
      </c>
      <c r="N614" s="199" t="s">
        <v>600</v>
      </c>
    </row>
    <row r="615" spans="1:14" ht="12.6" customHeight="1">
      <c r="A615" s="196"/>
      <c r="B615" s="198" t="s">
        <v>601</v>
      </c>
      <c r="C615" s="273">
        <f>CD69-CD70</f>
        <v>3267135</v>
      </c>
      <c r="D615" s="266">
        <f>SUM(C614:C615)</f>
        <v>17913229</v>
      </c>
      <c r="N615" s="199" t="s">
        <v>602</v>
      </c>
    </row>
    <row r="616" spans="1:14" ht="12.6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>
      <c r="A617" s="196">
        <v>8510</v>
      </c>
      <c r="B617" s="200" t="s">
        <v>145</v>
      </c>
      <c r="C617" s="180">
        <f>BJ71</f>
        <v>624438</v>
      </c>
      <c r="D617" s="180">
        <f>(D615/D612)*BJ76</f>
        <v>0</v>
      </c>
      <c r="N617" s="199" t="s">
        <v>605</v>
      </c>
    </row>
    <row r="618" spans="1:14" ht="12.6" customHeight="1">
      <c r="A618" s="196">
        <v>8470</v>
      </c>
      <c r="B618" s="200" t="s">
        <v>606</v>
      </c>
      <c r="C618" s="180">
        <f>BG71</f>
        <v>352965</v>
      </c>
      <c r="D618" s="180">
        <f>(D615/D612)*BG76</f>
        <v>0</v>
      </c>
      <c r="N618" s="199" t="s">
        <v>607</v>
      </c>
    </row>
    <row r="619" spans="1:14" ht="12.6" customHeight="1">
      <c r="A619" s="196">
        <v>8610</v>
      </c>
      <c r="B619" s="200" t="s">
        <v>608</v>
      </c>
      <c r="C619" s="180">
        <f>BN71</f>
        <v>24831451</v>
      </c>
      <c r="D619" s="180">
        <f>(D615/D612)*BN76</f>
        <v>1773845.6601100687</v>
      </c>
      <c r="N619" s="199" t="s">
        <v>609</v>
      </c>
    </row>
    <row r="620" spans="1:14" ht="12.6" customHeight="1">
      <c r="A620" s="196">
        <v>8790</v>
      </c>
      <c r="B620" s="200" t="s">
        <v>610</v>
      </c>
      <c r="C620" s="180">
        <f>CC71</f>
        <v>28598780</v>
      </c>
      <c r="D620" s="180">
        <f>(D615/D612)*CC76</f>
        <v>137431.80493088582</v>
      </c>
      <c r="N620" s="199" t="s">
        <v>611</v>
      </c>
    </row>
    <row r="621" spans="1:14" ht="12.6" customHeight="1">
      <c r="A621" s="196">
        <v>8630</v>
      </c>
      <c r="B621" s="200" t="s">
        <v>612</v>
      </c>
      <c r="C621" s="180">
        <f>BP71</f>
        <v>619745</v>
      </c>
      <c r="D621" s="180">
        <f>(D615/D612)*BP76</f>
        <v>0</v>
      </c>
      <c r="N621" s="199" t="s">
        <v>613</v>
      </c>
    </row>
    <row r="622" spans="1:14" ht="12.6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56938656.465040959</v>
      </c>
      <c r="N623" s="199" t="s">
        <v>617</v>
      </c>
    </row>
    <row r="624" spans="1:14" ht="12.6" customHeight="1">
      <c r="A624" s="196">
        <v>8420</v>
      </c>
      <c r="B624" s="200" t="s">
        <v>139</v>
      </c>
      <c r="C624" s="180">
        <f>BD71</f>
        <v>7322</v>
      </c>
      <c r="D624" s="180">
        <f>(D615/D612)*BD76</f>
        <v>0</v>
      </c>
      <c r="E624" s="180">
        <f>(E623/E612)*SUM(C624:D624)</f>
        <v>1777.6974808406162</v>
      </c>
      <c r="F624" s="180">
        <f>SUM(C624:E624)</f>
        <v>9099.6974808406158</v>
      </c>
      <c r="N624" s="199" t="s">
        <v>618</v>
      </c>
    </row>
    <row r="625" spans="1:14" ht="12.6" customHeight="1">
      <c r="A625" s="196">
        <v>8320</v>
      </c>
      <c r="B625" s="200" t="s">
        <v>135</v>
      </c>
      <c r="C625" s="180">
        <f>AY71</f>
        <v>3912333</v>
      </c>
      <c r="D625" s="180">
        <f>(D615/D612)*AY76</f>
        <v>506735.30267693353</v>
      </c>
      <c r="E625" s="180">
        <f>(E623/E612)*SUM(C625:D625)</f>
        <v>1072899.0152050536</v>
      </c>
      <c r="F625" s="180">
        <f>(F624/F612)*AY64</f>
        <v>328.98804011546292</v>
      </c>
      <c r="G625" s="180">
        <f>SUM(C625:F625)</f>
        <v>5492296.3059221031</v>
      </c>
      <c r="N625" s="199" t="s">
        <v>619</v>
      </c>
    </row>
    <row r="626" spans="1:14" ht="12.6" customHeight="1">
      <c r="A626" s="196">
        <v>8650</v>
      </c>
      <c r="B626" s="200" t="s">
        <v>152</v>
      </c>
      <c r="C626" s="180">
        <f>BR71</f>
        <v>1185824</v>
      </c>
      <c r="D626" s="180">
        <f>(D615/D612)*BR76</f>
        <v>130064.15410303448</v>
      </c>
      <c r="E626" s="180">
        <f>(E623/E612)*SUM(C626:D626)</f>
        <v>319482.52617003181</v>
      </c>
      <c r="F626" s="180">
        <f>(F624/F612)*BR64</f>
        <v>1.9202057383093201</v>
      </c>
      <c r="G626" s="180">
        <f>(G625/G612)*BR77</f>
        <v>0</v>
      </c>
      <c r="N626" s="199" t="s">
        <v>620</v>
      </c>
    </row>
    <row r="627" spans="1:14" ht="12.6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1635372.6004788047</v>
      </c>
      <c r="N628" s="199" t="s">
        <v>623</v>
      </c>
    </row>
    <row r="629" spans="1:14" ht="12.6" customHeight="1">
      <c r="A629" s="196">
        <v>8460</v>
      </c>
      <c r="B629" s="200" t="s">
        <v>141</v>
      </c>
      <c r="C629" s="180">
        <f>BF71</f>
        <v>3395014</v>
      </c>
      <c r="D629" s="180">
        <f>(D615/D612)*BF76</f>
        <v>320911.42753584241</v>
      </c>
      <c r="E629" s="180">
        <f>(E623/E612)*SUM(C629:D629)</f>
        <v>902184.00321251794</v>
      </c>
      <c r="F629" s="180">
        <f>(F624/F612)*BF64</f>
        <v>39.013693406413232</v>
      </c>
      <c r="G629" s="180">
        <f>(G625/G612)*BF77</f>
        <v>0</v>
      </c>
      <c r="H629" s="180">
        <f>(H628/H612)*BF60</f>
        <v>82821.445002789231</v>
      </c>
      <c r="I629" s="180">
        <f>SUM(C629:H629)</f>
        <v>4700969.8894445561</v>
      </c>
      <c r="N629" s="199" t="s">
        <v>624</v>
      </c>
    </row>
    <row r="630" spans="1:14" ht="12.6" customHeight="1">
      <c r="A630" s="196">
        <v>8350</v>
      </c>
      <c r="B630" s="200" t="s">
        <v>625</v>
      </c>
      <c r="C630" s="180">
        <f>BA71</f>
        <v>1498517</v>
      </c>
      <c r="D630" s="180">
        <f>(D615/D612)*BA76</f>
        <v>190135.62534148138</v>
      </c>
      <c r="E630" s="180">
        <f>(E623/E612)*SUM(C630:D630)</f>
        <v>409985.45726364985</v>
      </c>
      <c r="F630" s="180">
        <f>(F624/F612)*BA64</f>
        <v>5.0537899779802213</v>
      </c>
      <c r="G630" s="180">
        <f>(G625/G612)*BA77</f>
        <v>0</v>
      </c>
      <c r="H630" s="180">
        <f>(H628/H612)*BA60</f>
        <v>3986.1296683465871</v>
      </c>
      <c r="I630" s="180">
        <f>(I629/I612)*BA78</f>
        <v>59412.892308579154</v>
      </c>
      <c r="J630" s="180">
        <f>SUM(C630:I630)</f>
        <v>2162042.1583720348</v>
      </c>
      <c r="N630" s="199" t="s">
        <v>626</v>
      </c>
    </row>
    <row r="631" spans="1:14" ht="12.6" customHeight="1">
      <c r="A631" s="196">
        <v>8200</v>
      </c>
      <c r="B631" s="200" t="s">
        <v>627</v>
      </c>
      <c r="C631" s="180">
        <f>AW71</f>
        <v>5794</v>
      </c>
      <c r="D631" s="180">
        <f>(D615/D612)*AW76</f>
        <v>0</v>
      </c>
      <c r="E631" s="180">
        <f>(E623/E612)*SUM(C631:D631)</f>
        <v>1406.7166353442406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9813.0301802153535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>
      <c r="A634" s="196">
        <v>8490</v>
      </c>
      <c r="B634" s="200" t="s">
        <v>633</v>
      </c>
      <c r="C634" s="180">
        <f>BI71</f>
        <v>1822061</v>
      </c>
      <c r="D634" s="180">
        <f>(D615/D612)*BI76</f>
        <v>0</v>
      </c>
      <c r="E634" s="180">
        <f>(E623/E612)*SUM(C634:D634)</f>
        <v>442375.47796202323</v>
      </c>
      <c r="F634" s="180">
        <f>(F624/F612)*BI64</f>
        <v>7.2322245877182416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>
      <c r="A635" s="196">
        <v>8530</v>
      </c>
      <c r="B635" s="200" t="s">
        <v>635</v>
      </c>
      <c r="C635" s="180">
        <f>BK71</f>
        <v>4704291</v>
      </c>
      <c r="D635" s="180">
        <f>(D615/D612)*BK76</f>
        <v>0</v>
      </c>
      <c r="E635" s="180">
        <f>(E623/E612)*SUM(C635:D635)</f>
        <v>1142147.8093200196</v>
      </c>
      <c r="F635" s="180">
        <f>(F624/F612)*BK64</f>
        <v>2.0443669348018916</v>
      </c>
      <c r="G635" s="180">
        <f>(G625/G612)*BK77</f>
        <v>0</v>
      </c>
      <c r="H635" s="180">
        <f>(H628/H612)*BK60</f>
        <v>31895.658824627095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>
      <c r="A636" s="196">
        <v>8480</v>
      </c>
      <c r="B636" s="200" t="s">
        <v>637</v>
      </c>
      <c r="C636" s="180">
        <f>BH71</f>
        <v>6696010</v>
      </c>
      <c r="D636" s="180">
        <f>(D615/D612)*BH76</f>
        <v>75225.389418459279</v>
      </c>
      <c r="E636" s="180">
        <f>(E623/E612)*SUM(C636:D636)</f>
        <v>1643978.1608779056</v>
      </c>
      <c r="F636" s="180">
        <f>(F624/F612)*BH64</f>
        <v>2.8495985242889557</v>
      </c>
      <c r="G636" s="180">
        <f>(G625/G612)*BH77</f>
        <v>0</v>
      </c>
      <c r="H636" s="180">
        <f>(H628/H612)*BH60</f>
        <v>67241.107611394676</v>
      </c>
      <c r="I636" s="180">
        <f>(I629/I612)*BH78</f>
        <v>23506.157524992675</v>
      </c>
      <c r="J636" s="180">
        <f>(J630/J612)*BH79</f>
        <v>0</v>
      </c>
      <c r="N636" s="199" t="s">
        <v>638</v>
      </c>
    </row>
    <row r="637" spans="1:14" ht="12.6" customHeight="1">
      <c r="A637" s="196">
        <v>8560</v>
      </c>
      <c r="B637" s="200" t="s">
        <v>147</v>
      </c>
      <c r="C637" s="180">
        <f>BL71</f>
        <v>2584606</v>
      </c>
      <c r="D637" s="180">
        <f>(D615/D612)*BL76</f>
        <v>0</v>
      </c>
      <c r="E637" s="180">
        <f>(E623/E612)*SUM(C637:D637)</f>
        <v>627512.64342605043</v>
      </c>
      <c r="F637" s="180">
        <f>(F624/F612)*BL64</f>
        <v>7.4668430188564647</v>
      </c>
      <c r="G637" s="180">
        <f>(G625/G612)*BL77</f>
        <v>0</v>
      </c>
      <c r="H637" s="180">
        <f>(H628/H612)*BL60</f>
        <v>60017.075272248287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>
      <c r="A639" s="196">
        <v>8660</v>
      </c>
      <c r="B639" s="200" t="s">
        <v>642</v>
      </c>
      <c r="C639" s="180">
        <f>BS71</f>
        <v>7024</v>
      </c>
      <c r="D639" s="180">
        <f>(D615/D612)*BS76</f>
        <v>61034.289244359279</v>
      </c>
      <c r="E639" s="180">
        <f>(E623/E612)*SUM(C639:D639)</f>
        <v>16523.770737506075</v>
      </c>
      <c r="F639" s="180">
        <f>(F624/F612)*BS64</f>
        <v>1.2444188004847245</v>
      </c>
      <c r="G639" s="180">
        <f>(G625/G612)*BS77</f>
        <v>0</v>
      </c>
      <c r="H639" s="180">
        <f>(H628/H612)*BS60</f>
        <v>11157.190184657808</v>
      </c>
      <c r="I639" s="180">
        <f>(I629/I612)*BS78</f>
        <v>19071.773885052487</v>
      </c>
      <c r="J639" s="180">
        <f>(J630/J612)*BS79</f>
        <v>0</v>
      </c>
      <c r="N639" s="199" t="s">
        <v>643</v>
      </c>
    </row>
    <row r="640" spans="1:14" ht="12.6" customHeight="1">
      <c r="A640" s="196">
        <v>8670</v>
      </c>
      <c r="B640" s="200" t="s">
        <v>644</v>
      </c>
      <c r="C640" s="180">
        <f>BT71</f>
        <v>47516</v>
      </c>
      <c r="D640" s="180">
        <f>(D615/D612)*BT76</f>
        <v>0</v>
      </c>
      <c r="E640" s="180">
        <f>(E623/E612)*SUM(C640:D640)</f>
        <v>11536.338910082315</v>
      </c>
      <c r="F640" s="180">
        <f>(F624/F612)*BT64</f>
        <v>0</v>
      </c>
      <c r="G640" s="180">
        <f>(G625/G612)*BT77</f>
        <v>0</v>
      </c>
      <c r="H640" s="180">
        <f>(H628/H612)*BT60</f>
        <v>787.95586467316264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>
      <c r="A642" s="196">
        <v>8690</v>
      </c>
      <c r="B642" s="200" t="s">
        <v>648</v>
      </c>
      <c r="C642" s="180">
        <f>BV71</f>
        <v>2654627</v>
      </c>
      <c r="D642" s="180">
        <f>(D615/D612)*BV76</f>
        <v>355070.53591951675</v>
      </c>
      <c r="E642" s="180">
        <f>(E623/E612)*SUM(C642:D642)</f>
        <v>730719.98466215993</v>
      </c>
      <c r="F642" s="180">
        <f>(F624/F612)*BV64</f>
        <v>4.4179591698779692</v>
      </c>
      <c r="G642" s="180">
        <f>(G625/G612)*BV77</f>
        <v>0</v>
      </c>
      <c r="H642" s="180">
        <f>(H628/H612)*BV60</f>
        <v>35047.482283319747</v>
      </c>
      <c r="I642" s="180">
        <f>(I629/I612)*BV78</f>
        <v>110951.15644239724</v>
      </c>
      <c r="J642" s="180">
        <f>(J630/J612)*BV79</f>
        <v>0</v>
      </c>
      <c r="N642" s="199" t="s">
        <v>649</v>
      </c>
    </row>
    <row r="643" spans="1:14" ht="12.6" customHeight="1">
      <c r="A643" s="196">
        <v>8700</v>
      </c>
      <c r="B643" s="200" t="s">
        <v>650</v>
      </c>
      <c r="C643" s="180">
        <f>BW71</f>
        <v>406353</v>
      </c>
      <c r="D643" s="180">
        <f>(D615/D612)*BW76</f>
        <v>0</v>
      </c>
      <c r="E643" s="180">
        <f>(E623/E612)*SUM(C643:D643)</f>
        <v>98657.839993448084</v>
      </c>
      <c r="F643" s="180">
        <f>(F624/F612)*BW64</f>
        <v>0.4332433239315267</v>
      </c>
      <c r="G643" s="180">
        <f>(G625/G612)*BW77</f>
        <v>0</v>
      </c>
      <c r="H643" s="180">
        <f>(H628/H612)*BW60</f>
        <v>5648.1206098000657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>
      <c r="A644" s="196">
        <v>8710</v>
      </c>
      <c r="B644" s="200" t="s">
        <v>652</v>
      </c>
      <c r="C644" s="180">
        <f>BX71</f>
        <v>23777</v>
      </c>
      <c r="D644" s="180">
        <f>(D615/D612)*BX76</f>
        <v>37256.870663566362</v>
      </c>
      <c r="E644" s="180">
        <f>(E623/E612)*SUM(C644:D644)</f>
        <v>14818.322606470078</v>
      </c>
      <c r="F644" s="180">
        <f>(F624/F612)*BX64</f>
        <v>0</v>
      </c>
      <c r="G644" s="180">
        <f>(G625/G612)*BX77</f>
        <v>0</v>
      </c>
      <c r="H644" s="180">
        <f>(H628/H612)*BX60</f>
        <v>36093.675784314364</v>
      </c>
      <c r="I644" s="180">
        <f>(I629/I612)*BX78</f>
        <v>11641.892152055359</v>
      </c>
      <c r="J644" s="180">
        <f>(J630/J612)*BX79</f>
        <v>0</v>
      </c>
      <c r="K644" s="180">
        <f>SUM(C631:J644)</f>
        <v>24633221.115651011</v>
      </c>
      <c r="N644" s="199" t="s">
        <v>653</v>
      </c>
    </row>
    <row r="645" spans="1:14" ht="12.6" customHeight="1">
      <c r="A645" s="196">
        <v>8720</v>
      </c>
      <c r="B645" s="200" t="s">
        <v>654</v>
      </c>
      <c r="C645" s="180">
        <f>BY71</f>
        <v>5636013</v>
      </c>
      <c r="D645" s="180">
        <f>(D615/D612)*BY76</f>
        <v>563876.45824521233</v>
      </c>
      <c r="E645" s="180">
        <f>(E623/E612)*SUM(C645:D645)</f>
        <v>1505261.9327250486</v>
      </c>
      <c r="F645" s="180">
        <f>(F624/F612)*BY64</f>
        <v>11.017985324923263</v>
      </c>
      <c r="G645" s="180">
        <f>(G625/G612)*BY77</f>
        <v>0</v>
      </c>
      <c r="H645" s="180">
        <f>(H628/H612)*BY60</f>
        <v>21850.876919507871</v>
      </c>
      <c r="I645" s="180">
        <f>(I629/I612)*BY78</f>
        <v>176198.07560470307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9217.0971733196839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>
      <c r="A647" s="196">
        <v>8740</v>
      </c>
      <c r="B647" s="200" t="s">
        <v>658</v>
      </c>
      <c r="C647" s="180">
        <f>CA71</f>
        <v>718322</v>
      </c>
      <c r="D647" s="180">
        <f>(D615/D612)*CA76</f>
        <v>47680.422118878749</v>
      </c>
      <c r="E647" s="180">
        <f>(E623/E612)*SUM(C647:D647)</f>
        <v>185976.58783372588</v>
      </c>
      <c r="F647" s="180">
        <f>(F624/F612)*CA64</f>
        <v>2.8434895292487625</v>
      </c>
      <c r="G647" s="180">
        <f>(G625/G612)*CA77</f>
        <v>0</v>
      </c>
      <c r="H647" s="180">
        <f>(H628/H612)*CA60</f>
        <v>6959.1732249705374</v>
      </c>
      <c r="I647" s="180">
        <f>(I629/I612)*CA78</f>
        <v>14899.005799091074</v>
      </c>
      <c r="J647" s="180">
        <f>(J630/J612)*CA79</f>
        <v>0</v>
      </c>
      <c r="K647" s="180">
        <v>0</v>
      </c>
      <c r="L647" s="180">
        <f>SUM(C645:K647)</f>
        <v>8886268.491119314</v>
      </c>
      <c r="N647" s="199" t="s">
        <v>659</v>
      </c>
    </row>
    <row r="648" spans="1:14" ht="12.6" customHeight="1">
      <c r="A648" s="196"/>
      <c r="B648" s="196"/>
      <c r="C648" s="180">
        <f>SUM(C614:C647)</f>
        <v>108246012</v>
      </c>
      <c r="L648" s="266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>
      <c r="A668" s="196">
        <v>6010</v>
      </c>
      <c r="B668" s="198" t="s">
        <v>283</v>
      </c>
      <c r="C668" s="180">
        <f>C71</f>
        <v>14841244</v>
      </c>
      <c r="D668" s="180">
        <f>(D615/D612)*C76</f>
        <v>1414714.5439047476</v>
      </c>
      <c r="E668" s="180">
        <f>(E623/E612)*SUM(C668:D668)</f>
        <v>3946759.9770757938</v>
      </c>
      <c r="F668" s="180">
        <f>(F624/F612)*C64</f>
        <v>131.00888460870587</v>
      </c>
      <c r="G668" s="180">
        <f>(G625/G612)*C77</f>
        <v>417414.63426743628</v>
      </c>
      <c r="H668" s="180">
        <f>(H628/H612)*C60</f>
        <v>138859.01208454531</v>
      </c>
      <c r="I668" s="180">
        <f>(I629/I612)*C78</f>
        <v>442064.88233563019</v>
      </c>
      <c r="J668" s="180">
        <f>(J630/J612)*C79</f>
        <v>149180.88487985401</v>
      </c>
      <c r="K668" s="180">
        <f>(K644/K612)*C75</f>
        <v>662151.35494421457</v>
      </c>
      <c r="L668" s="180">
        <f>(L647/L612)*C80</f>
        <v>1023221.7941632317</v>
      </c>
      <c r="M668" s="180">
        <f t="shared" ref="M668:M713" si="26">ROUND(SUM(D668:L668),0)</f>
        <v>8194498</v>
      </c>
      <c r="N668" s="198" t="s">
        <v>663</v>
      </c>
    </row>
    <row r="669" spans="1:14" ht="12.6" customHeight="1">
      <c r="A669" s="196">
        <v>6030</v>
      </c>
      <c r="B669" s="198" t="s">
        <v>284</v>
      </c>
      <c r="C669" s="180">
        <f>D71</f>
        <v>5470738</v>
      </c>
      <c r="D669" s="180">
        <f>(D615/D612)*D76</f>
        <v>315176.38115279906</v>
      </c>
      <c r="E669" s="180">
        <f>(E623/E612)*SUM(C669:D669)</f>
        <v>1404753.5399801726</v>
      </c>
      <c r="F669" s="180">
        <f>(F624/F612)*D64</f>
        <v>61.095894288996348</v>
      </c>
      <c r="G669" s="180">
        <f>(G625/G612)*D77</f>
        <v>1043536.5856685909</v>
      </c>
      <c r="H669" s="180">
        <f>(H628/H612)*D60</f>
        <v>157571.30850106932</v>
      </c>
      <c r="I669" s="180">
        <f>(I629/I612)*D78</f>
        <v>98485.175295308771</v>
      </c>
      <c r="J669" s="180">
        <f>(J630/J612)*D79</f>
        <v>183773.55383750136</v>
      </c>
      <c r="K669" s="180">
        <f>(K644/K612)*D75</f>
        <v>324742.36489466653</v>
      </c>
      <c r="L669" s="180">
        <f>(L647/L612)*D80</f>
        <v>1611136.5169709567</v>
      </c>
      <c r="M669" s="180">
        <f t="shared" si="26"/>
        <v>5139237</v>
      </c>
      <c r="N669" s="198" t="s">
        <v>664</v>
      </c>
    </row>
    <row r="670" spans="1:14" ht="12.6" customHeight="1">
      <c r="A670" s="196">
        <v>6070</v>
      </c>
      <c r="B670" s="198" t="s">
        <v>665</v>
      </c>
      <c r="C670" s="180">
        <f>E71</f>
        <v>24905853</v>
      </c>
      <c r="D670" s="180">
        <f>(D615/D612)*E76</f>
        <v>3700193.3200261737</v>
      </c>
      <c r="E670" s="180">
        <f>(E623/E612)*SUM(C670:D670)</f>
        <v>6945219.4045234239</v>
      </c>
      <c r="F670" s="180">
        <f>(F624/F612)*E64</f>
        <v>244.30630662412565</v>
      </c>
      <c r="G670" s="180">
        <f>(G625/G612)*E77</f>
        <v>3753434.8163290718</v>
      </c>
      <c r="H670" s="180">
        <f>(H628/H612)*E60</f>
        <v>227149.79779506591</v>
      </c>
      <c r="I670" s="180">
        <f>(I629/I612)*E78</f>
        <v>1156223.0215868824</v>
      </c>
      <c r="J670" s="180">
        <f>(J630/J612)*E79</f>
        <v>910219.60194809479</v>
      </c>
      <c r="K670" s="180">
        <f>(K644/K612)*E75</f>
        <v>1364434.2240169784</v>
      </c>
      <c r="L670" s="180">
        <f>(L647/L612)*E80</f>
        <v>2324139.4786739419</v>
      </c>
      <c r="M670" s="180">
        <f t="shared" si="26"/>
        <v>20381258</v>
      </c>
      <c r="N670" s="198" t="s">
        <v>666</v>
      </c>
    </row>
    <row r="671" spans="1:14" ht="12.6" customHeight="1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6"/>
        <v>0</v>
      </c>
      <c r="N671" s="198" t="s">
        <v>668</v>
      </c>
    </row>
    <row r="672" spans="1:14" ht="12.6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6"/>
        <v>0</v>
      </c>
      <c r="N672" s="198" t="s">
        <v>670</v>
      </c>
    </row>
    <row r="673" spans="1:14" ht="12.6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6"/>
        <v>0</v>
      </c>
      <c r="N673" s="198" t="s">
        <v>672</v>
      </c>
    </row>
    <row r="674" spans="1:14" ht="12.6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6"/>
        <v>0</v>
      </c>
      <c r="N674" s="198" t="s">
        <v>674</v>
      </c>
    </row>
    <row r="675" spans="1:14" ht="12.6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382770.01101949747</v>
      </c>
      <c r="M675" s="180">
        <f t="shared" si="26"/>
        <v>382770</v>
      </c>
      <c r="N675" s="198" t="s">
        <v>675</v>
      </c>
    </row>
    <row r="676" spans="1:14" ht="12.6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6"/>
        <v>0</v>
      </c>
      <c r="N676" s="198" t="s">
        <v>676</v>
      </c>
    </row>
    <row r="677" spans="1:14" ht="12.6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6"/>
        <v>0</v>
      </c>
      <c r="N677" s="198" t="s">
        <v>677</v>
      </c>
    </row>
    <row r="678" spans="1:14" ht="12.6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6"/>
        <v>0</v>
      </c>
      <c r="N678" s="198" t="s">
        <v>679</v>
      </c>
    </row>
    <row r="679" spans="1:14" ht="12.6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6"/>
        <v>0</v>
      </c>
      <c r="N679" s="198" t="s">
        <v>681</v>
      </c>
    </row>
    <row r="680" spans="1:14" ht="12.6" customHeight="1">
      <c r="A680" s="196">
        <v>7010</v>
      </c>
      <c r="B680" s="198" t="s">
        <v>682</v>
      </c>
      <c r="C680" s="180">
        <f>O71</f>
        <v>9346541</v>
      </c>
      <c r="D680" s="180">
        <f>(D615/D612)*O76</f>
        <v>401704.41672762117</v>
      </c>
      <c r="E680" s="180">
        <f>(E623/E612)*SUM(C680:D680)</f>
        <v>2366761.9939815318</v>
      </c>
      <c r="F680" s="180">
        <f>(F624/F612)*O64</f>
        <v>73.27244226789351</v>
      </c>
      <c r="G680" s="180">
        <f>(G625/G612)*O77</f>
        <v>164768.93457925116</v>
      </c>
      <c r="H680" s="180">
        <f>(H628/H612)*O60</f>
        <v>50753.627753947832</v>
      </c>
      <c r="I680" s="180">
        <f>(I629/I612)*O78</f>
        <v>125523.14279901487</v>
      </c>
      <c r="J680" s="180">
        <f>(J630/J612)*O79</f>
        <v>56213.087056176875</v>
      </c>
      <c r="K680" s="180">
        <f>(K644/K612)*O75</f>
        <v>539403.09057627094</v>
      </c>
      <c r="L680" s="180">
        <f>(L647/L612)*O80</f>
        <v>422798.24746598082</v>
      </c>
      <c r="M680" s="180">
        <f t="shared" si="26"/>
        <v>4128000</v>
      </c>
      <c r="N680" s="198" t="s">
        <v>683</v>
      </c>
    </row>
    <row r="681" spans="1:14" ht="12.6" customHeight="1">
      <c r="A681" s="196">
        <v>7020</v>
      </c>
      <c r="B681" s="198" t="s">
        <v>684</v>
      </c>
      <c r="C681" s="180">
        <f>P71</f>
        <v>39220180</v>
      </c>
      <c r="D681" s="180">
        <f>(D615/D612)*P76</f>
        <v>1744668.0883656801</v>
      </c>
      <c r="E681" s="180">
        <f>(E623/E612)*SUM(C681:D681)</f>
        <v>9945794.4891704731</v>
      </c>
      <c r="F681" s="180">
        <f>(F624/F612)*P64</f>
        <v>4009.7022960927284</v>
      </c>
      <c r="G681" s="180">
        <f>(G625/G612)*P77</f>
        <v>0</v>
      </c>
      <c r="H681" s="180">
        <f>(H628/H612)*P60</f>
        <v>119749.42699675752</v>
      </c>
      <c r="I681" s="180">
        <f>(I629/I612)*P78</f>
        <v>545167.57215866423</v>
      </c>
      <c r="J681" s="180">
        <f>(J630/J612)*P79</f>
        <v>635640.2920967692</v>
      </c>
      <c r="K681" s="180">
        <f>(K644/K612)*P75</f>
        <v>6067880.9229848813</v>
      </c>
      <c r="L681" s="180">
        <f>(L647/L612)*P80</f>
        <v>735518.84470413229</v>
      </c>
      <c r="M681" s="180">
        <f t="shared" si="26"/>
        <v>19798429</v>
      </c>
      <c r="N681" s="198" t="s">
        <v>685</v>
      </c>
    </row>
    <row r="682" spans="1:14" ht="12.6" customHeight="1">
      <c r="A682" s="196">
        <v>7030</v>
      </c>
      <c r="B682" s="198" t="s">
        <v>686</v>
      </c>
      <c r="C682" s="180">
        <f>Q71</f>
        <v>2763924</v>
      </c>
      <c r="D682" s="180">
        <f>(D615/D612)*Q76</f>
        <v>489572.0251802344</v>
      </c>
      <c r="E682" s="180">
        <f>(E623/E612)*SUM(C682:D682)</f>
        <v>789911.45696365216</v>
      </c>
      <c r="F682" s="180">
        <f>(F624/F612)*Q64</f>
        <v>31.536943909113209</v>
      </c>
      <c r="G682" s="180">
        <f>(G625/G612)*Q77</f>
        <v>0</v>
      </c>
      <c r="H682" s="180">
        <f>(H628/H612)*Q60</f>
        <v>24651.762051917518</v>
      </c>
      <c r="I682" s="180">
        <f>(I629/I612)*Q78</f>
        <v>152979.69518908701</v>
      </c>
      <c r="J682" s="180">
        <f>(J630/J612)*Q79</f>
        <v>0</v>
      </c>
      <c r="K682" s="180">
        <f>(K644/K612)*Q75</f>
        <v>443182.15268703271</v>
      </c>
      <c r="L682" s="180">
        <f>(L647/L612)*Q80</f>
        <v>297710.00857072027</v>
      </c>
      <c r="M682" s="180">
        <f t="shared" si="26"/>
        <v>2198039</v>
      </c>
      <c r="N682" s="198" t="s">
        <v>687</v>
      </c>
    </row>
    <row r="683" spans="1:14" ht="12.6" customHeight="1">
      <c r="A683" s="196">
        <v>7040</v>
      </c>
      <c r="B683" s="198" t="s">
        <v>107</v>
      </c>
      <c r="C683" s="180">
        <f>R71</f>
        <v>1940035</v>
      </c>
      <c r="D683" s="180">
        <f>(D615/D612)*R76</f>
        <v>33991.661773950436</v>
      </c>
      <c r="E683" s="180">
        <f>(E623/E612)*SUM(C683:D683)</f>
        <v>479270.99477571191</v>
      </c>
      <c r="F683" s="180">
        <f>(F624/F612)*R64</f>
        <v>73.891597170615782</v>
      </c>
      <c r="G683" s="180">
        <f>(G625/G612)*R77</f>
        <v>0</v>
      </c>
      <c r="H683" s="180">
        <f>(H628/H612)*R60</f>
        <v>3800.7282884234905</v>
      </c>
      <c r="I683" s="180">
        <f>(I629/I612)*R78</f>
        <v>10621.591491538149</v>
      </c>
      <c r="J683" s="180">
        <f>(J630/J612)*R79</f>
        <v>0</v>
      </c>
      <c r="K683" s="180">
        <f>(K644/K612)*R75</f>
        <v>472122.6307176124</v>
      </c>
      <c r="L683" s="180">
        <f>(L647/L612)*R80</f>
        <v>0</v>
      </c>
      <c r="M683" s="180">
        <f t="shared" si="26"/>
        <v>999881</v>
      </c>
      <c r="N683" s="198" t="s">
        <v>688</v>
      </c>
    </row>
    <row r="684" spans="1:14" ht="12.6" customHeight="1">
      <c r="A684" s="196">
        <v>7050</v>
      </c>
      <c r="B684" s="198" t="s">
        <v>689</v>
      </c>
      <c r="C684" s="180">
        <f>S71</f>
        <v>3541228</v>
      </c>
      <c r="D684" s="180">
        <f>(D615/D612)*S76</f>
        <v>762761.16894476709</v>
      </c>
      <c r="E684" s="180">
        <f>(E623/E612)*SUM(C684:D684)</f>
        <v>1044959.1236272069</v>
      </c>
      <c r="F684" s="180">
        <f>(F624/F612)*S64</f>
        <v>46.107722619843862</v>
      </c>
      <c r="G684" s="180">
        <f>(G625/G612)*S77</f>
        <v>0</v>
      </c>
      <c r="H684" s="180">
        <f>(H628/H612)*S60</f>
        <v>23896.913576516337</v>
      </c>
      <c r="I684" s="180">
        <f>(I629/I612)*S78</f>
        <v>238344.85045236035</v>
      </c>
      <c r="J684" s="180">
        <f>(J630/J612)*S79</f>
        <v>0</v>
      </c>
      <c r="K684" s="180">
        <f>(K644/K612)*S75</f>
        <v>2043.9491132948388</v>
      </c>
      <c r="L684" s="180">
        <f>(L647/L612)*S80</f>
        <v>0</v>
      </c>
      <c r="M684" s="180">
        <f t="shared" si="26"/>
        <v>2072052</v>
      </c>
      <c r="N684" s="198" t="s">
        <v>690</v>
      </c>
    </row>
    <row r="685" spans="1:14" ht="12.6" customHeight="1">
      <c r="A685" s="196">
        <v>7060</v>
      </c>
      <c r="B685" s="198" t="s">
        <v>691</v>
      </c>
      <c r="C685" s="180">
        <f>T71</f>
        <v>725977</v>
      </c>
      <c r="D685" s="180">
        <f>(D615/D612)*T76</f>
        <v>0</v>
      </c>
      <c r="E685" s="180">
        <f>(E623/E612)*SUM(C685:D685)</f>
        <v>176258.8751773051</v>
      </c>
      <c r="F685" s="180">
        <f>(F624/F612)*T64</f>
        <v>38.947980432737637</v>
      </c>
      <c r="G685" s="180">
        <f>(G625/G612)*T77</f>
        <v>0</v>
      </c>
      <c r="H685" s="180">
        <f>(H628/H612)*T60</f>
        <v>4383.4183396103663</v>
      </c>
      <c r="I685" s="180">
        <f>(I629/I612)*T78</f>
        <v>0</v>
      </c>
      <c r="J685" s="180">
        <f>(J630/J612)*T79</f>
        <v>0</v>
      </c>
      <c r="K685" s="180">
        <f>(K644/K612)*T75</f>
        <v>69410.192227984604</v>
      </c>
      <c r="L685" s="180">
        <f>(L647/L612)*T80</f>
        <v>72551.178559251144</v>
      </c>
      <c r="M685" s="180">
        <f t="shared" si="26"/>
        <v>322643</v>
      </c>
      <c r="N685" s="198" t="s">
        <v>692</v>
      </c>
    </row>
    <row r="686" spans="1:14" ht="12.6" customHeight="1">
      <c r="A686" s="196">
        <v>7070</v>
      </c>
      <c r="B686" s="198" t="s">
        <v>109</v>
      </c>
      <c r="C686" s="180">
        <f>U71</f>
        <v>9613461</v>
      </c>
      <c r="D686" s="180">
        <f>(D615/D612)*U76</f>
        <v>747188.63424044498</v>
      </c>
      <c r="E686" s="180">
        <f>(E623/E612)*SUM(C686:D686)</f>
        <v>2515446.7023574831</v>
      </c>
      <c r="F686" s="180">
        <f>(F624/F612)*U64</f>
        <v>548.81230145405391</v>
      </c>
      <c r="G686" s="180">
        <f>(G625/G612)*U77</f>
        <v>0</v>
      </c>
      <c r="H686" s="180">
        <f>(H628/H612)*U60</f>
        <v>76809.143110997349</v>
      </c>
      <c r="I686" s="180">
        <f>(I629/I612)*U78</f>
        <v>233478.80114835521</v>
      </c>
      <c r="J686" s="180">
        <f>(J630/J612)*U79</f>
        <v>0</v>
      </c>
      <c r="K686" s="180">
        <f>(K644/K612)*U75</f>
        <v>1390370.047354243</v>
      </c>
      <c r="L686" s="180">
        <f>(L647/L612)*U80</f>
        <v>0</v>
      </c>
      <c r="M686" s="180">
        <f t="shared" si="26"/>
        <v>4963842</v>
      </c>
      <c r="N686" s="198" t="s">
        <v>693</v>
      </c>
    </row>
    <row r="687" spans="1:14" ht="12.6" customHeight="1">
      <c r="A687" s="196">
        <v>7110</v>
      </c>
      <c r="B687" s="198" t="s">
        <v>694</v>
      </c>
      <c r="C687" s="180">
        <f>V71</f>
        <v>14686014</v>
      </c>
      <c r="D687" s="180">
        <f>(D615/D612)*V76</f>
        <v>445240.53525583353</v>
      </c>
      <c r="E687" s="180">
        <f>(E623/E612)*SUM(C687:D687)</f>
        <v>3673694.7649935051</v>
      </c>
      <c r="F687" s="180">
        <f>(F624/F612)*V64</f>
        <v>1427.1860630174785</v>
      </c>
      <c r="G687" s="180">
        <f>(G625/G612)*V77</f>
        <v>0</v>
      </c>
      <c r="H687" s="180">
        <f>(H628/H612)*V60</f>
        <v>113763.61101638325</v>
      </c>
      <c r="I687" s="180">
        <f>(I629/I612)*V78</f>
        <v>139127.15160591103</v>
      </c>
      <c r="J687" s="180">
        <f>(J630/J612)*V79</f>
        <v>0</v>
      </c>
      <c r="K687" s="180">
        <f>(K644/K612)*V75</f>
        <v>2635038.6891432935</v>
      </c>
      <c r="L687" s="180">
        <f>(L647/L612)*V80</f>
        <v>70049.413781345938</v>
      </c>
      <c r="M687" s="180">
        <f t="shared" si="26"/>
        <v>7078341</v>
      </c>
      <c r="N687" s="198" t="s">
        <v>695</v>
      </c>
    </row>
    <row r="688" spans="1:14" ht="12.6" customHeight="1">
      <c r="A688" s="196">
        <v>7120</v>
      </c>
      <c r="B688" s="198" t="s">
        <v>696</v>
      </c>
      <c r="C688" s="180">
        <f>W71</f>
        <v>1177421</v>
      </c>
      <c r="D688" s="180">
        <f>(D615/D612)*W76</f>
        <v>214164.21383686014</v>
      </c>
      <c r="E688" s="180">
        <f>(E623/E612)*SUM(C688:D688)</f>
        <v>337860.90262398747</v>
      </c>
      <c r="F688" s="180">
        <f>(F624/F612)*W64</f>
        <v>4.7430567708006741</v>
      </c>
      <c r="G688" s="180">
        <f>(G625/G612)*W77</f>
        <v>0</v>
      </c>
      <c r="H688" s="180">
        <f>(H628/H612)*W60</f>
        <v>9150.882394775721</v>
      </c>
      <c r="I688" s="180">
        <f>(I629/I612)*W78</f>
        <v>66921.258707769914</v>
      </c>
      <c r="J688" s="180">
        <f>(J630/J612)*W79</f>
        <v>0</v>
      </c>
      <c r="K688" s="180">
        <f>(K644/K612)*W75</f>
        <v>455323.17563848896</v>
      </c>
      <c r="L688" s="180">
        <f>(L647/L612)*W80</f>
        <v>5003.5295558104244</v>
      </c>
      <c r="M688" s="180">
        <f t="shared" si="26"/>
        <v>1088429</v>
      </c>
      <c r="N688" s="198" t="s">
        <v>697</v>
      </c>
    </row>
    <row r="689" spans="1:14" ht="12.6" customHeight="1">
      <c r="A689" s="196">
        <v>7130</v>
      </c>
      <c r="B689" s="198" t="s">
        <v>698</v>
      </c>
      <c r="C689" s="180">
        <f>X71</f>
        <v>2079496</v>
      </c>
      <c r="D689" s="180">
        <f>(D615/D612)*X76</f>
        <v>251253.63789070261</v>
      </c>
      <c r="E689" s="180">
        <f>(E623/E612)*SUM(C689:D689)</f>
        <v>565879.23514729307</v>
      </c>
      <c r="F689" s="180">
        <f>(F624/F612)*X64</f>
        <v>36.819573539139576</v>
      </c>
      <c r="G689" s="180">
        <f>(G625/G612)*X77</f>
        <v>0</v>
      </c>
      <c r="H689" s="180">
        <f>(H628/H612)*X60</f>
        <v>20023.349031694488</v>
      </c>
      <c r="I689" s="180">
        <f>(I629/I612)*X78</f>
        <v>78510.827749029515</v>
      </c>
      <c r="J689" s="180">
        <f>(J630/J612)*X79</f>
        <v>0</v>
      </c>
      <c r="K689" s="180">
        <f>(K644/K612)*X75</f>
        <v>2017346.4714584013</v>
      </c>
      <c r="L689" s="180">
        <f>(L647/L612)*X80</f>
        <v>45031.766002293814</v>
      </c>
      <c r="M689" s="180">
        <f t="shared" si="26"/>
        <v>2978082</v>
      </c>
      <c r="N689" s="198" t="s">
        <v>699</v>
      </c>
    </row>
    <row r="690" spans="1:14" ht="12.6" customHeight="1">
      <c r="A690" s="196">
        <v>7140</v>
      </c>
      <c r="B690" s="198" t="s">
        <v>1250</v>
      </c>
      <c r="C690" s="180">
        <f>Y71</f>
        <v>9771813</v>
      </c>
      <c r="D690" s="180">
        <f>(D615/D612)*Y76</f>
        <v>1060648.6876435741</v>
      </c>
      <c r="E690" s="180">
        <f>(E623/E612)*SUM(C690:D690)</f>
        <v>2629997.248487636</v>
      </c>
      <c r="F690" s="180">
        <f>(F624/F612)*Y64</f>
        <v>38.696851204193486</v>
      </c>
      <c r="G690" s="180">
        <f>(G625/G612)*Y77</f>
        <v>0</v>
      </c>
      <c r="H690" s="180">
        <f>(H628/H612)*Y60</f>
        <v>23797.591408700388</v>
      </c>
      <c r="I690" s="180">
        <f>(I629/I612)*Y78</f>
        <v>331427.6645580075</v>
      </c>
      <c r="J690" s="180">
        <f>(J630/J612)*Y79</f>
        <v>13837.067583058924</v>
      </c>
      <c r="K690" s="180">
        <f>(K644/K612)*Y75</f>
        <v>2122386.9815462274</v>
      </c>
      <c r="L690" s="180">
        <f>(L647/L612)*Y80</f>
        <v>0</v>
      </c>
      <c r="M690" s="180">
        <f t="shared" si="26"/>
        <v>6182134</v>
      </c>
      <c r="N690" s="198" t="s">
        <v>700</v>
      </c>
    </row>
    <row r="691" spans="1:14" ht="12.6" customHeight="1">
      <c r="A691" s="196">
        <v>7150</v>
      </c>
      <c r="B691" s="198" t="s">
        <v>701</v>
      </c>
      <c r="C691" s="180">
        <f>Z71</f>
        <v>72000</v>
      </c>
      <c r="D691" s="180">
        <f>(D615/D612)*Z76</f>
        <v>0</v>
      </c>
      <c r="E691" s="180">
        <f>(E623/E612)*SUM(C691:D691)</f>
        <v>17480.772824436543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15010.588667431271</v>
      </c>
      <c r="M691" s="180">
        <f t="shared" si="26"/>
        <v>32491</v>
      </c>
      <c r="N691" s="198" t="s">
        <v>702</v>
      </c>
    </row>
    <row r="692" spans="1:14" ht="12.6" customHeight="1">
      <c r="A692" s="196">
        <v>7160</v>
      </c>
      <c r="B692" s="198" t="s">
        <v>703</v>
      </c>
      <c r="C692" s="180">
        <f>AA71</f>
        <v>1087204</v>
      </c>
      <c r="D692" s="180">
        <f>(D615/D612)*AA76</f>
        <v>92304.943610296439</v>
      </c>
      <c r="E692" s="180">
        <f>(E623/E612)*SUM(C692:D692)</f>
        <v>286371.22066170449</v>
      </c>
      <c r="F692" s="180">
        <f>(F624/F612)*AA64</f>
        <v>86.527145317397725</v>
      </c>
      <c r="G692" s="180">
        <f>(G625/G612)*AA77</f>
        <v>0</v>
      </c>
      <c r="H692" s="180">
        <f>(H628/H612)*AA60</f>
        <v>4303.9606053576108</v>
      </c>
      <c r="I692" s="180">
        <f>(I629/I612)*AA78</f>
        <v>28843.114826159628</v>
      </c>
      <c r="J692" s="180">
        <f>(J630/J612)*AA79</f>
        <v>0</v>
      </c>
      <c r="K692" s="180">
        <f>(K644/K612)*AA75</f>
        <v>205804.34862014657</v>
      </c>
      <c r="L692" s="180">
        <f>(L647/L612)*AA80</f>
        <v>5003.5295558104244</v>
      </c>
      <c r="M692" s="180">
        <f t="shared" si="26"/>
        <v>622718</v>
      </c>
      <c r="N692" s="198" t="s">
        <v>704</v>
      </c>
    </row>
    <row r="693" spans="1:14" ht="12.6" customHeight="1">
      <c r="A693" s="196">
        <v>7170</v>
      </c>
      <c r="B693" s="198" t="s">
        <v>115</v>
      </c>
      <c r="C693" s="180">
        <f>AB71</f>
        <v>13167701</v>
      </c>
      <c r="D693" s="180">
        <f>(D615/D612)*AB76</f>
        <v>540392.07123143622</v>
      </c>
      <c r="E693" s="180">
        <f>(E623/E612)*SUM(C693:D693)</f>
        <v>3328167.5115892966</v>
      </c>
      <c r="F693" s="180">
        <f>(F624/F612)*AB64</f>
        <v>1372.1684536855003</v>
      </c>
      <c r="G693" s="180">
        <f>(G625/G612)*AB77</f>
        <v>0</v>
      </c>
      <c r="H693" s="180">
        <f>(H628/H612)*AB60</f>
        <v>50965.515045288506</v>
      </c>
      <c r="I693" s="180">
        <f>(I629/I612)*AB78</f>
        <v>168859.75931559849</v>
      </c>
      <c r="J693" s="180">
        <f>(J630/J612)*AB79</f>
        <v>0</v>
      </c>
      <c r="K693" s="180">
        <f>(K644/K612)*AB75</f>
        <v>2546069.5801025555</v>
      </c>
      <c r="L693" s="180">
        <f>(L647/L612)*AB80</f>
        <v>0</v>
      </c>
      <c r="M693" s="180">
        <f t="shared" si="26"/>
        <v>6635827</v>
      </c>
      <c r="N693" s="198" t="s">
        <v>705</v>
      </c>
    </row>
    <row r="694" spans="1:14" ht="12.6" customHeight="1">
      <c r="A694" s="196">
        <v>7180</v>
      </c>
      <c r="B694" s="198" t="s">
        <v>706</v>
      </c>
      <c r="C694" s="180">
        <f>AC71</f>
        <v>4677518</v>
      </c>
      <c r="D694" s="180">
        <f>(D615/D612)*AC76</f>
        <v>268793.67025928048</v>
      </c>
      <c r="E694" s="180">
        <f>(E623/E612)*SUM(C694:D694)</f>
        <v>1200907.6475925243</v>
      </c>
      <c r="F694" s="180">
        <f>(F624/F612)*AC64</f>
        <v>113.07865394979125</v>
      </c>
      <c r="G694" s="180">
        <f>(G625/G612)*AC77</f>
        <v>0</v>
      </c>
      <c r="H694" s="180">
        <f>(H628/H612)*AC60</f>
        <v>52680.477809577162</v>
      </c>
      <c r="I694" s="180">
        <f>(I629/I612)*AC78</f>
        <v>83991.673604884782</v>
      </c>
      <c r="J694" s="180">
        <f>(J630/J612)*AC79</f>
        <v>16431.517754882472</v>
      </c>
      <c r="K694" s="180">
        <f>(K644/K612)*AC75</f>
        <v>534997.3260896625</v>
      </c>
      <c r="L694" s="180">
        <f>(L647/L612)*AC80</f>
        <v>202642.94701032215</v>
      </c>
      <c r="M694" s="180">
        <f t="shared" si="26"/>
        <v>2360558</v>
      </c>
      <c r="N694" s="198" t="s">
        <v>707</v>
      </c>
    </row>
    <row r="695" spans="1:14" ht="12.6" customHeight="1">
      <c r="A695" s="196">
        <v>7190</v>
      </c>
      <c r="B695" s="198" t="s">
        <v>117</v>
      </c>
      <c r="C695" s="180">
        <f>AD71</f>
        <v>912152</v>
      </c>
      <c r="D695" s="180">
        <f>(D615/D612)*AD76</f>
        <v>0</v>
      </c>
      <c r="E695" s="180">
        <f>(E623/E612)*SUM(C695:D695)</f>
        <v>221460.02629660335</v>
      </c>
      <c r="F695" s="180">
        <f>(F624/F612)*AD64</f>
        <v>1.5198189012155883</v>
      </c>
      <c r="G695" s="180">
        <f>(G625/G612)*AD77</f>
        <v>0</v>
      </c>
      <c r="H695" s="180">
        <f>(H628/H612)*AD60</f>
        <v>52.971822835170599</v>
      </c>
      <c r="I695" s="180">
        <f>(I629/I612)*AD78</f>
        <v>0</v>
      </c>
      <c r="J695" s="180">
        <f>(J630/J612)*AD79</f>
        <v>0</v>
      </c>
      <c r="K695" s="180">
        <f>(K644/K612)*AD75</f>
        <v>165337.1427050817</v>
      </c>
      <c r="L695" s="180">
        <f>(L647/L612)*AD80</f>
        <v>0</v>
      </c>
      <c r="M695" s="180">
        <f t="shared" si="26"/>
        <v>386852</v>
      </c>
      <c r="N695" s="198" t="s">
        <v>708</v>
      </c>
    </row>
    <row r="696" spans="1:14" ht="12.6" customHeight="1">
      <c r="A696" s="196">
        <v>7200</v>
      </c>
      <c r="B696" s="198" t="s">
        <v>709</v>
      </c>
      <c r="C696" s="180">
        <f>AE71</f>
        <v>985559</v>
      </c>
      <c r="D696" s="180">
        <f>(D615/D612)*AE76</f>
        <v>108044.92492434246</v>
      </c>
      <c r="E696" s="180">
        <f>(E623/E612)*SUM(C696:D696)</f>
        <v>265514.46904881368</v>
      </c>
      <c r="F696" s="180">
        <f>(F624/F612)*AE64</f>
        <v>0.42911562458004493</v>
      </c>
      <c r="G696" s="180">
        <f>(G625/G612)*AE77</f>
        <v>0</v>
      </c>
      <c r="H696" s="180">
        <f>(H628/H612)*AE60</f>
        <v>12825.802603965682</v>
      </c>
      <c r="I696" s="180">
        <f>(I629/I612)*AE78</f>
        <v>33761.487240960545</v>
      </c>
      <c r="J696" s="180">
        <f>(J630/J612)*AE79</f>
        <v>0</v>
      </c>
      <c r="K696" s="180">
        <f>(K644/K612)*AE75</f>
        <v>98458.10835213156</v>
      </c>
      <c r="L696" s="180">
        <f>(L647/L612)*AE80</f>
        <v>0</v>
      </c>
      <c r="M696" s="180">
        <f t="shared" si="26"/>
        <v>518605</v>
      </c>
      <c r="N696" s="198" t="s">
        <v>710</v>
      </c>
    </row>
    <row r="697" spans="1:14" ht="12.6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6"/>
        <v>0</v>
      </c>
      <c r="N697" s="198" t="s">
        <v>712</v>
      </c>
    </row>
    <row r="698" spans="1:14" ht="12.6" customHeight="1">
      <c r="A698" s="196">
        <v>7230</v>
      </c>
      <c r="B698" s="198" t="s">
        <v>713</v>
      </c>
      <c r="C698" s="180">
        <f>AG71</f>
        <v>16379594</v>
      </c>
      <c r="D698" s="180">
        <f>(D615/D612)*AG76</f>
        <v>898895.26265029272</v>
      </c>
      <c r="E698" s="180">
        <f>(E623/E612)*SUM(C698:D698)</f>
        <v>4195018.6881924421</v>
      </c>
      <c r="F698" s="180">
        <f>(F624/F612)*AG64</f>
        <v>111.17413346901756</v>
      </c>
      <c r="G698" s="180">
        <f>(G625/G612)*AG77</f>
        <v>65907.573831700473</v>
      </c>
      <c r="H698" s="180">
        <f>(H628/H612)*AG60</f>
        <v>98918.257666826685</v>
      </c>
      <c r="I698" s="180">
        <f>(I629/I612)*AG78</f>
        <v>280883.53952930868</v>
      </c>
      <c r="J698" s="180">
        <f>(J630/J612)*AG79</f>
        <v>147018.84307000108</v>
      </c>
      <c r="K698" s="180">
        <f>(K644/K612)*AG75</f>
        <v>1550143.8532727633</v>
      </c>
      <c r="L698" s="180">
        <f>(L647/L612)*AG80</f>
        <v>625441.19447630306</v>
      </c>
      <c r="M698" s="180">
        <f t="shared" si="26"/>
        <v>7862338</v>
      </c>
      <c r="N698" s="198" t="s">
        <v>714</v>
      </c>
    </row>
    <row r="699" spans="1:14" ht="12.6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6"/>
        <v>0</v>
      </c>
      <c r="N699" s="198" t="s">
        <v>715</v>
      </c>
    </row>
    <row r="700" spans="1:14" ht="12.6" customHeight="1">
      <c r="A700" s="196">
        <v>7250</v>
      </c>
      <c r="B700" s="198" t="s">
        <v>716</v>
      </c>
      <c r="C700" s="180">
        <f>AI71</f>
        <v>4475193</v>
      </c>
      <c r="D700" s="180">
        <f>(D615/D612)*AI76</f>
        <v>0</v>
      </c>
      <c r="E700" s="180">
        <f>(E623/E612)*SUM(C700:D700)</f>
        <v>1086525.4469237311</v>
      </c>
      <c r="F700" s="180">
        <f>(F624/F612)*AI64</f>
        <v>231.88523373564672</v>
      </c>
      <c r="G700" s="180">
        <f>(G625/G612)*AI77</f>
        <v>47233.761246052003</v>
      </c>
      <c r="H700" s="180">
        <f>(H628/H612)*AI60</f>
        <v>25982.679100651174</v>
      </c>
      <c r="I700" s="180">
        <f>(I629/I612)*AI78</f>
        <v>0</v>
      </c>
      <c r="J700" s="180">
        <f>(J630/J612)*AI79</f>
        <v>13620.863402073626</v>
      </c>
      <c r="K700" s="180">
        <f>(K644/K612)*AI75</f>
        <v>617992.67646547058</v>
      </c>
      <c r="L700" s="180">
        <f>(L647/L612)*AI80</f>
        <v>405285.89402064431</v>
      </c>
      <c r="M700" s="180">
        <f t="shared" si="26"/>
        <v>2196873</v>
      </c>
      <c r="N700" s="198" t="s">
        <v>717</v>
      </c>
    </row>
    <row r="701" spans="1:14" ht="12.6" customHeight="1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6"/>
        <v>0</v>
      </c>
      <c r="N701" s="198" t="s">
        <v>718</v>
      </c>
    </row>
    <row r="702" spans="1:14" ht="12.6" customHeight="1">
      <c r="A702" s="196">
        <v>7310</v>
      </c>
      <c r="B702" s="198" t="s">
        <v>719</v>
      </c>
      <c r="C702" s="180">
        <f>AK71</f>
        <v>440476</v>
      </c>
      <c r="D702" s="180">
        <f>(D615/D612)*AK76</f>
        <v>0</v>
      </c>
      <c r="E702" s="180">
        <f>(E623/E612)*SUM(C702:D702)</f>
        <v>106942.51236967376</v>
      </c>
      <c r="F702" s="180">
        <f>(F624/F612)*AK64</f>
        <v>0.13291191911771305</v>
      </c>
      <c r="G702" s="180">
        <f>(G625/G612)*AK77</f>
        <v>0</v>
      </c>
      <c r="H702" s="180">
        <f>(H628/H612)*AK60</f>
        <v>5323.6681949346448</v>
      </c>
      <c r="I702" s="180">
        <f>(I629/I612)*AK78</f>
        <v>0</v>
      </c>
      <c r="J702" s="180">
        <f>(J630/J612)*AK79</f>
        <v>0</v>
      </c>
      <c r="K702" s="180">
        <f>(K644/K612)*AK75</f>
        <v>60580.854450152932</v>
      </c>
      <c r="L702" s="180">
        <f>(L647/L612)*AK80</f>
        <v>0</v>
      </c>
      <c r="M702" s="180">
        <f t="shared" si="26"/>
        <v>172847</v>
      </c>
      <c r="N702" s="198" t="s">
        <v>720</v>
      </c>
    </row>
    <row r="703" spans="1:14" ht="12.6" customHeight="1">
      <c r="A703" s="196">
        <v>7320</v>
      </c>
      <c r="B703" s="198" t="s">
        <v>721</v>
      </c>
      <c r="C703" s="180">
        <f>AL71</f>
        <v>207076</v>
      </c>
      <c r="D703" s="180">
        <f>(D615/D612)*AL76</f>
        <v>0</v>
      </c>
      <c r="E703" s="180">
        <f>(E623/E612)*SUM(C703:D703)</f>
        <v>50275.673797125295</v>
      </c>
      <c r="F703" s="180">
        <f>(F624/F612)*AL64</f>
        <v>0.17550977642500493</v>
      </c>
      <c r="G703" s="180">
        <f>(G625/G612)*AL77</f>
        <v>0</v>
      </c>
      <c r="H703" s="180">
        <f>(H628/H612)*AL60</f>
        <v>2575.7548853601702</v>
      </c>
      <c r="I703" s="180">
        <f>(I629/I612)*AL78</f>
        <v>0</v>
      </c>
      <c r="J703" s="180">
        <f>(J630/J612)*AL79</f>
        <v>0</v>
      </c>
      <c r="K703" s="180">
        <f>(K644/K612)*AL75</f>
        <v>31421.035489873306</v>
      </c>
      <c r="L703" s="180">
        <f>(L647/L612)*AL80</f>
        <v>0</v>
      </c>
      <c r="M703" s="180">
        <f t="shared" si="26"/>
        <v>84273</v>
      </c>
      <c r="N703" s="198" t="s">
        <v>722</v>
      </c>
    </row>
    <row r="704" spans="1:14" ht="12.6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6"/>
        <v>0</v>
      </c>
      <c r="N704" s="198" t="s">
        <v>724</v>
      </c>
    </row>
    <row r="705" spans="1:83" ht="12.6" customHeight="1">
      <c r="A705" s="196">
        <v>7340</v>
      </c>
      <c r="B705" s="198" t="s">
        <v>725</v>
      </c>
      <c r="C705" s="180">
        <f>AN71</f>
        <v>565802</v>
      </c>
      <c r="D705" s="180">
        <f>(D615/D612)*AN76</f>
        <v>0</v>
      </c>
      <c r="E705" s="180">
        <f>(E623/E612)*SUM(C705:D705)</f>
        <v>137370.22535572006</v>
      </c>
      <c r="F705" s="180">
        <f>(F624/F612)*AN64</f>
        <v>1.9259845174013945</v>
      </c>
      <c r="G705" s="180">
        <f>(G625/G612)*AN77</f>
        <v>0</v>
      </c>
      <c r="H705" s="180">
        <f>(H628/H612)*AN60</f>
        <v>4846.9217894181102</v>
      </c>
      <c r="I705" s="180">
        <f>(I629/I612)*AN78</f>
        <v>0</v>
      </c>
      <c r="J705" s="180">
        <f>(J630/J612)*AN79</f>
        <v>0</v>
      </c>
      <c r="K705" s="180">
        <f>(K644/K612)*AN75</f>
        <v>174366.70830118185</v>
      </c>
      <c r="L705" s="180">
        <f>(L647/L612)*AN80</f>
        <v>215151.77089984823</v>
      </c>
      <c r="M705" s="180">
        <f t="shared" si="26"/>
        <v>531738</v>
      </c>
      <c r="N705" s="198" t="s">
        <v>726</v>
      </c>
    </row>
    <row r="706" spans="1:83" ht="12.6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6"/>
        <v>0</v>
      </c>
      <c r="N706" s="198" t="s">
        <v>728</v>
      </c>
    </row>
    <row r="707" spans="1:83" ht="12.6" customHeight="1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282699.419903289</v>
      </c>
      <c r="M707" s="180">
        <f t="shared" si="26"/>
        <v>282699</v>
      </c>
      <c r="N707" s="198" t="s">
        <v>730</v>
      </c>
    </row>
    <row r="708" spans="1:83" ht="12.6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6"/>
        <v>0</v>
      </c>
      <c r="N708" s="198" t="s">
        <v>732</v>
      </c>
    </row>
    <row r="709" spans="1:83" ht="12.6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6"/>
        <v>0</v>
      </c>
      <c r="N709" s="198" t="s">
        <v>734</v>
      </c>
    </row>
    <row r="710" spans="1:83" ht="12.6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6"/>
        <v>0</v>
      </c>
      <c r="N710" s="198" t="s">
        <v>735</v>
      </c>
    </row>
    <row r="711" spans="1:83" ht="12.6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6"/>
        <v>0</v>
      </c>
      <c r="N711" s="198" t="s">
        <v>737</v>
      </c>
    </row>
    <row r="712" spans="1:83" ht="12.6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6"/>
        <v>0</v>
      </c>
      <c r="N712" s="198" t="s">
        <v>739</v>
      </c>
    </row>
    <row r="713" spans="1:83" ht="12.6" customHeight="1">
      <c r="A713" s="196">
        <v>7490</v>
      </c>
      <c r="B713" s="198" t="s">
        <v>740</v>
      </c>
      <c r="C713" s="180">
        <f>AV71</f>
        <v>158011</v>
      </c>
      <c r="D713" s="180">
        <f>(D615/D612)*AV76</f>
        <v>224252.87207272474</v>
      </c>
      <c r="E713" s="180">
        <f>(E623/E612)*SUM(C713:D713)</f>
        <v>92809.276481844077</v>
      </c>
      <c r="F713" s="180">
        <f>(F624/F612)*AV64</f>
        <v>2.6747491797601879E-2</v>
      </c>
      <c r="G713" s="180">
        <f>(G625/G612)*AV77</f>
        <v>0</v>
      </c>
      <c r="H713" s="180">
        <f>(H628/H612)*AV60</f>
        <v>0</v>
      </c>
      <c r="I713" s="180">
        <f>(I629/I612)*AV78</f>
        <v>70073.726133214121</v>
      </c>
      <c r="J713" s="180">
        <f>(J630/J612)*AV79</f>
        <v>36106.446743622415</v>
      </c>
      <c r="K713" s="180">
        <f>(K644/K612)*AV75</f>
        <v>82213.234498402657</v>
      </c>
      <c r="L713" s="180">
        <f>(L647/L612)*AV80</f>
        <v>145102.35711850229</v>
      </c>
      <c r="M713" s="180">
        <f t="shared" si="26"/>
        <v>650558</v>
      </c>
      <c r="N713" s="199" t="s">
        <v>741</v>
      </c>
    </row>
    <row r="715" spans="1:83" ht="12.6" customHeight="1">
      <c r="C715" s="180">
        <f>SUM(C614:C647)+SUM(C668:C713)</f>
        <v>291458223</v>
      </c>
      <c r="D715" s="180">
        <f>SUM(D616:D647)+SUM(D668:D713)</f>
        <v>17913229</v>
      </c>
      <c r="E715" s="180">
        <f>SUM(E624:E647)+SUM(E668:E713)</f>
        <v>56938656.465040967</v>
      </c>
      <c r="F715" s="180">
        <f>SUM(F625:F648)+SUM(F668:F713)</f>
        <v>9099.6974808406158</v>
      </c>
      <c r="G715" s="180">
        <f>SUM(G626:G647)+SUM(G668:G713)</f>
        <v>5492296.3059221031</v>
      </c>
      <c r="H715" s="180">
        <f>SUM(H629:H647)+SUM(H668:H713)</f>
        <v>1635372.6004788044</v>
      </c>
      <c r="I715" s="180">
        <f>SUM(I630:I647)+SUM(I668:I713)</f>
        <v>4700969.889444557</v>
      </c>
      <c r="J715" s="180">
        <f>SUM(J631:J647)+SUM(J668:J713)</f>
        <v>2162042.1583720348</v>
      </c>
      <c r="K715" s="180">
        <f>SUM(K668:K713)</f>
        <v>24633221.115651011</v>
      </c>
      <c r="L715" s="180">
        <f>SUM(L668:L713)</f>
        <v>8886268.491119314</v>
      </c>
      <c r="M715" s="180">
        <f>SUM(M668:M713)</f>
        <v>108246012</v>
      </c>
      <c r="N715" s="198" t="s">
        <v>742</v>
      </c>
    </row>
    <row r="716" spans="1:83" ht="12.6" customHeight="1">
      <c r="C716" s="180">
        <f>CE71</f>
        <v>291458223</v>
      </c>
      <c r="D716" s="180">
        <f>D615</f>
        <v>17913229</v>
      </c>
      <c r="E716" s="180">
        <f>E623</f>
        <v>56938656.465040959</v>
      </c>
      <c r="F716" s="180">
        <f>F624</f>
        <v>9099.6974808406158</v>
      </c>
      <c r="G716" s="180">
        <f>G625</f>
        <v>5492296.3059221031</v>
      </c>
      <c r="H716" s="180">
        <f>H628</f>
        <v>1635372.6004788047</v>
      </c>
      <c r="I716" s="180">
        <f>I629</f>
        <v>4700969.8894445561</v>
      </c>
      <c r="J716" s="180">
        <f>J630</f>
        <v>2162042.1583720348</v>
      </c>
      <c r="K716" s="180">
        <f>K644</f>
        <v>24633221.115651011</v>
      </c>
      <c r="L716" s="180">
        <f>L647</f>
        <v>8886268.491119314</v>
      </c>
      <c r="M716" s="180">
        <f>C648</f>
        <v>108246012</v>
      </c>
      <c r="N716" s="198" t="s">
        <v>743</v>
      </c>
    </row>
    <row r="717" spans="1:83" ht="12.6" customHeight="1">
      <c r="O717" s="198"/>
    </row>
    <row r="718" spans="1:83" ht="12.6" customHeight="1">
      <c r="O718" s="198"/>
    </row>
    <row r="719" spans="1:83" ht="12.6" customHeight="1">
      <c r="O719" s="198"/>
    </row>
    <row r="720" spans="1:83" s="201" customFormat="1" ht="12.6" customHeight="1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>
      <c r="A722" s="202" t="str">
        <f>RIGHT(C83,3)&amp;"*"&amp;RIGHT(C82,4)&amp;"*"&amp;"A"</f>
        <v>037*2017*A</v>
      </c>
      <c r="B722" s="276">
        <f>ROUND(C165,0)</f>
        <v>6924990</v>
      </c>
      <c r="C722" s="276">
        <f>ROUND(C166,0)</f>
        <v>422868</v>
      </c>
      <c r="D722" s="276">
        <f>ROUND(C167,0)</f>
        <v>1422508</v>
      </c>
      <c r="E722" s="276">
        <f>ROUND(C168,0)</f>
        <v>15959664</v>
      </c>
      <c r="F722" s="276">
        <f>ROUND(C169,0)</f>
        <v>31957</v>
      </c>
      <c r="G722" s="276">
        <f>ROUND(C170,0)</f>
        <v>1946929</v>
      </c>
      <c r="H722" s="276">
        <f>ROUND(C171+C172,0)</f>
        <v>125889</v>
      </c>
      <c r="I722" s="276">
        <f>ROUND(C175,0)</f>
        <v>2634900</v>
      </c>
      <c r="J722" s="276">
        <f>ROUND(C176,0)</f>
        <v>2689982</v>
      </c>
      <c r="K722" s="276">
        <f>ROUND(C179,0)</f>
        <v>2815335</v>
      </c>
      <c r="L722" s="276">
        <f>ROUND(C180,0)</f>
        <v>0</v>
      </c>
      <c r="M722" s="276">
        <f>ROUND(C183,0)</f>
        <v>191554</v>
      </c>
      <c r="N722" s="276">
        <f>ROUND(C184,0)</f>
        <v>17838987</v>
      </c>
      <c r="O722" s="276">
        <f>ROUND(C185,0)</f>
        <v>0</v>
      </c>
      <c r="P722" s="276">
        <f>ROUND(C188,0)</f>
        <v>0</v>
      </c>
      <c r="Q722" s="276">
        <f>ROUND(C189,0)</f>
        <v>14690039</v>
      </c>
      <c r="R722" s="276">
        <f>ROUND(B195,0)</f>
        <v>15239201</v>
      </c>
      <c r="S722" s="276">
        <f>ROUND(C195,0)</f>
        <v>3990433</v>
      </c>
      <c r="T722" s="276">
        <f>ROUND(D195,0)</f>
        <v>0</v>
      </c>
      <c r="U722" s="276">
        <f>ROUND(B196,0)</f>
        <v>1054574</v>
      </c>
      <c r="V722" s="276">
        <f>ROUND(C196,0)</f>
        <v>0</v>
      </c>
      <c r="W722" s="276">
        <f>ROUND(D196,0)</f>
        <v>338255</v>
      </c>
      <c r="X722" s="276">
        <f>ROUND(B197,0)</f>
        <v>98031588</v>
      </c>
      <c r="Y722" s="276">
        <f>ROUND(C197,0)</f>
        <v>27165944</v>
      </c>
      <c r="Z722" s="276">
        <f>ROUND(D197,0)</f>
        <v>0</v>
      </c>
      <c r="AA722" s="276">
        <f>ROUND(B198,0)</f>
        <v>34556398</v>
      </c>
      <c r="AB722" s="276">
        <f>ROUND(C198,0)</f>
        <v>37318</v>
      </c>
      <c r="AC722" s="276">
        <f>ROUND(D198,0)</f>
        <v>33388418</v>
      </c>
      <c r="AD722" s="276">
        <f>ROUND(B199,0)</f>
        <v>11782462</v>
      </c>
      <c r="AE722" s="276">
        <f>ROUND(C199,0)</f>
        <v>72150</v>
      </c>
      <c r="AF722" s="276">
        <f>ROUND(D199,0)</f>
        <v>11854612</v>
      </c>
      <c r="AG722" s="276">
        <f>ROUND(B200,0)</f>
        <v>59478724</v>
      </c>
      <c r="AH722" s="276">
        <f>ROUND(C200,0)</f>
        <v>300028</v>
      </c>
      <c r="AI722" s="276">
        <f>ROUND(D200,0)</f>
        <v>18363346</v>
      </c>
      <c r="AJ722" s="276">
        <f>ROUND(B201,0)</f>
        <v>15458434</v>
      </c>
      <c r="AK722" s="276">
        <f>ROUND(C201,0)</f>
        <v>275556</v>
      </c>
      <c r="AL722" s="276">
        <f>ROUND(D201,0)</f>
        <v>15733990</v>
      </c>
      <c r="AM722" s="276">
        <f>ROUND(B202,0)</f>
        <v>425606</v>
      </c>
      <c r="AN722" s="276">
        <f>ROUND(C202,0)</f>
        <v>0</v>
      </c>
      <c r="AO722" s="276">
        <f>ROUND(D202,0)</f>
        <v>114556</v>
      </c>
      <c r="AP722" s="276">
        <f>ROUND(B203,0)</f>
        <v>238922</v>
      </c>
      <c r="AQ722" s="276">
        <f>ROUND(C203,0)</f>
        <v>1600</v>
      </c>
      <c r="AR722" s="276">
        <f>ROUND(D203,0)</f>
        <v>178528</v>
      </c>
      <c r="AS722" s="276"/>
      <c r="AT722" s="276"/>
      <c r="AU722" s="276"/>
      <c r="AV722" s="276">
        <f>ROUND(B209,0)</f>
        <v>717396</v>
      </c>
      <c r="AW722" s="276">
        <f>ROUND(C209,0)</f>
        <v>108313</v>
      </c>
      <c r="AX722" s="276">
        <f>ROUND(D209,0)</f>
        <v>766184</v>
      </c>
      <c r="AY722" s="276">
        <f>ROUND(B210,0)</f>
        <v>26525799</v>
      </c>
      <c r="AZ722" s="276">
        <f>ROUND(C210,0)</f>
        <v>4954843</v>
      </c>
      <c r="BA722" s="276">
        <f>ROUND(D210,0)</f>
        <v>28277863</v>
      </c>
      <c r="BB722" s="276">
        <f>ROUND(B211,0)</f>
        <v>8682007</v>
      </c>
      <c r="BC722" s="276">
        <f>ROUND(C211,0)</f>
        <v>1060583</v>
      </c>
      <c r="BD722" s="276">
        <f>ROUND(D211,0)</f>
        <v>9687649</v>
      </c>
      <c r="BE722" s="276">
        <f>ROUND(B212,0)</f>
        <v>5405429</v>
      </c>
      <c r="BF722" s="276">
        <f>ROUND(C212,0)</f>
        <v>626247</v>
      </c>
      <c r="BG722" s="276">
        <f>ROUND(D212,0)</f>
        <v>6031676</v>
      </c>
      <c r="BH722" s="276">
        <f>ROUND(B213,0)</f>
        <v>41366117</v>
      </c>
      <c r="BI722" s="276">
        <f>ROUND(C213,0)</f>
        <v>7860855</v>
      </c>
      <c r="BJ722" s="276">
        <f>ROUND(D213,0)</f>
        <v>44398766</v>
      </c>
      <c r="BK722" s="276">
        <f>ROUND(B214,0)</f>
        <v>6319723</v>
      </c>
      <c r="BL722" s="276">
        <f>ROUND(C214,0)</f>
        <v>1380065</v>
      </c>
      <c r="BM722" s="276">
        <f>ROUND(D214,0)</f>
        <v>7699788</v>
      </c>
      <c r="BN722" s="276">
        <f>ROUND(B215,0)</f>
        <v>195221</v>
      </c>
      <c r="BO722" s="276">
        <f>ROUND(C215,0)</f>
        <v>20774</v>
      </c>
      <c r="BP722" s="276">
        <f>ROUND(D215,0)</f>
        <v>196461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431089141</v>
      </c>
      <c r="BU722" s="276">
        <f>ROUND(C224,0)</f>
        <v>263816570</v>
      </c>
      <c r="BV722" s="276">
        <f>ROUND(C225,0)</f>
        <v>13432128</v>
      </c>
      <c r="BW722" s="276">
        <f>ROUND(C226,0)</f>
        <v>42424547</v>
      </c>
      <c r="BX722" s="276">
        <f>ROUND(C227,0)</f>
        <v>426901495</v>
      </c>
      <c r="BY722" s="276">
        <f>ROUND(C228,0)</f>
        <v>9204885</v>
      </c>
      <c r="BZ722" s="276">
        <f>ROUND(C231,0)</f>
        <v>0</v>
      </c>
      <c r="CA722" s="276">
        <f>ROUND(C233,0)</f>
        <v>935323</v>
      </c>
      <c r="CB722" s="276">
        <f>ROUND(C234,0)</f>
        <v>1903508</v>
      </c>
      <c r="CC722" s="276">
        <f>ROUND(C238+C239,0)</f>
        <v>0</v>
      </c>
      <c r="CD722" s="276">
        <f>D221</f>
        <v>6030674</v>
      </c>
      <c r="CE722" s="276"/>
    </row>
    <row r="723" spans="1:84" ht="12.6" customHeight="1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>
      <c r="A726" s="202" t="str">
        <f>RIGHT(C83,3)&amp;"*"&amp;RIGHT(C82,4)&amp;"*"&amp;"A"</f>
        <v>037*2017*A</v>
      </c>
      <c r="B726" s="276">
        <f>ROUND(C111,0)</f>
        <v>10866</v>
      </c>
      <c r="C726" s="276">
        <f>ROUND(C112,0)</f>
        <v>0</v>
      </c>
      <c r="D726" s="276">
        <f>ROUND(C113,0)</f>
        <v>0</v>
      </c>
      <c r="E726" s="276">
        <f>ROUND(C114,0)</f>
        <v>1329</v>
      </c>
      <c r="F726" s="276">
        <f>ROUND(D111,0)</f>
        <v>55241</v>
      </c>
      <c r="G726" s="276">
        <f>ROUND(D112,0)</f>
        <v>0</v>
      </c>
      <c r="H726" s="276">
        <f>ROUND(D113,0)</f>
        <v>0</v>
      </c>
      <c r="I726" s="276">
        <f>ROUND(D114,0)</f>
        <v>1984</v>
      </c>
      <c r="J726" s="276">
        <f>ROUND(C116,0)</f>
        <v>35</v>
      </c>
      <c r="K726" s="276">
        <f>ROUND(C117,0)</f>
        <v>68</v>
      </c>
      <c r="L726" s="276">
        <f>ROUND(C118,0)</f>
        <v>213</v>
      </c>
      <c r="M726" s="276">
        <f>ROUND(C119,0)</f>
        <v>10</v>
      </c>
      <c r="N726" s="276">
        <f>ROUND(C120,0)</f>
        <v>26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388</v>
      </c>
      <c r="W726" s="276">
        <f>ROUND(C129,0)</f>
        <v>26</v>
      </c>
      <c r="X726" s="276">
        <f>ROUND(B138,0)</f>
        <v>3673</v>
      </c>
      <c r="Y726" s="276">
        <f>ROUND(B139,0)</f>
        <v>26267</v>
      </c>
      <c r="Z726" s="276">
        <f>ROUND(B140,0)</f>
        <v>25781</v>
      </c>
      <c r="AA726" s="276">
        <f>ROUND(B141,0)</f>
        <v>404326476</v>
      </c>
      <c r="AB726" s="276">
        <f>ROUND(B142,0)</f>
        <v>320928484</v>
      </c>
      <c r="AC726" s="276">
        <f>ROUND(C138,0)</f>
        <v>2741</v>
      </c>
      <c r="AD726" s="276">
        <f>ROUND(C139,0)</f>
        <v>13188</v>
      </c>
      <c r="AE726" s="276">
        <f>ROUND(C140,0)</f>
        <v>34078</v>
      </c>
      <c r="AF726" s="276">
        <f>ROUND(C141,0)</f>
        <v>162361031</v>
      </c>
      <c r="AG726" s="276">
        <f>ROUND(C142,0)</f>
        <v>154392289</v>
      </c>
      <c r="AH726" s="276">
        <f>ROUND(D138,0)</f>
        <v>4452</v>
      </c>
      <c r="AI726" s="276">
        <f>ROUND(D139,0)</f>
        <v>15786</v>
      </c>
      <c r="AJ726" s="276">
        <f>ROUND(D140,0)</f>
        <v>47657</v>
      </c>
      <c r="AK726" s="276">
        <f>ROUND(D141,0)</f>
        <v>218876041</v>
      </c>
      <c r="AL726" s="276">
        <f>ROUND(D142,0)</f>
        <v>224100106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>
      <c r="A730" s="202" t="str">
        <f>RIGHT(C83,3)&amp;"*"&amp;RIGHT(C82,4)&amp;"*"&amp;"A"</f>
        <v>037*2017*A</v>
      </c>
      <c r="B730" s="276">
        <f>ROUND(C250,0)</f>
        <v>-1905871</v>
      </c>
      <c r="C730" s="276">
        <f>ROUND(C251,0)</f>
        <v>0</v>
      </c>
      <c r="D730" s="276">
        <f>ROUND(C252,0)</f>
        <v>47238254</v>
      </c>
      <c r="E730" s="276">
        <f>ROUND(C253,0)</f>
        <v>2099648</v>
      </c>
      <c r="F730" s="276">
        <f>ROUND(C254,0)</f>
        <v>0</v>
      </c>
      <c r="G730" s="276">
        <f>ROUND(C255,0)</f>
        <v>2026017</v>
      </c>
      <c r="H730" s="276">
        <f>ROUND(C256,0)</f>
        <v>0</v>
      </c>
      <c r="I730" s="276">
        <f>ROUND(C257,0)</f>
        <v>8677130</v>
      </c>
      <c r="J730" s="276">
        <f>ROUND(C258,0)</f>
        <v>907299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19229634</v>
      </c>
      <c r="P730" s="276">
        <f>ROUND(C268,0)</f>
        <v>716319</v>
      </c>
      <c r="Q730" s="276">
        <f>ROUND(C269,0)</f>
        <v>125197532</v>
      </c>
      <c r="R730" s="276">
        <f>ROUND(C270,0)</f>
        <v>1205298</v>
      </c>
      <c r="S730" s="276">
        <f>ROUND(C271,0)</f>
        <v>0</v>
      </c>
      <c r="T730" s="276">
        <f>ROUND(C272,0)</f>
        <v>41415407</v>
      </c>
      <c r="U730" s="276">
        <f>ROUND(C273,0)</f>
        <v>311050</v>
      </c>
      <c r="V730" s="276">
        <f>ROUND(C274,0)</f>
        <v>0</v>
      </c>
      <c r="W730" s="276">
        <f>ROUND(C275,0)</f>
        <v>0</v>
      </c>
      <c r="X730" s="276">
        <f>ROUND(C276,0)</f>
        <v>8164984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1189160</v>
      </c>
      <c r="AC730" s="276">
        <f>ROUND(C286,0)</f>
        <v>22281878</v>
      </c>
      <c r="AD730" s="276">
        <f>ROUND(C287,0)</f>
        <v>0</v>
      </c>
      <c r="AE730" s="276">
        <f>ROUND(C288,0)</f>
        <v>9006667</v>
      </c>
      <c r="AF730" s="276">
        <f>ROUND(C289,0)</f>
        <v>0</v>
      </c>
      <c r="AG730" s="276">
        <f>ROUND(C304,0)</f>
        <v>0</v>
      </c>
      <c r="AH730" s="276">
        <f>ROUND(C305,0)</f>
        <v>13558149</v>
      </c>
      <c r="AI730" s="276">
        <f>ROUND(C306,0)</f>
        <v>0</v>
      </c>
      <c r="AJ730" s="276">
        <f>ROUND(C307,0)</f>
        <v>3820691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28068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1675675</v>
      </c>
      <c r="BF730" s="276">
        <f>ROUND(C336,0)</f>
        <v>248148559</v>
      </c>
      <c r="BG730" s="276"/>
      <c r="BH730" s="276"/>
      <c r="BI730" s="276">
        <f>ROUND(CE60,2)</f>
        <v>1378.7</v>
      </c>
      <c r="BJ730" s="276">
        <f>ROUND(C359,0)</f>
        <v>817790421</v>
      </c>
      <c r="BK730" s="276">
        <f>ROUND(C360,0)</f>
        <v>655322517</v>
      </c>
      <c r="BL730" s="276">
        <f>ROUND(C364,0)</f>
        <v>1186868766</v>
      </c>
      <c r="BM730" s="276">
        <f>ROUND(C365,0)</f>
        <v>2838831</v>
      </c>
      <c r="BN730" s="276">
        <f>ROUND(C366,0)</f>
        <v>0</v>
      </c>
      <c r="BO730" s="276">
        <f>ROUND(C370,0)</f>
        <v>4145837</v>
      </c>
      <c r="BP730" s="276">
        <f>ROUND(C371,0)</f>
        <v>0</v>
      </c>
      <c r="BQ730" s="276">
        <f>ROUND(C378,0)</f>
        <v>97187781</v>
      </c>
      <c r="BR730" s="276">
        <f>ROUND(C379,0)</f>
        <v>26834807</v>
      </c>
      <c r="BS730" s="276">
        <f>ROUND(C380,0)</f>
        <v>16143831</v>
      </c>
      <c r="BT730" s="276">
        <f>ROUND(C381,0)</f>
        <v>55815388</v>
      </c>
      <c r="BU730" s="276">
        <f>ROUND(C382,0)</f>
        <v>3474923</v>
      </c>
      <c r="BV730" s="276">
        <f>ROUND(C383,0)</f>
        <v>21849257</v>
      </c>
      <c r="BW730" s="276">
        <f>ROUND(C384,0)</f>
        <v>18172819</v>
      </c>
      <c r="BX730" s="276">
        <f>ROUND(C385,0)</f>
        <v>5324882</v>
      </c>
      <c r="BY730" s="276">
        <f>ROUND(C386,0)</f>
        <v>2815335</v>
      </c>
      <c r="BZ730" s="276">
        <f>ROUND(C387,0)</f>
        <v>18030541</v>
      </c>
      <c r="CA730" s="276">
        <f>ROUND(C388,0)</f>
        <v>14690039</v>
      </c>
      <c r="CB730" s="276">
        <f>C363</f>
        <v>6030674</v>
      </c>
      <c r="CC730" s="276">
        <f>ROUND(C389,0)</f>
        <v>15264456</v>
      </c>
      <c r="CD730" s="276">
        <f>ROUND(C392,0)</f>
        <v>6501839</v>
      </c>
      <c r="CE730" s="276">
        <f>ROUND(C394,0)</f>
        <v>0</v>
      </c>
      <c r="CF730" s="201">
        <f>ROUND(C395,0)</f>
        <v>0</v>
      </c>
    </row>
    <row r="731" spans="1:84" ht="12.6" customHeight="1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>
      <c r="A734" s="202" t="str">
        <f>RIGHT($C$83,3)&amp;"*"&amp;RIGHT($C$82,4)&amp;"*"&amp;C$55&amp;"*"&amp;"A"</f>
        <v>037*2017*6010*A</v>
      </c>
      <c r="B734" s="276">
        <f>ROUND(C59,0)</f>
        <v>6057</v>
      </c>
      <c r="C734" s="276">
        <f>ROUND(C60,2)</f>
        <v>104.86</v>
      </c>
      <c r="D734" s="276">
        <f>ROUND(C61,0)</f>
        <v>9486579</v>
      </c>
      <c r="E734" s="276">
        <f>ROUND(C62,0)</f>
        <v>2619367</v>
      </c>
      <c r="F734" s="276">
        <f>ROUND(C63,0)</f>
        <v>937330</v>
      </c>
      <c r="G734" s="276">
        <f>ROUND(C64,0)</f>
        <v>793474</v>
      </c>
      <c r="H734" s="276">
        <f>ROUND(C65,0)</f>
        <v>0</v>
      </c>
      <c r="I734" s="276">
        <f>ROUND(C66,0)</f>
        <v>3227</v>
      </c>
      <c r="J734" s="276">
        <f>ROUND(C67,0)</f>
        <v>902844</v>
      </c>
      <c r="K734" s="276">
        <f>ROUND(C68,0)</f>
        <v>17375</v>
      </c>
      <c r="L734" s="276">
        <f>ROUND(C69,0)</f>
        <v>81048</v>
      </c>
      <c r="M734" s="276">
        <f>ROUND(C70,0)</f>
        <v>0</v>
      </c>
      <c r="N734" s="276">
        <f>ROUND(C75,0)</f>
        <v>39597896</v>
      </c>
      <c r="O734" s="276">
        <f>ROUND(C73,0)</f>
        <v>39492584</v>
      </c>
      <c r="P734" s="276">
        <f>IF(C76&gt;0,ROUND(C76,0),0)</f>
        <v>33795</v>
      </c>
      <c r="Q734" s="276">
        <f>IF(C77&gt;0,ROUND(C77,0),0)</f>
        <v>83848</v>
      </c>
      <c r="R734" s="276">
        <f>IF(C78&gt;0,ROUND(C78,0),0)</f>
        <v>11536</v>
      </c>
      <c r="S734" s="276">
        <f>IF(C79&gt;0,ROUND(C79,0),0)</f>
        <v>118258</v>
      </c>
      <c r="T734" s="276">
        <f>IF(C80&gt;0,ROUND(C80,2),0)</f>
        <v>40.9</v>
      </c>
      <c r="U734" s="276"/>
      <c r="V734" s="276"/>
      <c r="W734" s="276"/>
      <c r="X734" s="276"/>
      <c r="Y734" s="276">
        <f>IF(M668&lt;&gt;0,ROUND(M668,0),0)</f>
        <v>8194498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>
      <c r="A735" s="209" t="str">
        <f>RIGHT($C$83,3)&amp;"*"&amp;RIGHT($C$82,4)&amp;"*"&amp;D$55&amp;"*"&amp;"A"</f>
        <v>037*2017*6030*A</v>
      </c>
      <c r="B735" s="276">
        <f>ROUND(D59,0)</f>
        <v>19139</v>
      </c>
      <c r="C735" s="278">
        <f>ROUND(D60,2)</f>
        <v>118.99</v>
      </c>
      <c r="D735" s="276">
        <f>ROUND(D61,0)</f>
        <v>3774043</v>
      </c>
      <c r="E735" s="276">
        <f>ROUND(D62,0)</f>
        <v>1042062</v>
      </c>
      <c r="F735" s="276">
        <f>ROUND(D63,0)</f>
        <v>0</v>
      </c>
      <c r="G735" s="276">
        <f>ROUND(D64,0)</f>
        <v>370036</v>
      </c>
      <c r="H735" s="276">
        <f>ROUND(D65,0)</f>
        <v>0</v>
      </c>
      <c r="I735" s="276">
        <f>ROUND(D66,0)</f>
        <v>6007</v>
      </c>
      <c r="J735" s="276">
        <f>ROUND(D67,0)</f>
        <v>201140</v>
      </c>
      <c r="K735" s="276">
        <f>ROUND(D68,0)</f>
        <v>74136</v>
      </c>
      <c r="L735" s="276">
        <f>ROUND(D69,0)</f>
        <v>3314</v>
      </c>
      <c r="M735" s="276">
        <f>ROUND(D70,0)</f>
        <v>0</v>
      </c>
      <c r="N735" s="276">
        <f>ROUND(D75,0)</f>
        <v>19420204</v>
      </c>
      <c r="O735" s="276">
        <f>ROUND(D73,0)</f>
        <v>17759415</v>
      </c>
      <c r="P735" s="276">
        <f>IF(D76&gt;0,ROUND(D76,0),0)</f>
        <v>7529</v>
      </c>
      <c r="Q735" s="276">
        <f>IF(D77&gt;0,ROUND(D77,0),0)</f>
        <v>209619</v>
      </c>
      <c r="R735" s="276">
        <f>IF(D78&gt;0,ROUND(D78,0),0)</f>
        <v>2570</v>
      </c>
      <c r="S735" s="276">
        <f>IF(D79&gt;0,ROUND(D79,0),0)</f>
        <v>145681</v>
      </c>
      <c r="T735" s="278">
        <f>IF(D80&gt;0,ROUND(D80,2),0)</f>
        <v>64.400000000000006</v>
      </c>
      <c r="U735" s="276"/>
      <c r="V735" s="277"/>
      <c r="W735" s="276"/>
      <c r="X735" s="276"/>
      <c r="Y735" s="276">
        <f t="shared" ref="Y735:Y779" si="27">IF(M669&lt;&gt;0,ROUND(M669,0),0)</f>
        <v>5139237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>
      <c r="A736" s="209" t="str">
        <f>RIGHT($C$83,3)&amp;"*"&amp;RIGHT($C$82,4)&amp;"*"&amp;E$55&amp;"*"&amp;"A"</f>
        <v>037*2017*6070*A</v>
      </c>
      <c r="B736" s="276">
        <f>ROUND(E59,0)</f>
        <v>27997</v>
      </c>
      <c r="C736" s="278">
        <f>ROUND(E60,2)</f>
        <v>171.53</v>
      </c>
      <c r="D736" s="276">
        <f>ROUND(E61,0)</f>
        <v>15767627</v>
      </c>
      <c r="E736" s="276">
        <f>ROUND(E62,0)</f>
        <v>4353646</v>
      </c>
      <c r="F736" s="276">
        <f>ROUND(E63,0)</f>
        <v>112289</v>
      </c>
      <c r="G736" s="276">
        <f>ROUND(E64,0)</f>
        <v>1479676</v>
      </c>
      <c r="H736" s="276">
        <f>ROUND(E65,0)</f>
        <v>0</v>
      </c>
      <c r="I736" s="276">
        <f>ROUND(E66,0)</f>
        <v>629326</v>
      </c>
      <c r="J736" s="276">
        <f>ROUND(E67,0)</f>
        <v>2361393</v>
      </c>
      <c r="K736" s="276">
        <f>ROUND(E68,0)</f>
        <v>114482</v>
      </c>
      <c r="L736" s="276">
        <f>ROUND(E69,0)</f>
        <v>87414</v>
      </c>
      <c r="M736" s="276">
        <f>ROUND(E70,0)</f>
        <v>0</v>
      </c>
      <c r="N736" s="276">
        <f>ROUND(E75,0)</f>
        <v>81595732</v>
      </c>
      <c r="O736" s="276">
        <f>ROUND(E73,0)</f>
        <v>64177461</v>
      </c>
      <c r="P736" s="276">
        <f>IF(E76&gt;0,ROUND(E76,0),0)</f>
        <v>88391</v>
      </c>
      <c r="Q736" s="276">
        <f>IF(E77&gt;0,ROUND(E77,0),0)</f>
        <v>753968</v>
      </c>
      <c r="R736" s="276">
        <f>IF(E78&gt;0,ROUND(E78,0),0)</f>
        <v>30171</v>
      </c>
      <c r="S736" s="276">
        <f>IF(E79&gt;0,ROUND(E79,0),0)</f>
        <v>721548</v>
      </c>
      <c r="T736" s="278">
        <f>IF(E80&gt;0,ROUND(E80,2),0)</f>
        <v>92.9</v>
      </c>
      <c r="U736" s="276"/>
      <c r="V736" s="277"/>
      <c r="W736" s="276"/>
      <c r="X736" s="276"/>
      <c r="Y736" s="276">
        <f t="shared" si="27"/>
        <v>20381258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>
      <c r="A737" s="209" t="str">
        <f>RIGHT($C$83,3)&amp;"*"&amp;RIGHT($C$82,4)&amp;"*"&amp;F$55&amp;"*"&amp;"A"</f>
        <v>037*2017*6100*A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7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>
      <c r="A738" s="209" t="str">
        <f>RIGHT($C$83,3)&amp;"*"&amp;RIGHT($C$82,4)&amp;"*"&amp;G$55&amp;"*"&amp;"A"</f>
        <v>037*2017*6120*A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7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>
      <c r="A739" s="209" t="str">
        <f>RIGHT($C$83,3)&amp;"*"&amp;RIGHT($C$82,4)&amp;"*"&amp;H$55&amp;"*"&amp;"A"</f>
        <v>037*2017*6140*A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7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>
      <c r="A740" s="209" t="str">
        <f>RIGHT($C$83,3)&amp;"*"&amp;RIGHT($C$82,4)&amp;"*"&amp;I$55&amp;"*"&amp;"A"</f>
        <v>037*2017*6150*A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7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>
      <c r="A741" s="209" t="str">
        <f>RIGHT($C$83,3)&amp;"*"&amp;RIGHT($C$82,4)&amp;"*"&amp;J$55&amp;"*"&amp;"A"</f>
        <v>037*2017*6170*A</v>
      </c>
      <c r="B741" s="276">
        <f>ROUND(J59,0)</f>
        <v>4654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15.3</v>
      </c>
      <c r="U741" s="276"/>
      <c r="V741" s="277"/>
      <c r="W741" s="276"/>
      <c r="X741" s="276"/>
      <c r="Y741" s="276">
        <f t="shared" si="27"/>
        <v>382770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>
      <c r="A742" s="209" t="str">
        <f>RIGHT($C$83,3)&amp;"*"&amp;RIGHT($C$82,4)&amp;"*"&amp;K$55&amp;"*"&amp;"A"</f>
        <v>037*2017*6200*A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7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>
      <c r="A743" s="209" t="str">
        <f>RIGHT($C$83,3)&amp;"*"&amp;RIGHT($C$82,4)&amp;"*"&amp;L$55&amp;"*"&amp;"A"</f>
        <v>037*2017*6210*A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7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>
      <c r="A744" s="209" t="str">
        <f>RIGHT($C$83,3)&amp;"*"&amp;RIGHT($C$82,4)&amp;"*"&amp;M$55&amp;"*"&amp;"A"</f>
        <v>037*2017*6330*A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7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>
      <c r="A745" s="209" t="str">
        <f>RIGHT($C$83,3)&amp;"*"&amp;RIGHT($C$82,4)&amp;"*"&amp;N$55&amp;"*"&amp;"A"</f>
        <v>037*2017*6400*A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7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>
      <c r="A746" s="209" t="str">
        <f>RIGHT($C$83,3)&amp;"*"&amp;RIGHT($C$82,4)&amp;"*"&amp;O$55&amp;"*"&amp;"A"</f>
        <v>037*2017*7010*A</v>
      </c>
      <c r="B746" s="276">
        <f>ROUND(O59,0)</f>
        <v>1441</v>
      </c>
      <c r="C746" s="278">
        <f>ROUND(O60,2)</f>
        <v>38.33</v>
      </c>
      <c r="D746" s="276">
        <f>ROUND(O61,0)</f>
        <v>5372050</v>
      </c>
      <c r="E746" s="276">
        <f>ROUND(O62,0)</f>
        <v>1483293</v>
      </c>
      <c r="F746" s="276">
        <f>ROUND(O63,0)</f>
        <v>1350000</v>
      </c>
      <c r="G746" s="276">
        <f>ROUND(O64,0)</f>
        <v>443785</v>
      </c>
      <c r="H746" s="276">
        <f>ROUND(O65,0)</f>
        <v>0</v>
      </c>
      <c r="I746" s="276">
        <f>ROUND(O66,0)</f>
        <v>235353</v>
      </c>
      <c r="J746" s="276">
        <f>ROUND(O67,0)</f>
        <v>256360</v>
      </c>
      <c r="K746" s="276">
        <f>ROUND(O68,0)</f>
        <v>138371</v>
      </c>
      <c r="L746" s="276">
        <f>ROUND(O69,0)</f>
        <v>66901</v>
      </c>
      <c r="M746" s="276">
        <f>ROUND(O70,0)</f>
        <v>-428</v>
      </c>
      <c r="N746" s="276">
        <f>ROUND(O75,0)</f>
        <v>32257319</v>
      </c>
      <c r="O746" s="276">
        <f>ROUND(O73,0)</f>
        <v>30459871</v>
      </c>
      <c r="P746" s="276">
        <f>IF(O76&gt;0,ROUND(O76,0),0)</f>
        <v>9596</v>
      </c>
      <c r="Q746" s="276">
        <f>IF(O77&gt;0,ROUND(O77,0),0)</f>
        <v>33098</v>
      </c>
      <c r="R746" s="276">
        <f>IF(O78&gt;0,ROUND(O78,0),0)</f>
        <v>3276</v>
      </c>
      <c r="S746" s="276">
        <f>IF(O79&gt;0,ROUND(O79,0),0)</f>
        <v>44561</v>
      </c>
      <c r="T746" s="278">
        <f>IF(O80&gt;0,ROUND(O80,2),0)</f>
        <v>16.899999999999999</v>
      </c>
      <c r="U746" s="276"/>
      <c r="V746" s="277"/>
      <c r="W746" s="276"/>
      <c r="X746" s="276"/>
      <c r="Y746" s="276">
        <f t="shared" si="27"/>
        <v>4128000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>
      <c r="A747" s="209" t="str">
        <f>RIGHT($C$83,3)&amp;"*"&amp;RIGHT($C$82,4)&amp;"*"&amp;P$55&amp;"*"&amp;"A"</f>
        <v>037*2017*7020*A</v>
      </c>
      <c r="B747" s="276">
        <f>ROUND(P59,0)</f>
        <v>1007098</v>
      </c>
      <c r="C747" s="278">
        <f>ROUND(P60,2)</f>
        <v>90.43</v>
      </c>
      <c r="D747" s="276">
        <f>ROUND(P61,0)</f>
        <v>7041602</v>
      </c>
      <c r="E747" s="276">
        <f>ROUND(P62,0)</f>
        <v>1944278</v>
      </c>
      <c r="F747" s="276">
        <f>ROUND(P63,0)</f>
        <v>1033625</v>
      </c>
      <c r="G747" s="276">
        <f>ROUND(P64,0)</f>
        <v>24285334</v>
      </c>
      <c r="H747" s="276">
        <f>ROUND(P65,0)</f>
        <v>0</v>
      </c>
      <c r="I747" s="276">
        <f>ROUND(P66,0)</f>
        <v>1221630</v>
      </c>
      <c r="J747" s="276">
        <f>ROUND(P67,0)</f>
        <v>1113414</v>
      </c>
      <c r="K747" s="276">
        <f>ROUND(P68,0)</f>
        <v>1561444</v>
      </c>
      <c r="L747" s="276">
        <f>ROUND(P69,0)</f>
        <v>1018853</v>
      </c>
      <c r="M747" s="276">
        <f>ROUND(P70,0)</f>
        <v>0</v>
      </c>
      <c r="N747" s="276">
        <f>ROUND(P75,0)</f>
        <v>362870688</v>
      </c>
      <c r="O747" s="276">
        <f>ROUND(P73,0)</f>
        <v>248813115</v>
      </c>
      <c r="P747" s="276">
        <f>IF(P76&gt;0,ROUND(P76,0),0)</f>
        <v>41677</v>
      </c>
      <c r="Q747" s="276">
        <f>IF(P77&gt;0,ROUND(P77,0),0)</f>
        <v>0</v>
      </c>
      <c r="R747" s="276">
        <f>IF(P78&gt;0,ROUND(P78,0),0)</f>
        <v>14226</v>
      </c>
      <c r="S747" s="276">
        <f>IF(P79&gt;0,ROUND(P79,0),0)</f>
        <v>503884</v>
      </c>
      <c r="T747" s="278">
        <f>IF(P80&gt;0,ROUND(P80,2),0)</f>
        <v>29.4</v>
      </c>
      <c r="U747" s="276"/>
      <c r="V747" s="277"/>
      <c r="W747" s="276"/>
      <c r="X747" s="276"/>
      <c r="Y747" s="276">
        <f t="shared" si="27"/>
        <v>19798429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>
      <c r="A748" s="209" t="str">
        <f>RIGHT($C$83,3)&amp;"*"&amp;RIGHT($C$82,4)&amp;"*"&amp;Q$55&amp;"*"&amp;"A"</f>
        <v>037*2017*7030*A</v>
      </c>
      <c r="B748" s="276">
        <f>ROUND(Q59,0)</f>
        <v>0</v>
      </c>
      <c r="C748" s="278">
        <f>ROUND(Q60,2)</f>
        <v>18.62</v>
      </c>
      <c r="D748" s="276">
        <f>ROUND(Q61,0)</f>
        <v>1763610</v>
      </c>
      <c r="E748" s="276">
        <f>ROUND(Q62,0)</f>
        <v>486956</v>
      </c>
      <c r="F748" s="276">
        <f>ROUND(Q63,0)</f>
        <v>0</v>
      </c>
      <c r="G748" s="276">
        <f>ROUND(Q64,0)</f>
        <v>191008</v>
      </c>
      <c r="H748" s="276">
        <f>ROUND(Q65,0)</f>
        <v>0</v>
      </c>
      <c r="I748" s="276">
        <f>ROUND(Q66,0)</f>
        <v>0</v>
      </c>
      <c r="J748" s="276">
        <f>ROUND(Q67,0)</f>
        <v>312435</v>
      </c>
      <c r="K748" s="276">
        <f>ROUND(Q68,0)</f>
        <v>-2429</v>
      </c>
      <c r="L748" s="276">
        <f>ROUND(Q69,0)</f>
        <v>12344</v>
      </c>
      <c r="M748" s="276">
        <f>ROUND(Q70,0)</f>
        <v>0</v>
      </c>
      <c r="N748" s="276">
        <f>ROUND(Q75,0)</f>
        <v>26503126</v>
      </c>
      <c r="O748" s="276">
        <f>ROUND(Q73,0)</f>
        <v>9506763</v>
      </c>
      <c r="P748" s="276">
        <f>IF(Q76&gt;0,ROUND(Q76,0),0)</f>
        <v>11695</v>
      </c>
      <c r="Q748" s="276">
        <f>IF(Q77&gt;0,ROUND(Q77,0),0)</f>
        <v>0</v>
      </c>
      <c r="R748" s="276">
        <f>IF(Q78&gt;0,ROUND(Q78,0),0)</f>
        <v>3992</v>
      </c>
      <c r="S748" s="276">
        <f>IF(Q79&gt;0,ROUND(Q79,0),0)</f>
        <v>0</v>
      </c>
      <c r="T748" s="278">
        <f>IF(Q80&gt;0,ROUND(Q80,2),0)</f>
        <v>11.9</v>
      </c>
      <c r="U748" s="276"/>
      <c r="V748" s="277"/>
      <c r="W748" s="276"/>
      <c r="X748" s="276"/>
      <c r="Y748" s="276">
        <f t="shared" si="27"/>
        <v>2198039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>
      <c r="A749" s="209" t="str">
        <f>RIGHT($C$83,3)&amp;"*"&amp;RIGHT($C$82,4)&amp;"*"&amp;R$55&amp;"*"&amp;"A"</f>
        <v>037*2017*7040*A</v>
      </c>
      <c r="B749" s="276">
        <f>ROUND(R59,0)</f>
        <v>1070544</v>
      </c>
      <c r="C749" s="278">
        <f>ROUND(R60,2)</f>
        <v>2.87</v>
      </c>
      <c r="D749" s="276">
        <f>ROUND(R61,0)</f>
        <v>128808</v>
      </c>
      <c r="E749" s="276">
        <f>ROUND(R62,0)</f>
        <v>35566</v>
      </c>
      <c r="F749" s="276">
        <f>ROUND(R63,0)</f>
        <v>1300008</v>
      </c>
      <c r="G749" s="276">
        <f>ROUND(R64,0)</f>
        <v>447535</v>
      </c>
      <c r="H749" s="276">
        <f>ROUND(R65,0)</f>
        <v>0</v>
      </c>
      <c r="I749" s="276">
        <f>ROUND(R66,0)</f>
        <v>0</v>
      </c>
      <c r="J749" s="276">
        <f>ROUND(R67,0)</f>
        <v>21693</v>
      </c>
      <c r="K749" s="276">
        <f>ROUND(R68,0)</f>
        <v>0</v>
      </c>
      <c r="L749" s="276">
        <f>ROUND(R69,0)</f>
        <v>6425</v>
      </c>
      <c r="M749" s="276">
        <f>ROUND(R70,0)</f>
        <v>0</v>
      </c>
      <c r="N749" s="276">
        <f>ROUND(R75,0)</f>
        <v>28233821</v>
      </c>
      <c r="O749" s="276">
        <f>ROUND(R73,0)</f>
        <v>16405411</v>
      </c>
      <c r="P749" s="276">
        <f>IF(R76&gt;0,ROUND(R76,0),0)</f>
        <v>812</v>
      </c>
      <c r="Q749" s="276">
        <f>IF(R77&gt;0,ROUND(R77,0),0)</f>
        <v>0</v>
      </c>
      <c r="R749" s="276">
        <f>IF(R78&gt;0,ROUND(R78,0),0)</f>
        <v>277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7"/>
        <v>999881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>
      <c r="A750" s="209" t="str">
        <f>RIGHT($C$83,3)&amp;"*"&amp;RIGHT($C$82,4)&amp;"*"&amp;S$55&amp;"*"&amp;"A"</f>
        <v>037*2017*7050*A</v>
      </c>
      <c r="B750" s="276"/>
      <c r="C750" s="278">
        <f>ROUND(S60,2)</f>
        <v>18.05</v>
      </c>
      <c r="D750" s="276">
        <f>ROUND(S61,0)</f>
        <v>1787703</v>
      </c>
      <c r="E750" s="276">
        <f>ROUND(S62,0)</f>
        <v>493608</v>
      </c>
      <c r="F750" s="276">
        <f>ROUND(S63,0)</f>
        <v>0</v>
      </c>
      <c r="G750" s="276">
        <f>ROUND(S64,0)</f>
        <v>279258</v>
      </c>
      <c r="H750" s="276">
        <f>ROUND(S65,0)</f>
        <v>0</v>
      </c>
      <c r="I750" s="276">
        <f>ROUND(S66,0)</f>
        <v>46197</v>
      </c>
      <c r="J750" s="276">
        <f>ROUND(S67,0)</f>
        <v>486780</v>
      </c>
      <c r="K750" s="276">
        <f>ROUND(S68,0)</f>
        <v>135262</v>
      </c>
      <c r="L750" s="276">
        <f>ROUND(S69,0)</f>
        <v>312420</v>
      </c>
      <c r="M750" s="276">
        <f>ROUND(S70,0)</f>
        <v>0</v>
      </c>
      <c r="N750" s="276">
        <f>ROUND(S75,0)</f>
        <v>122232</v>
      </c>
      <c r="O750" s="276">
        <f>ROUND(S73,0)</f>
        <v>106673</v>
      </c>
      <c r="P750" s="276">
        <f>IF(S76&gt;0,ROUND(S76,0),0)</f>
        <v>18221</v>
      </c>
      <c r="Q750" s="276">
        <f>IF(S77&gt;0,ROUND(S77,0),0)</f>
        <v>0</v>
      </c>
      <c r="R750" s="276">
        <f>IF(S78&gt;0,ROUND(S78,0),0)</f>
        <v>6220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7"/>
        <v>2072052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>
      <c r="A751" s="209" t="str">
        <f>RIGHT($C$83,3)&amp;"*"&amp;RIGHT($C$82,4)&amp;"*"&amp;T$55&amp;"*"&amp;"A"</f>
        <v>037*2017*7060*A</v>
      </c>
      <c r="B751" s="276"/>
      <c r="C751" s="278">
        <f>ROUND(T60,2)</f>
        <v>3.31</v>
      </c>
      <c r="D751" s="276">
        <f>ROUND(T61,0)</f>
        <v>335732</v>
      </c>
      <c r="E751" s="276">
        <f>ROUND(T62,0)</f>
        <v>92700</v>
      </c>
      <c r="F751" s="276">
        <f>ROUND(T63,0)</f>
        <v>0</v>
      </c>
      <c r="G751" s="276">
        <f>ROUND(T64,0)</f>
        <v>235894</v>
      </c>
      <c r="H751" s="276">
        <f>ROUND(T65,0)</f>
        <v>0</v>
      </c>
      <c r="I751" s="276">
        <f>ROUND(T66,0)</f>
        <v>41150</v>
      </c>
      <c r="J751" s="276">
        <f>ROUND(T67,0)</f>
        <v>0</v>
      </c>
      <c r="K751" s="276">
        <f>ROUND(T68,0)</f>
        <v>0</v>
      </c>
      <c r="L751" s="276">
        <f>ROUND(T69,0)</f>
        <v>20501</v>
      </c>
      <c r="M751" s="276">
        <f>ROUND(T70,0)</f>
        <v>0</v>
      </c>
      <c r="N751" s="276">
        <f>ROUND(T75,0)</f>
        <v>4150860</v>
      </c>
      <c r="O751" s="276">
        <f>ROUND(T73,0)</f>
        <v>4083647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2.9</v>
      </c>
      <c r="U751" s="276"/>
      <c r="V751" s="277"/>
      <c r="W751" s="276"/>
      <c r="X751" s="276"/>
      <c r="Y751" s="276">
        <f t="shared" si="27"/>
        <v>322643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>
      <c r="A752" s="209" t="str">
        <f>RIGHT($C$83,3)&amp;"*"&amp;RIGHT($C$82,4)&amp;"*"&amp;U$55&amp;"*"&amp;"A"</f>
        <v>037*2017*7070*A</v>
      </c>
      <c r="B752" s="276">
        <f>ROUND(U59,0)</f>
        <v>655298</v>
      </c>
      <c r="C752" s="278">
        <f>ROUND(U60,2)</f>
        <v>58</v>
      </c>
      <c r="D752" s="276">
        <f>ROUND(U61,0)</f>
        <v>3690846</v>
      </c>
      <c r="E752" s="276">
        <f>ROUND(U62,0)</f>
        <v>1019090</v>
      </c>
      <c r="F752" s="276">
        <f>ROUND(U63,0)</f>
        <v>0</v>
      </c>
      <c r="G752" s="276">
        <f>ROUND(U64,0)</f>
        <v>3323960</v>
      </c>
      <c r="H752" s="276">
        <f>ROUND(U65,0)</f>
        <v>0</v>
      </c>
      <c r="I752" s="276">
        <f>ROUND(U66,0)</f>
        <v>888044</v>
      </c>
      <c r="J752" s="276">
        <f>ROUND(U67,0)</f>
        <v>476841</v>
      </c>
      <c r="K752" s="276">
        <f>ROUND(U68,0)</f>
        <v>120339</v>
      </c>
      <c r="L752" s="276">
        <f>ROUND(U69,0)</f>
        <v>94341</v>
      </c>
      <c r="M752" s="276">
        <f>ROUND(U70,0)</f>
        <v>0</v>
      </c>
      <c r="N752" s="276">
        <f>ROUND(U75,0)</f>
        <v>83146743</v>
      </c>
      <c r="O752" s="276">
        <f>ROUND(U73,0)</f>
        <v>47236884</v>
      </c>
      <c r="P752" s="276">
        <f>IF(U76&gt;0,ROUND(U76,0),0)</f>
        <v>17849</v>
      </c>
      <c r="Q752" s="276">
        <f>IF(U77&gt;0,ROUND(U77,0),0)</f>
        <v>0</v>
      </c>
      <c r="R752" s="276">
        <f>IF(U78&gt;0,ROUND(U78,0),0)</f>
        <v>6093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7"/>
        <v>4963842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>
      <c r="A753" s="209" t="str">
        <f>RIGHT($C$83,3)&amp;"*"&amp;RIGHT($C$82,4)&amp;"*"&amp;V$55&amp;"*"&amp;"A"</f>
        <v>037*2017*7110*A</v>
      </c>
      <c r="B753" s="276">
        <f>ROUND(V59,0)</f>
        <v>44930</v>
      </c>
      <c r="C753" s="278">
        <f>ROUND(V60,2)</f>
        <v>85.91</v>
      </c>
      <c r="D753" s="276">
        <f>ROUND(V61,0)</f>
        <v>3591522</v>
      </c>
      <c r="E753" s="276">
        <f>ROUND(V62,0)</f>
        <v>991666</v>
      </c>
      <c r="F753" s="276">
        <f>ROUND(V63,0)</f>
        <v>22663</v>
      </c>
      <c r="G753" s="276">
        <f>ROUND(V64,0)</f>
        <v>8643956</v>
      </c>
      <c r="H753" s="276">
        <f>ROUND(V65,0)</f>
        <v>0</v>
      </c>
      <c r="I753" s="276">
        <f>ROUND(V66,0)</f>
        <v>14422</v>
      </c>
      <c r="J753" s="276">
        <f>ROUND(V67,0)</f>
        <v>284144</v>
      </c>
      <c r="K753" s="276">
        <f>ROUND(V68,0)</f>
        <v>564094</v>
      </c>
      <c r="L753" s="276">
        <f>ROUND(V69,0)</f>
        <v>573547</v>
      </c>
      <c r="M753" s="276">
        <f>ROUND(V70,0)</f>
        <v>0</v>
      </c>
      <c r="N753" s="276">
        <f>ROUND(V75,0)</f>
        <v>157580268</v>
      </c>
      <c r="O753" s="276">
        <f>ROUND(V73,0)</f>
        <v>69460484</v>
      </c>
      <c r="P753" s="276">
        <f>IF(V76&gt;0,ROUND(V76,0),0)</f>
        <v>10636</v>
      </c>
      <c r="Q753" s="276">
        <f>IF(V77&gt;0,ROUND(V77,0),0)</f>
        <v>0</v>
      </c>
      <c r="R753" s="276">
        <f>IF(V78&gt;0,ROUND(V78,0),0)</f>
        <v>3630</v>
      </c>
      <c r="S753" s="276">
        <f>IF(V79&gt;0,ROUND(V79,0),0)</f>
        <v>0</v>
      </c>
      <c r="T753" s="278">
        <f>IF(V80&gt;0,ROUND(V80,2),0)</f>
        <v>2.8</v>
      </c>
      <c r="U753" s="276"/>
      <c r="V753" s="277"/>
      <c r="W753" s="276"/>
      <c r="X753" s="276"/>
      <c r="Y753" s="276">
        <f t="shared" si="27"/>
        <v>7078341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>
      <c r="A754" s="209" t="str">
        <f>RIGHT($C$83,3)&amp;"*"&amp;RIGHT($C$82,4)&amp;"*"&amp;W$55&amp;"*"&amp;"A"</f>
        <v>037*2017*7120*A</v>
      </c>
      <c r="B754" s="276">
        <f>ROUND(W59,0)</f>
        <v>3903</v>
      </c>
      <c r="C754" s="278">
        <f>ROUND(W60,2)</f>
        <v>6.91</v>
      </c>
      <c r="D754" s="276">
        <f>ROUND(W61,0)</f>
        <v>553326</v>
      </c>
      <c r="E754" s="276">
        <f>ROUND(W62,0)</f>
        <v>152780</v>
      </c>
      <c r="F754" s="276">
        <f>ROUND(W63,0)</f>
        <v>0</v>
      </c>
      <c r="G754" s="276">
        <f>ROUND(W64,0)</f>
        <v>28727</v>
      </c>
      <c r="H754" s="276">
        <f>ROUND(W65,0)</f>
        <v>0</v>
      </c>
      <c r="I754" s="276">
        <f>ROUND(W66,0)</f>
        <v>66135</v>
      </c>
      <c r="J754" s="276">
        <f>ROUND(W67,0)</f>
        <v>136675</v>
      </c>
      <c r="K754" s="276">
        <f>ROUND(W68,0)</f>
        <v>2234</v>
      </c>
      <c r="L754" s="276">
        <f>ROUND(W69,0)</f>
        <v>237544</v>
      </c>
      <c r="M754" s="276">
        <f>ROUND(W70,0)</f>
        <v>0</v>
      </c>
      <c r="N754" s="276">
        <f>ROUND(W75,0)</f>
        <v>27229182</v>
      </c>
      <c r="O754" s="276">
        <f>ROUND(W73,0)</f>
        <v>7810249</v>
      </c>
      <c r="P754" s="276">
        <f>IF(W76&gt;0,ROUND(W76,0),0)</f>
        <v>5116</v>
      </c>
      <c r="Q754" s="276">
        <f>IF(W77&gt;0,ROUND(W77,0),0)</f>
        <v>0</v>
      </c>
      <c r="R754" s="276">
        <f>IF(W78&gt;0,ROUND(W78,0),0)</f>
        <v>1746</v>
      </c>
      <c r="S754" s="276">
        <f>IF(W79&gt;0,ROUND(W79,0),0)</f>
        <v>0</v>
      </c>
      <c r="T754" s="278">
        <f>IF(W80&gt;0,ROUND(W80,2),0)</f>
        <v>0.2</v>
      </c>
      <c r="U754" s="276"/>
      <c r="V754" s="277"/>
      <c r="W754" s="276"/>
      <c r="X754" s="276"/>
      <c r="Y754" s="276">
        <f t="shared" si="27"/>
        <v>1088429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>
      <c r="A755" s="209" t="str">
        <f>RIGHT($C$83,3)&amp;"*"&amp;RIGHT($C$82,4)&amp;"*"&amp;X$55&amp;"*"&amp;"A"</f>
        <v>037*2017*7130*A</v>
      </c>
      <c r="B755" s="276">
        <f>ROUND(X59,0)</f>
        <v>17553</v>
      </c>
      <c r="C755" s="278">
        <f>ROUND(X60,2)</f>
        <v>15.12</v>
      </c>
      <c r="D755" s="276">
        <f>ROUND(X61,0)</f>
        <v>1126444</v>
      </c>
      <c r="E755" s="276">
        <f>ROUND(X62,0)</f>
        <v>311026</v>
      </c>
      <c r="F755" s="276">
        <f>ROUND(X63,0)</f>
        <v>0</v>
      </c>
      <c r="G755" s="276">
        <f>ROUND(X64,0)</f>
        <v>223003</v>
      </c>
      <c r="H755" s="276">
        <f>ROUND(X65,0)</f>
        <v>0</v>
      </c>
      <c r="I755" s="276">
        <f>ROUND(X66,0)</f>
        <v>2900</v>
      </c>
      <c r="J755" s="276">
        <f>ROUND(X67,0)</f>
        <v>160345</v>
      </c>
      <c r="K755" s="276">
        <f>ROUND(X68,0)</f>
        <v>61158</v>
      </c>
      <c r="L755" s="276">
        <f>ROUND(X69,0)</f>
        <v>194620</v>
      </c>
      <c r="M755" s="276">
        <f>ROUND(X70,0)</f>
        <v>0</v>
      </c>
      <c r="N755" s="276">
        <f>ROUND(X75,0)</f>
        <v>120641112</v>
      </c>
      <c r="O755" s="276">
        <f>ROUND(X73,0)</f>
        <v>44818613</v>
      </c>
      <c r="P755" s="276">
        <f>IF(X76&gt;0,ROUND(X76,0),0)</f>
        <v>6002</v>
      </c>
      <c r="Q755" s="276">
        <f>IF(X77&gt;0,ROUND(X77,0),0)</f>
        <v>0</v>
      </c>
      <c r="R755" s="276">
        <f>IF(X78&gt;0,ROUND(X78,0),0)</f>
        <v>2049</v>
      </c>
      <c r="S755" s="276">
        <f>IF(X79&gt;0,ROUND(X79,0),0)</f>
        <v>0</v>
      </c>
      <c r="T755" s="278">
        <f>IF(X80&gt;0,ROUND(X80,2),0)</f>
        <v>1.8</v>
      </c>
      <c r="U755" s="276"/>
      <c r="V755" s="277"/>
      <c r="W755" s="276"/>
      <c r="X755" s="276"/>
      <c r="Y755" s="276">
        <f t="shared" si="27"/>
        <v>2978082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>
      <c r="A756" s="209" t="str">
        <f>RIGHT($C$83,3)&amp;"*"&amp;RIGHT($C$82,4)&amp;"*"&amp;Y$55&amp;"*"&amp;"A"</f>
        <v>037*2017*7140*A</v>
      </c>
      <c r="B756" s="276">
        <f>ROUND(Y59,0)</f>
        <v>40124</v>
      </c>
      <c r="C756" s="278">
        <f>ROUND(Y60,2)</f>
        <v>17.97</v>
      </c>
      <c r="D756" s="276">
        <f>ROUND(Y61,0)</f>
        <v>3727876</v>
      </c>
      <c r="E756" s="276">
        <f>ROUND(Y62,0)</f>
        <v>1029315</v>
      </c>
      <c r="F756" s="276">
        <f>ROUND(Y63,0)</f>
        <v>10425</v>
      </c>
      <c r="G756" s="276">
        <f>ROUND(Y64,0)</f>
        <v>234373</v>
      </c>
      <c r="H756" s="276">
        <f>ROUND(Y65,0)</f>
        <v>0</v>
      </c>
      <c r="I756" s="276">
        <f>ROUND(Y66,0)</f>
        <v>3857512</v>
      </c>
      <c r="J756" s="276">
        <f>ROUND(Y67,0)</f>
        <v>676886</v>
      </c>
      <c r="K756" s="276">
        <f>ROUND(Y68,0)</f>
        <v>123096</v>
      </c>
      <c r="L756" s="276">
        <f>ROUND(Y69,0)</f>
        <v>492034</v>
      </c>
      <c r="M756" s="276">
        <f>ROUND(Y70,0)</f>
        <v>379704</v>
      </c>
      <c r="N756" s="276">
        <f>ROUND(Y75,0)</f>
        <v>126922732</v>
      </c>
      <c r="O756" s="276">
        <f>ROUND(Y73,0)</f>
        <v>19129598</v>
      </c>
      <c r="P756" s="276">
        <f>IF(Y76&gt;0,ROUND(Y76,0),0)</f>
        <v>25337</v>
      </c>
      <c r="Q756" s="276">
        <f>IF(Y77&gt;0,ROUND(Y77,0),0)</f>
        <v>0</v>
      </c>
      <c r="R756" s="276">
        <f>IF(Y78&gt;0,ROUND(Y78,0),0)</f>
        <v>8649</v>
      </c>
      <c r="S756" s="276">
        <f>IF(Y79&gt;0,ROUND(Y79,0),0)</f>
        <v>10969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7"/>
        <v>6182134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>
      <c r="A757" s="209" t="str">
        <f>RIGHT($C$83,3)&amp;"*"&amp;RIGHT($C$82,4)&amp;"*"&amp;Z$55&amp;"*"&amp;"A"</f>
        <v>037*2017*7150*A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63000</v>
      </c>
      <c r="J757" s="276">
        <f>ROUND(Z67,0)</f>
        <v>0</v>
      </c>
      <c r="K757" s="276">
        <f>ROUND(Z68,0)</f>
        <v>9000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0.6</v>
      </c>
      <c r="U757" s="276"/>
      <c r="V757" s="277"/>
      <c r="W757" s="276"/>
      <c r="X757" s="276"/>
      <c r="Y757" s="276">
        <f t="shared" si="27"/>
        <v>32491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>
      <c r="A758" s="209" t="str">
        <f>RIGHT($C$83,3)&amp;"*"&amp;RIGHT($C$82,4)&amp;"*"&amp;AA$55&amp;"*"&amp;"A"</f>
        <v>037*2017*7160*A</v>
      </c>
      <c r="B758" s="276">
        <f>ROUND(AA59,0)</f>
        <v>1302</v>
      </c>
      <c r="C758" s="278">
        <f>ROUND(AA60,2)</f>
        <v>3.25</v>
      </c>
      <c r="D758" s="276">
        <f>ROUND(AA61,0)</f>
        <v>359421</v>
      </c>
      <c r="E758" s="276">
        <f>ROUND(AA62,0)</f>
        <v>99241</v>
      </c>
      <c r="F758" s="276">
        <f>ROUND(AA63,0)</f>
        <v>0</v>
      </c>
      <c r="G758" s="276">
        <f>ROUND(AA64,0)</f>
        <v>524064</v>
      </c>
      <c r="H758" s="276">
        <f>ROUND(AA65,0)</f>
        <v>0</v>
      </c>
      <c r="I758" s="276">
        <f>ROUND(AA66,0)</f>
        <v>28182</v>
      </c>
      <c r="J758" s="276">
        <f>ROUND(AA67,0)</f>
        <v>58907</v>
      </c>
      <c r="K758" s="276">
        <f>ROUND(AA68,0)</f>
        <v>0</v>
      </c>
      <c r="L758" s="276">
        <f>ROUND(AA69,0)</f>
        <v>17389</v>
      </c>
      <c r="M758" s="276">
        <f>ROUND(AA70,0)</f>
        <v>0</v>
      </c>
      <c r="N758" s="276">
        <f>ROUND(AA75,0)</f>
        <v>12307487</v>
      </c>
      <c r="O758" s="276">
        <f>ROUND(AA73,0)</f>
        <v>5175110</v>
      </c>
      <c r="P758" s="276">
        <f>IF(AA76&gt;0,ROUND(AA76,0),0)</f>
        <v>2205</v>
      </c>
      <c r="Q758" s="276">
        <f>IF(AA77&gt;0,ROUND(AA77,0),0)</f>
        <v>0</v>
      </c>
      <c r="R758" s="276">
        <f>IF(AA78&gt;0,ROUND(AA78,0),0)</f>
        <v>753</v>
      </c>
      <c r="S758" s="276">
        <f>IF(AA79&gt;0,ROUND(AA79,0),0)</f>
        <v>0</v>
      </c>
      <c r="T758" s="278">
        <f>IF(AA80&gt;0,ROUND(AA80,2),0)</f>
        <v>0.2</v>
      </c>
      <c r="U758" s="276"/>
      <c r="V758" s="277"/>
      <c r="W758" s="276"/>
      <c r="X758" s="276"/>
      <c r="Y758" s="276">
        <f t="shared" si="27"/>
        <v>622718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>
      <c r="A759" s="209" t="str">
        <f>RIGHT($C$83,3)&amp;"*"&amp;RIGHT($C$82,4)&amp;"*"&amp;AB$55&amp;"*"&amp;"A"</f>
        <v>037*2017*7170*A</v>
      </c>
      <c r="B759" s="276"/>
      <c r="C759" s="278">
        <f>ROUND(AB60,2)</f>
        <v>38.49</v>
      </c>
      <c r="D759" s="276">
        <f>ROUND(AB61,0)</f>
        <v>3329243</v>
      </c>
      <c r="E759" s="276">
        <f>ROUND(AB62,0)</f>
        <v>919247</v>
      </c>
      <c r="F759" s="276">
        <f>ROUND(AB63,0)</f>
        <v>0</v>
      </c>
      <c r="G759" s="276">
        <f>ROUND(AB64,0)</f>
        <v>8310734</v>
      </c>
      <c r="H759" s="276">
        <f>ROUND(AB65,0)</f>
        <v>0</v>
      </c>
      <c r="I759" s="276">
        <f>ROUND(AB66,0)</f>
        <v>-24151</v>
      </c>
      <c r="J759" s="276">
        <f>ROUND(AB67,0)</f>
        <v>344868</v>
      </c>
      <c r="K759" s="276">
        <f>ROUND(AB68,0)</f>
        <v>181389</v>
      </c>
      <c r="L759" s="276">
        <f>ROUND(AB69,0)</f>
        <v>106371</v>
      </c>
      <c r="M759" s="276">
        <f>ROUND(AB70,0)</f>
        <v>0</v>
      </c>
      <c r="N759" s="276">
        <f>ROUND(AB75,0)</f>
        <v>152259748</v>
      </c>
      <c r="O759" s="276">
        <f>ROUND(AB73,0)</f>
        <v>116794548</v>
      </c>
      <c r="P759" s="276">
        <f>IF(AB76&gt;0,ROUND(AB76,0),0)</f>
        <v>12909</v>
      </c>
      <c r="Q759" s="276">
        <f>IF(AB77&gt;0,ROUND(AB77,0),0)</f>
        <v>0</v>
      </c>
      <c r="R759" s="276">
        <f>IF(AB78&gt;0,ROUND(AB78,0),0)</f>
        <v>4406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7"/>
        <v>6635827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>
      <c r="A760" s="209" t="str">
        <f>RIGHT($C$83,3)&amp;"*"&amp;RIGHT($C$82,4)&amp;"*"&amp;AC$55&amp;"*"&amp;"A"</f>
        <v>037*2017*7180*A</v>
      </c>
      <c r="B760" s="276">
        <f>ROUND(AC59,0)</f>
        <v>225879</v>
      </c>
      <c r="C760" s="278">
        <f>ROUND(AC60,2)</f>
        <v>39.78</v>
      </c>
      <c r="D760" s="276">
        <f>ROUND(AC61,0)</f>
        <v>2862430</v>
      </c>
      <c r="E760" s="276">
        <f>ROUND(AC62,0)</f>
        <v>790354</v>
      </c>
      <c r="F760" s="276">
        <f>ROUND(AC63,0)</f>
        <v>0</v>
      </c>
      <c r="G760" s="276">
        <f>ROUND(AC64,0)</f>
        <v>684877</v>
      </c>
      <c r="H760" s="276">
        <f>ROUND(AC65,0)</f>
        <v>0</v>
      </c>
      <c r="I760" s="276">
        <f>ROUND(AC66,0)</f>
        <v>19003</v>
      </c>
      <c r="J760" s="276">
        <f>ROUND(AC67,0)</f>
        <v>171539</v>
      </c>
      <c r="K760" s="276">
        <f>ROUND(AC68,0)</f>
        <v>107341</v>
      </c>
      <c r="L760" s="276">
        <f>ROUND(AC69,0)</f>
        <v>41974</v>
      </c>
      <c r="M760" s="276">
        <f>ROUND(AC70,0)</f>
        <v>0</v>
      </c>
      <c r="N760" s="276">
        <f>ROUND(AC75,0)</f>
        <v>31993846</v>
      </c>
      <c r="O760" s="276">
        <f>ROUND(AC73,0)</f>
        <v>24240452</v>
      </c>
      <c r="P760" s="276">
        <f>IF(AC76&gt;0,ROUND(AC76,0),0)</f>
        <v>6421</v>
      </c>
      <c r="Q760" s="276">
        <f>IF(AC77&gt;0,ROUND(AC77,0),0)</f>
        <v>0</v>
      </c>
      <c r="R760" s="276">
        <f>IF(AC78&gt;0,ROUND(AC78,0),0)</f>
        <v>2192</v>
      </c>
      <c r="S760" s="276">
        <f>IF(AC79&gt;0,ROUND(AC79,0),0)</f>
        <v>13026</v>
      </c>
      <c r="T760" s="278">
        <f>IF(AC80&gt;0,ROUND(AC80,2),0)</f>
        <v>8.1</v>
      </c>
      <c r="U760" s="276"/>
      <c r="V760" s="277"/>
      <c r="W760" s="276"/>
      <c r="X760" s="276"/>
      <c r="Y760" s="276">
        <f t="shared" si="27"/>
        <v>2360558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>
      <c r="A761" s="209" t="str">
        <f>RIGHT($C$83,3)&amp;"*"&amp;RIGHT($C$82,4)&amp;"*"&amp;AD$55&amp;"*"&amp;"A"</f>
        <v>037*2017*7190*A</v>
      </c>
      <c r="B761" s="276">
        <f>ROUND(AD59,0)</f>
        <v>0</v>
      </c>
      <c r="C761" s="278">
        <f>ROUND(AD60,2)</f>
        <v>0.04</v>
      </c>
      <c r="D761" s="276">
        <f>ROUND(AD61,0)</f>
        <v>2801</v>
      </c>
      <c r="E761" s="276">
        <f>ROUND(AD62,0)</f>
        <v>773</v>
      </c>
      <c r="F761" s="276">
        <f>ROUND(AD63,0)</f>
        <v>0</v>
      </c>
      <c r="G761" s="276">
        <f>ROUND(AD64,0)</f>
        <v>9205</v>
      </c>
      <c r="H761" s="276">
        <f>ROUND(AD65,0)</f>
        <v>0</v>
      </c>
      <c r="I761" s="276">
        <f>ROUND(AD66,0)</f>
        <v>899523</v>
      </c>
      <c r="J761" s="276">
        <f>ROUND(AD67,0)</f>
        <v>0</v>
      </c>
      <c r="K761" s="276">
        <f>ROUND(AD68,0)</f>
        <v>-150</v>
      </c>
      <c r="L761" s="276">
        <f>ROUND(AD69,0)</f>
        <v>0</v>
      </c>
      <c r="M761" s="276">
        <f>ROUND(AD70,0)</f>
        <v>0</v>
      </c>
      <c r="N761" s="276">
        <f>ROUND(AD75,0)</f>
        <v>9887472</v>
      </c>
      <c r="O761" s="276">
        <f>ROUND(AD73,0)</f>
        <v>9402806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7"/>
        <v>386852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>
      <c r="A762" s="209" t="str">
        <f>RIGHT($C$83,3)&amp;"*"&amp;RIGHT($C$82,4)&amp;"*"&amp;AE$55&amp;"*"&amp;"A"</f>
        <v>037*2017*7200*A</v>
      </c>
      <c r="B762" s="276">
        <f>ROUND(AE59,0)</f>
        <v>22424</v>
      </c>
      <c r="C762" s="278">
        <f>ROUND(AE60,2)</f>
        <v>9.69</v>
      </c>
      <c r="D762" s="276">
        <f>ROUND(AE61,0)</f>
        <v>716139</v>
      </c>
      <c r="E762" s="276">
        <f>ROUND(AE62,0)</f>
        <v>197735</v>
      </c>
      <c r="F762" s="276">
        <f>ROUND(AE63,0)</f>
        <v>0</v>
      </c>
      <c r="G762" s="276">
        <f>ROUND(AE64,0)</f>
        <v>2599</v>
      </c>
      <c r="H762" s="276">
        <f>ROUND(AE65,0)</f>
        <v>0</v>
      </c>
      <c r="I762" s="276">
        <f>ROUND(AE66,0)</f>
        <v>0</v>
      </c>
      <c r="J762" s="276">
        <f>ROUND(AE67,0)</f>
        <v>68952</v>
      </c>
      <c r="K762" s="276">
        <f>ROUND(AE68,0)</f>
        <v>0</v>
      </c>
      <c r="L762" s="276">
        <f>ROUND(AE69,0)</f>
        <v>134</v>
      </c>
      <c r="M762" s="276">
        <f>ROUND(AE70,0)</f>
        <v>0</v>
      </c>
      <c r="N762" s="276">
        <f>ROUND(AE75,0)</f>
        <v>5887980</v>
      </c>
      <c r="O762" s="276">
        <f>ROUND(AE73,0)</f>
        <v>5587928</v>
      </c>
      <c r="P762" s="276">
        <f>IF(AE76&gt;0,ROUND(AE76,0),0)</f>
        <v>2581</v>
      </c>
      <c r="Q762" s="276">
        <f>IF(AE77&gt;0,ROUND(AE77,0),0)</f>
        <v>0</v>
      </c>
      <c r="R762" s="276">
        <f>IF(AE78&gt;0,ROUND(AE78,0),0)</f>
        <v>881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7"/>
        <v>518605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>
      <c r="A763" s="209" t="str">
        <f>RIGHT($C$83,3)&amp;"*"&amp;RIGHT($C$82,4)&amp;"*"&amp;AF$55&amp;"*"&amp;"A"</f>
        <v>037*2017*7220*A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7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>
      <c r="A764" s="209" t="str">
        <f>RIGHT($C$83,3)&amp;"*"&amp;RIGHT($C$82,4)&amp;"*"&amp;AG$55&amp;"*"&amp;"A"</f>
        <v>037*2017*7230*A</v>
      </c>
      <c r="B764" s="276">
        <f>ROUND(AG59,0)</f>
        <v>49181</v>
      </c>
      <c r="C764" s="278">
        <f>ROUND(AG60,2)</f>
        <v>74.7</v>
      </c>
      <c r="D764" s="276">
        <f>ROUND(AG61,0)</f>
        <v>6094331</v>
      </c>
      <c r="E764" s="276">
        <f>ROUND(AG62,0)</f>
        <v>1682724</v>
      </c>
      <c r="F764" s="276">
        <f>ROUND(AG63,0)</f>
        <v>2530806</v>
      </c>
      <c r="G764" s="276">
        <f>ROUND(AG64,0)</f>
        <v>673342</v>
      </c>
      <c r="H764" s="276">
        <f>ROUND(AG65,0)</f>
        <v>0</v>
      </c>
      <c r="I764" s="276">
        <f>ROUND(AG66,0)</f>
        <v>395527</v>
      </c>
      <c r="J764" s="276">
        <f>ROUND(AG67,0)</f>
        <v>573658</v>
      </c>
      <c r="K764" s="276">
        <f>ROUND(AG68,0)</f>
        <v>243743</v>
      </c>
      <c r="L764" s="276">
        <f>ROUND(AG69,0)</f>
        <v>4278033</v>
      </c>
      <c r="M764" s="276">
        <f>ROUND(AG70,0)</f>
        <v>92570</v>
      </c>
      <c r="N764" s="276">
        <f>ROUND(AG75,0)</f>
        <v>92701517</v>
      </c>
      <c r="O764" s="276">
        <f>ROUND(AG73,0)</f>
        <v>19298879</v>
      </c>
      <c r="P764" s="276">
        <f>IF(AG76&gt;0,ROUND(AG76,0),0)</f>
        <v>21473</v>
      </c>
      <c r="Q764" s="276">
        <f>IF(AG77&gt;0,ROUND(AG77,0),0)</f>
        <v>13239</v>
      </c>
      <c r="R764" s="276">
        <f>IF(AG78&gt;0,ROUND(AG78,0),0)</f>
        <v>7330</v>
      </c>
      <c r="S764" s="276">
        <f>IF(AG79&gt;0,ROUND(AG79,0),0)</f>
        <v>116545</v>
      </c>
      <c r="T764" s="278">
        <f>IF(AG80&gt;0,ROUND(AG80,2),0)</f>
        <v>25</v>
      </c>
      <c r="U764" s="276"/>
      <c r="V764" s="277"/>
      <c r="W764" s="276"/>
      <c r="X764" s="276"/>
      <c r="Y764" s="276">
        <f t="shared" si="27"/>
        <v>7862338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>
      <c r="A765" s="209" t="str">
        <f>RIGHT($C$83,3)&amp;"*"&amp;RIGHT($C$82,4)&amp;"*"&amp;AH$55&amp;"*"&amp;"A"</f>
        <v>037*2017*7240*A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7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>
      <c r="A766" s="209" t="str">
        <f>RIGHT($C$83,3)&amp;"*"&amp;RIGHT($C$82,4)&amp;"*"&amp;AI$55&amp;"*"&amp;"A"</f>
        <v>037*2017*7250*A</v>
      </c>
      <c r="B766" s="276">
        <f>ROUND(AI59,0)</f>
        <v>6881</v>
      </c>
      <c r="C766" s="278">
        <f>ROUND(AI60,2)</f>
        <v>19.62</v>
      </c>
      <c r="D766" s="276">
        <f>ROUND(AI61,0)</f>
        <v>2203159</v>
      </c>
      <c r="E766" s="276">
        <f>ROUND(AI62,0)</f>
        <v>608321</v>
      </c>
      <c r="F766" s="276">
        <f>ROUND(AI63,0)</f>
        <v>0</v>
      </c>
      <c r="G766" s="276">
        <f>ROUND(AI64,0)</f>
        <v>1404446</v>
      </c>
      <c r="H766" s="276">
        <f>ROUND(AI65,0)</f>
        <v>0</v>
      </c>
      <c r="I766" s="276">
        <f>ROUND(AI66,0)</f>
        <v>26415</v>
      </c>
      <c r="J766" s="276">
        <f>ROUND(AI67,0)</f>
        <v>0</v>
      </c>
      <c r="K766" s="276">
        <f>ROUND(AI68,0)</f>
        <v>27040</v>
      </c>
      <c r="L766" s="276">
        <f>ROUND(AI69,0)</f>
        <v>205812</v>
      </c>
      <c r="M766" s="276">
        <f>ROUND(AI70,0)</f>
        <v>0</v>
      </c>
      <c r="N766" s="276">
        <f>ROUND(AI75,0)</f>
        <v>36957124</v>
      </c>
      <c r="O766" s="276">
        <f>ROUND(AI73,0)</f>
        <v>4354726</v>
      </c>
      <c r="P766" s="276">
        <f>IF(AI76&gt;0,ROUND(AI76,0),0)</f>
        <v>0</v>
      </c>
      <c r="Q766" s="276">
        <f>IF(AI77&gt;0,ROUND(AI77,0),0)</f>
        <v>9488</v>
      </c>
      <c r="R766" s="276">
        <f>IF(AI78&gt;0,ROUND(AI78,0),0)</f>
        <v>0</v>
      </c>
      <c r="S766" s="276">
        <f>IF(AI79&gt;0,ROUND(AI79,0),0)</f>
        <v>10798</v>
      </c>
      <c r="T766" s="278">
        <f>IF(AI80&gt;0,ROUND(AI80,2),0)</f>
        <v>16.2</v>
      </c>
      <c r="U766" s="276"/>
      <c r="V766" s="277"/>
      <c r="W766" s="276"/>
      <c r="X766" s="276"/>
      <c r="Y766" s="276">
        <f t="shared" si="27"/>
        <v>2196873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>
      <c r="A767" s="209" t="str">
        <f>RIGHT($C$83,3)&amp;"*"&amp;RIGHT($C$82,4)&amp;"*"&amp;AJ$55&amp;"*"&amp;"A"</f>
        <v>037*2017*7260*A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7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>
      <c r="A768" s="209" t="str">
        <f>RIGHT($C$83,3)&amp;"*"&amp;RIGHT($C$82,4)&amp;"*"&amp;AK$55&amp;"*"&amp;"A"</f>
        <v>037*2017*7310*A</v>
      </c>
      <c r="B768" s="276">
        <f>ROUND(AK59,0)</f>
        <v>10888</v>
      </c>
      <c r="C768" s="278">
        <f>ROUND(AK60,2)</f>
        <v>4.0199999999999996</v>
      </c>
      <c r="D768" s="276">
        <f>ROUND(AK61,0)</f>
        <v>344539</v>
      </c>
      <c r="E768" s="276">
        <f>ROUND(AK62,0)</f>
        <v>95132</v>
      </c>
      <c r="F768" s="276">
        <f>ROUND(AK63,0)</f>
        <v>0</v>
      </c>
      <c r="G768" s="276">
        <f>ROUND(AK64,0)</f>
        <v>805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3622849</v>
      </c>
      <c r="O768" s="276">
        <f>ROUND(AK73,0)</f>
        <v>3457513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7"/>
        <v>172847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>
      <c r="A769" s="209" t="str">
        <f>RIGHT($C$83,3)&amp;"*"&amp;RIGHT($C$82,4)&amp;"*"&amp;AL$55&amp;"*"&amp;"A"</f>
        <v>037*2017*7320*A</v>
      </c>
      <c r="B769" s="276">
        <f>ROUND(AL59,0)</f>
        <v>3149</v>
      </c>
      <c r="C769" s="278">
        <f>ROUND(AL60,2)</f>
        <v>1.95</v>
      </c>
      <c r="D769" s="276">
        <f>ROUND(AL61,0)</f>
        <v>161438</v>
      </c>
      <c r="E769" s="276">
        <f>ROUND(AL62,0)</f>
        <v>44575</v>
      </c>
      <c r="F769" s="276">
        <f>ROUND(AL63,0)</f>
        <v>0</v>
      </c>
      <c r="G769" s="276">
        <f>ROUND(AL64,0)</f>
        <v>1063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1879037</v>
      </c>
      <c r="O769" s="276">
        <f>ROUND(AL73,0)</f>
        <v>1696188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7"/>
        <v>84273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>
      <c r="A770" s="209" t="str">
        <f>RIGHT($C$83,3)&amp;"*"&amp;RIGHT($C$82,4)&amp;"*"&amp;AM$55&amp;"*"&amp;"A"</f>
        <v>037*2017*7330*A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7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>
      <c r="A771" s="209" t="str">
        <f>RIGHT($C$83,3)&amp;"*"&amp;RIGHT($C$82,4)&amp;"*"&amp;AN$55&amp;"*"&amp;"A"</f>
        <v>037*2017*7340*A</v>
      </c>
      <c r="B771" s="276">
        <f>ROUND(AN59,0)</f>
        <v>3708</v>
      </c>
      <c r="C771" s="278">
        <f>ROUND(AN60,2)</f>
        <v>3.66</v>
      </c>
      <c r="D771" s="276">
        <f>ROUND(AN61,0)</f>
        <v>387502</v>
      </c>
      <c r="E771" s="276">
        <f>ROUND(AN62,0)</f>
        <v>106994</v>
      </c>
      <c r="F771" s="276">
        <f>ROUND(AN63,0)</f>
        <v>0</v>
      </c>
      <c r="G771" s="276">
        <f>ROUND(AN64,0)</f>
        <v>11665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59413</v>
      </c>
      <c r="L771" s="276">
        <f>ROUND(AN69,0)</f>
        <v>228</v>
      </c>
      <c r="M771" s="276">
        <f>ROUND(AN70,0)</f>
        <v>0</v>
      </c>
      <c r="N771" s="276">
        <f>ROUND(AN75,0)</f>
        <v>10427457</v>
      </c>
      <c r="O771" s="276">
        <f>ROUND(AN73,0)</f>
        <v>8410094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8.6</v>
      </c>
      <c r="U771" s="276"/>
      <c r="V771" s="277"/>
      <c r="W771" s="276"/>
      <c r="X771" s="276"/>
      <c r="Y771" s="276">
        <f t="shared" si="27"/>
        <v>531738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>
      <c r="A772" s="209" t="str">
        <f>RIGHT($C$83,3)&amp;"*"&amp;RIGHT($C$82,4)&amp;"*"&amp;AO$55&amp;"*"&amp;"A"</f>
        <v>037*2017*7350*A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7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>
      <c r="A773" s="209" t="str">
        <f>RIGHT($C$83,3)&amp;"*"&amp;RIGHT($C$82,4)&amp;"*"&amp;AP$55&amp;"*"&amp;"A"</f>
        <v>037*2017*7380*A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11.3</v>
      </c>
      <c r="U773" s="276"/>
      <c r="V773" s="277"/>
      <c r="W773" s="276"/>
      <c r="X773" s="276"/>
      <c r="Y773" s="276">
        <f t="shared" si="27"/>
        <v>282699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>
      <c r="A774" s="209" t="str">
        <f>RIGHT($C$83,3)&amp;"*"&amp;RIGHT($C$82,4)&amp;"*"&amp;AQ$55&amp;"*"&amp;"A"</f>
        <v>037*2017*7390*A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7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>
      <c r="A775" s="209" t="str">
        <f>RIGHT($C$83,3)&amp;"*"&amp;RIGHT($C$82,4)&amp;"*"&amp;AR$55&amp;"*"&amp;"A"</f>
        <v>037*2017*7400*A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7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>
      <c r="A776" s="209" t="str">
        <f>RIGHT($C$83,3)&amp;"*"&amp;RIGHT($C$82,4)&amp;"*"&amp;AS$55&amp;"*"&amp;"A"</f>
        <v>037*2017*7410*A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7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>
      <c r="A777" s="209" t="str">
        <f>RIGHT($C$83,3)&amp;"*"&amp;RIGHT($C$82,4)&amp;"*"&amp;AT$55&amp;"*"&amp;"A"</f>
        <v>037*2017*7420*A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7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>
      <c r="A778" s="209" t="str">
        <f>RIGHT($C$83,3)&amp;"*"&amp;RIGHT($C$82,4)&amp;"*"&amp;AU$55&amp;"*"&amp;"A"</f>
        <v>037*2017*7430*A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7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>
      <c r="A779" s="209" t="str">
        <f>RIGHT($C$83,3)&amp;"*"&amp;RIGHT($C$82,4)&amp;"*"&amp;AV$55&amp;"*"&amp;"A"</f>
        <v>037*2017*7490*A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162</v>
      </c>
      <c r="H779" s="276">
        <f>ROUND(AV65,0)</f>
        <v>0</v>
      </c>
      <c r="I779" s="276">
        <f>ROUND(AV66,0)</f>
        <v>0</v>
      </c>
      <c r="J779" s="276">
        <f>ROUND(AV67,0)</f>
        <v>143114</v>
      </c>
      <c r="K779" s="276">
        <f>ROUND(AV68,0)</f>
        <v>0</v>
      </c>
      <c r="L779" s="276">
        <f>ROUND(AV69,0)</f>
        <v>14735</v>
      </c>
      <c r="M779" s="276">
        <f>ROUND(AV70,0)</f>
        <v>0</v>
      </c>
      <c r="N779" s="276">
        <f>ROUND(AV75,0)</f>
        <v>4916506</v>
      </c>
      <c r="O779" s="276">
        <f>ROUND(AV73,0)</f>
        <v>111409</v>
      </c>
      <c r="P779" s="276">
        <f>IF(AV76&gt;0,ROUND(AV76,0),0)</f>
        <v>5357</v>
      </c>
      <c r="Q779" s="276">
        <f>IF(AV77&gt;0,ROUND(AV77,0),0)</f>
        <v>0</v>
      </c>
      <c r="R779" s="276">
        <f>IF(AV78&gt;0,ROUND(AV78,0),0)</f>
        <v>1829</v>
      </c>
      <c r="S779" s="276">
        <f>IF(AV79&gt;0,ROUND(AV79,0),0)</f>
        <v>28622</v>
      </c>
      <c r="T779" s="278">
        <f>IF(AV80&gt;0,ROUND(AV80,2),0)</f>
        <v>5.8</v>
      </c>
      <c r="U779" s="276"/>
      <c r="V779" s="277"/>
      <c r="W779" s="276"/>
      <c r="X779" s="276"/>
      <c r="Y779" s="276">
        <f t="shared" si="27"/>
        <v>650558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>
      <c r="A780" s="209" t="str">
        <f>RIGHT($C$83,3)&amp;"*"&amp;RIGHT($C$82,4)&amp;"*"&amp;AW$55&amp;"*"&amp;"A"</f>
        <v>037*2017*8200*A</v>
      </c>
      <c r="B780" s="276"/>
      <c r="C780" s="278">
        <f>ROUND(AW60,2)</f>
        <v>0</v>
      </c>
      <c r="D780" s="276">
        <f>ROUND(AW61,0)</f>
        <v>4540</v>
      </c>
      <c r="E780" s="276">
        <f>ROUND(AW62,0)</f>
        <v>1254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>
      <c r="A781" s="209" t="str">
        <f>RIGHT($C$83,3)&amp;"*"&amp;RIGHT($C$82,4)&amp;"*"&amp;AX$55&amp;"*"&amp;"A"</f>
        <v>037*2017*8310*A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>
      <c r="A782" s="209" t="str">
        <f>RIGHT($C$83,3)&amp;"*"&amp;RIGHT($C$82,4)&amp;"*"&amp;AY$55&amp;"*"&amp;"A"</f>
        <v>037*2017*8320*A</v>
      </c>
      <c r="B782" s="276">
        <f>ROUND(AY59,0)</f>
        <v>956452</v>
      </c>
      <c r="C782" s="278">
        <f>ROUND(AY60,2)</f>
        <v>56.34</v>
      </c>
      <c r="D782" s="276">
        <f>ROUND(AY61,0)</f>
        <v>2024396</v>
      </c>
      <c r="E782" s="276">
        <f>ROUND(AY62,0)</f>
        <v>558962</v>
      </c>
      <c r="F782" s="276">
        <f>ROUND(AY63,0)</f>
        <v>0</v>
      </c>
      <c r="G782" s="276">
        <f>ROUND(AY64,0)</f>
        <v>1992563</v>
      </c>
      <c r="H782" s="276">
        <f>ROUND(AY65,0)</f>
        <v>0</v>
      </c>
      <c r="I782" s="276">
        <f>ROUND(AY66,0)</f>
        <v>40067</v>
      </c>
      <c r="J782" s="276">
        <f>ROUND(AY67,0)</f>
        <v>323389</v>
      </c>
      <c r="K782" s="276">
        <f>ROUND(AY68,0)</f>
        <v>19258</v>
      </c>
      <c r="L782" s="276">
        <f>ROUND(AY69,0)</f>
        <v>28443</v>
      </c>
      <c r="M782" s="276">
        <f>ROUND(AY70,0)</f>
        <v>1074745</v>
      </c>
      <c r="N782" s="276"/>
      <c r="O782" s="276"/>
      <c r="P782" s="276">
        <f>IF(AY76&gt;0,ROUND(AY76,0),0)</f>
        <v>12105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>
      <c r="A783" s="209" t="str">
        <f>RIGHT($C$83,3)&amp;"*"&amp;RIGHT($C$82,4)&amp;"*"&amp;AZ$55&amp;"*"&amp;"A"</f>
        <v>037*2017*8330*A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>
      <c r="A784" s="209" t="str">
        <f>RIGHT($C$83,3)&amp;"*"&amp;RIGHT($C$82,4)&amp;"*"&amp;BA$55&amp;"*"&amp;"A"</f>
        <v>037*2017*8350*A</v>
      </c>
      <c r="B784" s="276">
        <f>ROUND(BA59,0)</f>
        <v>0</v>
      </c>
      <c r="C784" s="278">
        <f>ROUND(BA60,2)</f>
        <v>3.01</v>
      </c>
      <c r="D784" s="276">
        <f>ROUND(BA61,0)</f>
        <v>112206</v>
      </c>
      <c r="E784" s="276">
        <f>ROUND(BA62,0)</f>
        <v>30982</v>
      </c>
      <c r="F784" s="276">
        <f>ROUND(BA63,0)</f>
        <v>0</v>
      </c>
      <c r="G784" s="276">
        <f>ROUND(BA64,0)</f>
        <v>30609</v>
      </c>
      <c r="H784" s="276">
        <f>ROUND(BA65,0)</f>
        <v>0</v>
      </c>
      <c r="I784" s="276">
        <f>ROUND(BA66,0)</f>
        <v>1203379</v>
      </c>
      <c r="J784" s="276">
        <f>ROUND(BA67,0)</f>
        <v>121341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4542</v>
      </c>
      <c r="Q784" s="276">
        <f>IF(BA77&gt;0,ROUND(BA77,0),0)</f>
        <v>0</v>
      </c>
      <c r="R784" s="276">
        <f>IF(BA78&gt;0,ROUND(BA78,0),0)</f>
        <v>1550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>
      <c r="A785" s="209" t="str">
        <f>RIGHT($C$83,3)&amp;"*"&amp;RIGHT($C$82,4)&amp;"*"&amp;BB$55&amp;"*"&amp;"A"</f>
        <v>037*2017*8360*A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>
      <c r="A786" s="209" t="str">
        <f>RIGHT($C$83,3)&amp;"*"&amp;RIGHT($C$82,4)&amp;"*"&amp;BC$55&amp;"*"&amp;"A"</f>
        <v>037*2017*8370*A</v>
      </c>
      <c r="B786" s="276"/>
      <c r="C786" s="278">
        <f>ROUND(BC60,2)</f>
        <v>7.41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>
      <c r="A787" s="209" t="str">
        <f>RIGHT($C$83,3)&amp;"*"&amp;RIGHT($C$82,4)&amp;"*"&amp;BD$55&amp;"*"&amp;"A"</f>
        <v>037*2017*8420*A</v>
      </c>
      <c r="B787" s="276"/>
      <c r="C787" s="278">
        <f>ROUND(BD60,2)</f>
        <v>21.96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7322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>
      <c r="A788" s="209" t="str">
        <f>RIGHT($C$83,3)&amp;"*"&amp;RIGHT($C$82,4)&amp;"*"&amp;BE$55&amp;"*"&amp;"A"</f>
        <v>037*2017*8430*A</v>
      </c>
      <c r="B788" s="276">
        <f>ROUND(BE59,0)</f>
        <v>680240</v>
      </c>
      <c r="C788" s="278">
        <f>ROUND(BE60,2)</f>
        <v>31.36</v>
      </c>
      <c r="D788" s="276">
        <f>ROUND(BE61,0)</f>
        <v>2144452</v>
      </c>
      <c r="E788" s="276">
        <f>ROUND(BE62,0)</f>
        <v>592111</v>
      </c>
      <c r="F788" s="276">
        <f>ROUND(BE63,0)</f>
        <v>0</v>
      </c>
      <c r="G788" s="276">
        <f>ROUND(BE64,0)</f>
        <v>100515</v>
      </c>
      <c r="H788" s="276">
        <f>ROUND(BE65,0)</f>
        <v>2841346</v>
      </c>
      <c r="I788" s="276">
        <f>ROUND(BE66,0)</f>
        <v>386173</v>
      </c>
      <c r="J788" s="276">
        <f>ROUND(BE67,0)</f>
        <v>6740939</v>
      </c>
      <c r="K788" s="276">
        <f>ROUND(BE68,0)</f>
        <v>9609</v>
      </c>
      <c r="L788" s="276">
        <f>ROUND(BE69,0)</f>
        <v>1830949</v>
      </c>
      <c r="M788" s="276">
        <f>ROUND(BE70,0)</f>
        <v>0</v>
      </c>
      <c r="N788" s="276"/>
      <c r="O788" s="276"/>
      <c r="P788" s="276">
        <f>IF(BE76&gt;0,ROUND(BE76,0),0)</f>
        <v>252325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>
      <c r="A789" s="209" t="str">
        <f>RIGHT($C$83,3)&amp;"*"&amp;RIGHT($C$82,4)&amp;"*"&amp;BF$55&amp;"*"&amp;"A"</f>
        <v>037*2017*8460*A</v>
      </c>
      <c r="B789" s="276"/>
      <c r="C789" s="278">
        <f>ROUND(BF60,2)</f>
        <v>62.54</v>
      </c>
      <c r="D789" s="276">
        <f>ROUND(BF61,0)</f>
        <v>2195992</v>
      </c>
      <c r="E789" s="276">
        <f>ROUND(BF62,0)</f>
        <v>606342</v>
      </c>
      <c r="F789" s="276">
        <f>ROUND(BF63,0)</f>
        <v>0</v>
      </c>
      <c r="G789" s="276">
        <f>ROUND(BF64,0)</f>
        <v>236292</v>
      </c>
      <c r="H789" s="276">
        <f>ROUND(BF65,0)</f>
        <v>0</v>
      </c>
      <c r="I789" s="276">
        <f>ROUND(BF66,0)</f>
        <v>104316</v>
      </c>
      <c r="J789" s="276">
        <f>ROUND(BF67,0)</f>
        <v>204800</v>
      </c>
      <c r="K789" s="276">
        <f>ROUND(BF68,0)</f>
        <v>0</v>
      </c>
      <c r="L789" s="276">
        <f>ROUND(BF69,0)</f>
        <v>47272</v>
      </c>
      <c r="M789" s="276">
        <f>ROUND(BF70,0)</f>
        <v>0</v>
      </c>
      <c r="N789" s="276"/>
      <c r="O789" s="276"/>
      <c r="P789" s="276">
        <f>IF(BF76&gt;0,ROUND(BF76,0),0)</f>
        <v>7666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>
      <c r="A790" s="209" t="str">
        <f>RIGHT($C$83,3)&amp;"*"&amp;RIGHT($C$82,4)&amp;"*"&amp;BG$55&amp;"*"&amp;"A"</f>
        <v>037*2017*8470*A</v>
      </c>
      <c r="B790" s="276"/>
      <c r="C790" s="278">
        <f>ROUND(BG60,2)</f>
        <v>5.74</v>
      </c>
      <c r="D790" s="276">
        <f>ROUND(BG61,0)</f>
        <v>191912</v>
      </c>
      <c r="E790" s="276">
        <f>ROUND(BG62,0)</f>
        <v>52989</v>
      </c>
      <c r="F790" s="276">
        <f>ROUND(BG63,0)</f>
        <v>0</v>
      </c>
      <c r="G790" s="276">
        <f>ROUND(BG64,0)</f>
        <v>353</v>
      </c>
      <c r="H790" s="276">
        <f>ROUND(BG65,0)</f>
        <v>0</v>
      </c>
      <c r="I790" s="276">
        <f>ROUND(BG66,0)</f>
        <v>107567</v>
      </c>
      <c r="J790" s="276">
        <f>ROUND(BG67,0)</f>
        <v>0</v>
      </c>
      <c r="K790" s="276">
        <f>ROUND(BG68,0)</f>
        <v>0</v>
      </c>
      <c r="L790" s="276">
        <f>ROUND(BG69,0)</f>
        <v>144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>
      <c r="A791" s="209" t="str">
        <f>RIGHT($C$83,3)&amp;"*"&amp;RIGHT($C$82,4)&amp;"*"&amp;BH$55&amp;"*"&amp;"A"</f>
        <v>037*2017*8480*A</v>
      </c>
      <c r="B791" s="276"/>
      <c r="C791" s="278">
        <f>ROUND(BH60,2)</f>
        <v>50.78</v>
      </c>
      <c r="D791" s="276">
        <f>ROUND(BH61,0)</f>
        <v>2887802</v>
      </c>
      <c r="E791" s="276">
        <f>ROUND(BH62,0)</f>
        <v>797360</v>
      </c>
      <c r="F791" s="276">
        <f>ROUND(BH63,0)</f>
        <v>0</v>
      </c>
      <c r="G791" s="276">
        <f>ROUND(BH64,0)</f>
        <v>17259</v>
      </c>
      <c r="H791" s="276">
        <f>ROUND(BH65,0)</f>
        <v>0</v>
      </c>
      <c r="I791" s="276">
        <f>ROUND(BH66,0)</f>
        <v>2410036</v>
      </c>
      <c r="J791" s="276">
        <f>ROUND(BH67,0)</f>
        <v>48007</v>
      </c>
      <c r="K791" s="276">
        <f>ROUND(BH68,0)</f>
        <v>231669</v>
      </c>
      <c r="L791" s="276">
        <f>ROUND(BH69,0)</f>
        <v>303877</v>
      </c>
      <c r="M791" s="276">
        <f>ROUND(BH70,0)</f>
        <v>0</v>
      </c>
      <c r="N791" s="276"/>
      <c r="O791" s="276"/>
      <c r="P791" s="276">
        <f>IF(BH76&gt;0,ROUND(BH76,0),0)</f>
        <v>1797</v>
      </c>
      <c r="Q791" s="276">
        <f>IF(BH77&gt;0,ROUND(BH77,0),0)</f>
        <v>0</v>
      </c>
      <c r="R791" s="276">
        <f>IF(BH78&gt;0,ROUND(BH78,0),0)</f>
        <v>613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>
      <c r="A792" s="209" t="str">
        <f>RIGHT($C$83,3)&amp;"*"&amp;RIGHT($C$82,4)&amp;"*"&amp;BI$55&amp;"*"&amp;"A"</f>
        <v>037*2017*8490*A</v>
      </c>
      <c r="B792" s="276"/>
      <c r="C792" s="278">
        <f>ROUND(BI60,2)</f>
        <v>0</v>
      </c>
      <c r="D792" s="276">
        <f>ROUND(BI61,0)</f>
        <v>271922</v>
      </c>
      <c r="E792" s="276">
        <f>ROUND(BI62,0)</f>
        <v>75081</v>
      </c>
      <c r="F792" s="276">
        <f>ROUND(BI63,0)</f>
        <v>0</v>
      </c>
      <c r="G792" s="276">
        <f>ROUND(BI64,0)</f>
        <v>43803</v>
      </c>
      <c r="H792" s="276">
        <f>ROUND(BI65,0)</f>
        <v>268561</v>
      </c>
      <c r="I792" s="276">
        <f>ROUND(BI66,0)</f>
        <v>1246114</v>
      </c>
      <c r="J792" s="276">
        <f>ROUND(BI67,0)</f>
        <v>0</v>
      </c>
      <c r="K792" s="276">
        <f>ROUND(BI68,0)</f>
        <v>0</v>
      </c>
      <c r="L792" s="276">
        <f>ROUND(BI69,0)</f>
        <v>2425</v>
      </c>
      <c r="M792" s="276">
        <f>ROUND(BI70,0)</f>
        <v>85845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>
      <c r="A793" s="209" t="str">
        <f>RIGHT($C$83,3)&amp;"*"&amp;RIGHT($C$82,4)&amp;"*"&amp;BJ$55&amp;"*"&amp;"A"</f>
        <v>037*2017*8510*A</v>
      </c>
      <c r="B793" s="276"/>
      <c r="C793" s="278">
        <f>ROUND(BJ60,2)</f>
        <v>10.39</v>
      </c>
      <c r="D793" s="276">
        <f>ROUND(BJ61,0)</f>
        <v>530504</v>
      </c>
      <c r="E793" s="276">
        <f>ROUND(BJ62,0)</f>
        <v>146479</v>
      </c>
      <c r="F793" s="276">
        <f>ROUND(BJ63,0)</f>
        <v>0</v>
      </c>
      <c r="G793" s="276">
        <f>ROUND(BJ64,0)</f>
        <v>7052</v>
      </c>
      <c r="H793" s="276">
        <f>ROUND(BJ65,0)</f>
        <v>0</v>
      </c>
      <c r="I793" s="276">
        <f>ROUND(BJ66,0)</f>
        <v>-95502</v>
      </c>
      <c r="J793" s="276">
        <f>ROUND(BJ67,0)</f>
        <v>0</v>
      </c>
      <c r="K793" s="276">
        <f>ROUND(BJ68,0)</f>
        <v>1062</v>
      </c>
      <c r="L793" s="276">
        <f>ROUND(BJ69,0)</f>
        <v>34843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>
      <c r="A794" s="209" t="str">
        <f>RIGHT($C$83,3)&amp;"*"&amp;RIGHT($C$82,4)&amp;"*"&amp;BK$55&amp;"*"&amp;"A"</f>
        <v>037*2017*8530*A</v>
      </c>
      <c r="B794" s="276"/>
      <c r="C794" s="278">
        <f>ROUND(BK60,2)</f>
        <v>24.09</v>
      </c>
      <c r="D794" s="276">
        <f>ROUND(BK61,0)</f>
        <v>1142018</v>
      </c>
      <c r="E794" s="276">
        <f>ROUND(BK62,0)</f>
        <v>315326</v>
      </c>
      <c r="F794" s="276">
        <f>ROUND(BK63,0)</f>
        <v>0</v>
      </c>
      <c r="G794" s="276">
        <f>ROUND(BK64,0)</f>
        <v>12382</v>
      </c>
      <c r="H794" s="276">
        <f>ROUND(BK65,0)</f>
        <v>0</v>
      </c>
      <c r="I794" s="276">
        <f>ROUND(BK66,0)</f>
        <v>3182292</v>
      </c>
      <c r="J794" s="276">
        <f>ROUND(BK67,0)</f>
        <v>0</v>
      </c>
      <c r="K794" s="276">
        <f>ROUND(BK68,0)</f>
        <v>0</v>
      </c>
      <c r="L794" s="276">
        <f>ROUND(BK69,0)</f>
        <v>52273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>
      <c r="A795" s="209" t="str">
        <f>RIGHT($C$83,3)&amp;"*"&amp;RIGHT($C$82,4)&amp;"*"&amp;BL$55&amp;"*"&amp;"A"</f>
        <v>037*2017*8560*A</v>
      </c>
      <c r="B795" s="276"/>
      <c r="C795" s="278">
        <f>ROUND(BL60,2)</f>
        <v>45.32</v>
      </c>
      <c r="D795" s="276">
        <f>ROUND(BL61,0)</f>
        <v>1985898</v>
      </c>
      <c r="E795" s="276">
        <f>ROUND(BL62,0)</f>
        <v>548332</v>
      </c>
      <c r="F795" s="276">
        <f>ROUND(BL63,0)</f>
        <v>0</v>
      </c>
      <c r="G795" s="276">
        <f>ROUND(BL64,0)</f>
        <v>45224</v>
      </c>
      <c r="H795" s="276">
        <f>ROUND(BL65,0)</f>
        <v>0</v>
      </c>
      <c r="I795" s="276">
        <f>ROUND(BL66,0)</f>
        <v>4813</v>
      </c>
      <c r="J795" s="276">
        <f>ROUND(BL67,0)</f>
        <v>0</v>
      </c>
      <c r="K795" s="276">
        <f>ROUND(BL68,0)</f>
        <v>0</v>
      </c>
      <c r="L795" s="276">
        <f>ROUND(BL69,0)</f>
        <v>339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>
      <c r="A796" s="209" t="str">
        <f>RIGHT($C$83,3)&amp;"*"&amp;RIGHT($C$82,4)&amp;"*"&amp;BM$55&amp;"*"&amp;"A"</f>
        <v>037*2017*8590*A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>
      <c r="A797" s="209" t="str">
        <f>RIGHT($C$83,3)&amp;"*"&amp;RIGHT($C$82,4)&amp;"*"&amp;BN$55&amp;"*"&amp;"A"</f>
        <v>037*2017*8610*A</v>
      </c>
      <c r="B797" s="276"/>
      <c r="C797" s="278">
        <f>ROUND(BN60,2)</f>
        <v>10.32</v>
      </c>
      <c r="D797" s="276">
        <f>ROUND(BN61,0)</f>
        <v>2496273</v>
      </c>
      <c r="E797" s="276">
        <f>ROUND(BN62,0)</f>
        <v>689253</v>
      </c>
      <c r="F797" s="276">
        <f>ROUND(BN63,0)</f>
        <v>269697</v>
      </c>
      <c r="G797" s="276">
        <f>ROUND(BN64,0)</f>
        <v>37850</v>
      </c>
      <c r="H797" s="276">
        <f>ROUND(BN65,0)</f>
        <v>0</v>
      </c>
      <c r="I797" s="276">
        <f>ROUND(BN66,0)</f>
        <v>1745593</v>
      </c>
      <c r="J797" s="276">
        <f>ROUND(BN67,0)</f>
        <v>1132034</v>
      </c>
      <c r="K797" s="276">
        <f>ROUND(BN68,0)</f>
        <v>2273</v>
      </c>
      <c r="L797" s="276">
        <f>ROUND(BN69,0)</f>
        <v>18458478</v>
      </c>
      <c r="M797" s="276">
        <f>ROUND(BN70,0)</f>
        <v>0</v>
      </c>
      <c r="N797" s="276"/>
      <c r="O797" s="276"/>
      <c r="P797" s="276">
        <f>IF(BN76&gt;0,ROUND(BN76,0),0)</f>
        <v>42374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>
      <c r="A798" s="209" t="str">
        <f>RIGHT($C$83,3)&amp;"*"&amp;RIGHT($C$82,4)&amp;"*"&amp;BO$55&amp;"*"&amp;"A"</f>
        <v>037*2017*8620*A</v>
      </c>
      <c r="B798" s="276"/>
      <c r="C798" s="278">
        <f>ROUND(BO60,2)</f>
        <v>1.07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>
      <c r="A799" s="209" t="str">
        <f>RIGHT($C$83,3)&amp;"*"&amp;RIGHT($C$82,4)&amp;"*"&amp;BP$55&amp;"*"&amp;"A"</f>
        <v>037*2017*8630*A</v>
      </c>
      <c r="B799" s="276"/>
      <c r="C799" s="278">
        <f>ROUND(BP60,2)</f>
        <v>0.79</v>
      </c>
      <c r="D799" s="276">
        <f>ROUND(BP61,0)</f>
        <v>98373</v>
      </c>
      <c r="E799" s="276">
        <f>ROUND(BP62,0)</f>
        <v>27162</v>
      </c>
      <c r="F799" s="276">
        <f>ROUND(BP63,0)</f>
        <v>0</v>
      </c>
      <c r="G799" s="276">
        <f>ROUND(BP64,0)</f>
        <v>1893</v>
      </c>
      <c r="H799" s="276">
        <f>ROUND(BP65,0)</f>
        <v>0</v>
      </c>
      <c r="I799" s="276">
        <f>ROUND(BP66,0)</f>
        <v>21097</v>
      </c>
      <c r="J799" s="276">
        <f>ROUND(BP67,0)</f>
        <v>0</v>
      </c>
      <c r="K799" s="276">
        <f>ROUND(BP68,0)</f>
        <v>0</v>
      </c>
      <c r="L799" s="276">
        <f>ROUND(BP69,0)</f>
        <v>477621</v>
      </c>
      <c r="M799" s="276">
        <f>ROUND(BP70,0)</f>
        <v>6401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>
      <c r="A800" s="209" t="str">
        <f>RIGHT($C$83,3)&amp;"*"&amp;RIGHT($C$82,4)&amp;"*"&amp;BQ$55&amp;"*"&amp;"A"</f>
        <v>037*2017*8640*A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>
      <c r="A801" s="209" t="str">
        <f>RIGHT($C$83,3)&amp;"*"&amp;RIGHT($C$82,4)&amp;"*"&amp;BR$55&amp;"*"&amp;"A"</f>
        <v>037*2017*8650*A</v>
      </c>
      <c r="B801" s="276"/>
      <c r="C801" s="278">
        <f>ROUND(BR60,2)</f>
        <v>5.83</v>
      </c>
      <c r="D801" s="276">
        <f>ROUND(BR61,0)</f>
        <v>499464</v>
      </c>
      <c r="E801" s="276">
        <f>ROUND(BR62,0)</f>
        <v>137908</v>
      </c>
      <c r="F801" s="276">
        <f>ROUND(BR63,0)</f>
        <v>0</v>
      </c>
      <c r="G801" s="276">
        <f>ROUND(BR64,0)</f>
        <v>11630</v>
      </c>
      <c r="H801" s="276">
        <f>ROUND(BR65,0)</f>
        <v>0</v>
      </c>
      <c r="I801" s="276">
        <f>ROUND(BR66,0)</f>
        <v>5767</v>
      </c>
      <c r="J801" s="276">
        <f>ROUND(BR67,0)</f>
        <v>83004</v>
      </c>
      <c r="K801" s="276">
        <f>ROUND(BR68,0)</f>
        <v>0</v>
      </c>
      <c r="L801" s="276">
        <f>ROUND(BR69,0)</f>
        <v>448051</v>
      </c>
      <c r="M801" s="276">
        <f>ROUND(BR70,0)</f>
        <v>0</v>
      </c>
      <c r="N801" s="276"/>
      <c r="O801" s="276"/>
      <c r="P801" s="276">
        <f>IF(BR76&gt;0,ROUND(BR76,0),0)</f>
        <v>3107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>
      <c r="A802" s="209" t="str">
        <f>RIGHT($C$83,3)&amp;"*"&amp;RIGHT($C$82,4)&amp;"*"&amp;BS$55&amp;"*"&amp;"A"</f>
        <v>037*2017*8660*A</v>
      </c>
      <c r="B802" s="276"/>
      <c r="C802" s="278">
        <f>ROUND(BS60,2)</f>
        <v>8.43</v>
      </c>
      <c r="D802" s="276">
        <f>ROUND(BS61,0)</f>
        <v>80691</v>
      </c>
      <c r="E802" s="276">
        <f>ROUND(BS62,0)</f>
        <v>22280</v>
      </c>
      <c r="F802" s="276">
        <f>ROUND(BS63,0)</f>
        <v>0</v>
      </c>
      <c r="G802" s="276">
        <f>ROUND(BS64,0)</f>
        <v>7537</v>
      </c>
      <c r="H802" s="276">
        <f>ROUND(BS65,0)</f>
        <v>0</v>
      </c>
      <c r="I802" s="276">
        <f>ROUND(BS66,0)</f>
        <v>-6778</v>
      </c>
      <c r="J802" s="276">
        <f>ROUND(BS67,0)</f>
        <v>38951</v>
      </c>
      <c r="K802" s="276">
        <f>ROUND(BS68,0)</f>
        <v>13979</v>
      </c>
      <c r="L802" s="276">
        <f>ROUND(BS69,0)</f>
        <v>66241</v>
      </c>
      <c r="M802" s="276">
        <f>ROUND(BS70,0)</f>
        <v>215877</v>
      </c>
      <c r="N802" s="276"/>
      <c r="O802" s="276"/>
      <c r="P802" s="276">
        <f>IF(BS76&gt;0,ROUND(BS76,0),0)</f>
        <v>1458</v>
      </c>
      <c r="Q802" s="276">
        <f>IF(BS77&gt;0,ROUND(BS77,0),0)</f>
        <v>0</v>
      </c>
      <c r="R802" s="276">
        <f>IF(BS78&gt;0,ROUND(BS78,0),0)</f>
        <v>498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>
      <c r="A803" s="209" t="str">
        <f>RIGHT($C$83,3)&amp;"*"&amp;RIGHT($C$82,4)&amp;"*"&amp;BT$55&amp;"*"&amp;"A"</f>
        <v>037*2017*8670*A</v>
      </c>
      <c r="B803" s="276"/>
      <c r="C803" s="278">
        <f>ROUND(BT60,2)</f>
        <v>0.6</v>
      </c>
      <c r="D803" s="276">
        <f>ROUND(BT61,0)</f>
        <v>37235</v>
      </c>
      <c r="E803" s="276">
        <f>ROUND(BT62,0)</f>
        <v>10281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>
      <c r="A804" s="209" t="str">
        <f>RIGHT($C$83,3)&amp;"*"&amp;RIGHT($C$82,4)&amp;"*"&amp;BU$55&amp;"*"&amp;"A"</f>
        <v>037*2017*8680*A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>
      <c r="A805" s="209" t="str">
        <f>RIGHT($C$83,3)&amp;"*"&amp;RIGHT($C$82,4)&amp;"*"&amp;BV$55&amp;"*"&amp;"A"</f>
        <v>037*2017*8690*A</v>
      </c>
      <c r="B805" s="276"/>
      <c r="C805" s="278">
        <f>ROUND(BV60,2)</f>
        <v>26.47</v>
      </c>
      <c r="D805" s="276">
        <f>ROUND(BV61,0)</f>
        <v>1277874</v>
      </c>
      <c r="E805" s="276">
        <f>ROUND(BV62,0)</f>
        <v>352838</v>
      </c>
      <c r="F805" s="276">
        <f>ROUND(BV63,0)</f>
        <v>0</v>
      </c>
      <c r="G805" s="276">
        <f>ROUND(BV64,0)</f>
        <v>26758</v>
      </c>
      <c r="H805" s="276">
        <f>ROUND(BV65,0)</f>
        <v>0</v>
      </c>
      <c r="I805" s="276">
        <f>ROUND(BV66,0)</f>
        <v>740519</v>
      </c>
      <c r="J805" s="276">
        <f>ROUND(BV67,0)</f>
        <v>226599</v>
      </c>
      <c r="K805" s="276">
        <f>ROUND(BV68,0)</f>
        <v>0</v>
      </c>
      <c r="L805" s="276">
        <f>ROUND(BV69,0)</f>
        <v>47611</v>
      </c>
      <c r="M805" s="276">
        <f>ROUND(BV70,0)</f>
        <v>17572</v>
      </c>
      <c r="N805" s="276"/>
      <c r="O805" s="276"/>
      <c r="P805" s="276">
        <f>IF(BV76&gt;0,ROUND(BV76,0),0)</f>
        <v>8482</v>
      </c>
      <c r="Q805" s="276">
        <f>IF(BV77&gt;0,ROUND(BV77,0),0)</f>
        <v>0</v>
      </c>
      <c r="R805" s="276">
        <f>IF(BV78&gt;0,ROUND(BV78,0),0)</f>
        <v>2895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>
      <c r="A806" s="209" t="str">
        <f>RIGHT($C$83,3)&amp;"*"&amp;RIGHT($C$82,4)&amp;"*"&amp;BW$55&amp;"*"&amp;"A"</f>
        <v>037*2017*8700*A</v>
      </c>
      <c r="B806" s="276"/>
      <c r="C806" s="278">
        <f>ROUND(BW60,2)</f>
        <v>4.2699999999999996</v>
      </c>
      <c r="D806" s="276">
        <f>ROUND(BW61,0)</f>
        <v>219190</v>
      </c>
      <c r="E806" s="276">
        <f>ROUND(BW62,0)</f>
        <v>60521</v>
      </c>
      <c r="F806" s="276">
        <f>ROUND(BW63,0)</f>
        <v>82493</v>
      </c>
      <c r="G806" s="276">
        <f>ROUND(BW64,0)</f>
        <v>2624</v>
      </c>
      <c r="H806" s="276">
        <f>ROUND(BW65,0)</f>
        <v>0</v>
      </c>
      <c r="I806" s="276">
        <f>ROUND(BW66,0)</f>
        <v>33662</v>
      </c>
      <c r="J806" s="276">
        <f>ROUND(BW67,0)</f>
        <v>0</v>
      </c>
      <c r="K806" s="276">
        <f>ROUND(BW68,0)</f>
        <v>0</v>
      </c>
      <c r="L806" s="276">
        <f>ROUND(BW69,0)</f>
        <v>7863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>
      <c r="A807" s="209" t="str">
        <f>RIGHT($C$83,3)&amp;"*"&amp;RIGHT($C$82,4)&amp;"*"&amp;BX$55&amp;"*"&amp;"A"</f>
        <v>037*2017*8710*A</v>
      </c>
      <c r="B807" s="276"/>
      <c r="C807" s="278">
        <f>ROUND(BX60,2)</f>
        <v>27.26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23777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890</v>
      </c>
      <c r="Q807" s="276">
        <f>IF(BX77&gt;0,ROUND(BX77,0),0)</f>
        <v>0</v>
      </c>
      <c r="R807" s="276">
        <f>IF(BX78&gt;0,ROUND(BX78,0),0)</f>
        <v>304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>
      <c r="A808" s="209" t="str">
        <f>RIGHT($C$83,3)&amp;"*"&amp;RIGHT($C$82,4)&amp;"*"&amp;BY$55&amp;"*"&amp;"A"</f>
        <v>037*2017*8720*A</v>
      </c>
      <c r="B808" s="276"/>
      <c r="C808" s="278">
        <f>ROUND(BY60,2)</f>
        <v>16.5</v>
      </c>
      <c r="D808" s="276">
        <f>ROUND(BY61,0)</f>
        <v>3797858</v>
      </c>
      <c r="E808" s="276">
        <f>ROUND(BY62,0)</f>
        <v>1048638</v>
      </c>
      <c r="F808" s="276">
        <f>ROUND(BY63,0)</f>
        <v>0</v>
      </c>
      <c r="G808" s="276">
        <f>ROUND(BY64,0)</f>
        <v>66732</v>
      </c>
      <c r="H808" s="276">
        <f>ROUND(BY65,0)</f>
        <v>0</v>
      </c>
      <c r="I808" s="276">
        <f>ROUND(BY66,0)</f>
        <v>105995</v>
      </c>
      <c r="J808" s="276">
        <f>ROUND(BY67,0)</f>
        <v>359855</v>
      </c>
      <c r="K808" s="276">
        <f>ROUND(BY68,0)</f>
        <v>0</v>
      </c>
      <c r="L808" s="276">
        <f>ROUND(BY69,0)</f>
        <v>256935</v>
      </c>
      <c r="M808" s="276">
        <f>ROUND(BY70,0)</f>
        <v>0</v>
      </c>
      <c r="N808" s="276"/>
      <c r="O808" s="276"/>
      <c r="P808" s="276">
        <f>IF(BY76&gt;0,ROUND(BY76,0),0)</f>
        <v>13470</v>
      </c>
      <c r="Q808" s="276">
        <f>IF(BY77&gt;0,ROUND(BY77,0),0)</f>
        <v>0</v>
      </c>
      <c r="R808" s="276">
        <f>IF(BY78&gt;0,ROUND(BY78,0),0)</f>
        <v>4598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>
      <c r="A809" s="209" t="str">
        <f>RIGHT($C$83,3)&amp;"*"&amp;RIGHT($C$82,4)&amp;"*"&amp;BZ$55&amp;"*"&amp;"A"</f>
        <v>037*2017*8730*A</v>
      </c>
      <c r="B809" s="276"/>
      <c r="C809" s="278">
        <f>ROUND(BZ60,2)</f>
        <v>6.96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>
      <c r="A810" s="209" t="str">
        <f>RIGHT($C$83,3)&amp;"*"&amp;RIGHT($C$82,4)&amp;"*"&amp;CA$55&amp;"*"&amp;"A"</f>
        <v>037*2017*8740*A</v>
      </c>
      <c r="B810" s="276"/>
      <c r="C810" s="278">
        <f>ROUND(CA60,2)</f>
        <v>5.26</v>
      </c>
      <c r="D810" s="276">
        <f>ROUND(CA61,0)</f>
        <v>529888</v>
      </c>
      <c r="E810" s="276">
        <f>ROUND(CA62,0)</f>
        <v>146309</v>
      </c>
      <c r="F810" s="276">
        <f>ROUND(CA63,0)</f>
        <v>0</v>
      </c>
      <c r="G810" s="276">
        <f>ROUND(CA64,0)</f>
        <v>17222</v>
      </c>
      <c r="H810" s="276">
        <f>ROUND(CA65,0)</f>
        <v>0</v>
      </c>
      <c r="I810" s="276">
        <f>ROUND(CA66,0)</f>
        <v>3252</v>
      </c>
      <c r="J810" s="276">
        <f>ROUND(CA67,0)</f>
        <v>30429</v>
      </c>
      <c r="K810" s="276">
        <f>ROUND(CA68,0)</f>
        <v>0</v>
      </c>
      <c r="L810" s="276">
        <f>ROUND(CA69,0)</f>
        <v>11531</v>
      </c>
      <c r="M810" s="276">
        <f>ROUND(CA70,0)</f>
        <v>20309</v>
      </c>
      <c r="N810" s="276"/>
      <c r="O810" s="276"/>
      <c r="P810" s="276">
        <f>IF(CA76&gt;0,ROUND(CA76,0),0)</f>
        <v>1139</v>
      </c>
      <c r="Q810" s="276">
        <f>IF(CA77&gt;0,ROUND(CA77,0),0)</f>
        <v>0</v>
      </c>
      <c r="R810" s="276">
        <f>IF(CA78&gt;0,ROUND(CA78,0),0)</f>
        <v>389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>
      <c r="A811" s="209" t="str">
        <f>RIGHT($C$83,3)&amp;"*"&amp;RIGHT($C$82,4)&amp;"*"&amp;CB$55&amp;"*"&amp;"A"</f>
        <v>037*2017*8770*A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>
      <c r="A812" s="209" t="str">
        <f>RIGHT($C$83,3)&amp;"*"&amp;RIGHT($C$82,4)&amp;"*"&amp;CC$55&amp;"*"&amp;"A"</f>
        <v>037*2017*8790*A</v>
      </c>
      <c r="B812" s="276"/>
      <c r="C812" s="278">
        <f>ROUND(CC60,2)</f>
        <v>0.03</v>
      </c>
      <c r="D812" s="276">
        <f>ROUND(CC61,0)</f>
        <v>50522</v>
      </c>
      <c r="E812" s="276">
        <f>ROUND(CC62,0)</f>
        <v>13950</v>
      </c>
      <c r="F812" s="276">
        <f>ROUND(CC63,0)</f>
        <v>8494495</v>
      </c>
      <c r="G812" s="276">
        <f>ROUND(CC64,0)</f>
        <v>546787</v>
      </c>
      <c r="H812" s="276">
        <f>ROUND(CC65,0)</f>
        <v>365016</v>
      </c>
      <c r="I812" s="276">
        <f>ROUND(CC66,0)</f>
        <v>2191493</v>
      </c>
      <c r="J812" s="276">
        <f>ROUND(CC67,0)</f>
        <v>87706</v>
      </c>
      <c r="K812" s="276">
        <f>ROUND(CC68,0)</f>
        <v>1509693</v>
      </c>
      <c r="L812" s="276">
        <f>ROUND(CC69,0)</f>
        <v>17592359</v>
      </c>
      <c r="M812" s="276">
        <f>ROUND(CC70,0)</f>
        <v>2253241</v>
      </c>
      <c r="N812" s="276"/>
      <c r="O812" s="276"/>
      <c r="P812" s="276">
        <f>IF(CC76&gt;0,ROUND(CC76,0),0)</f>
        <v>3283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>
      <c r="A813" s="209" t="str">
        <f>RIGHT($C$83,3)&amp;"*"&amp;RIGHT($C$82,4)&amp;"*"&amp;"9000"&amp;"*"&amp;"A"</f>
        <v>037*2017*9000*A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3267135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>
      <c r="B815" s="280" t="s">
        <v>1004</v>
      </c>
      <c r="C815" s="281">
        <f t="shared" ref="C815:K815" si="28">SUM(C734:C813)</f>
        <v>1378.8299999999995</v>
      </c>
      <c r="D815" s="277">
        <f t="shared" si="28"/>
        <v>97187781</v>
      </c>
      <c r="E815" s="277">
        <f t="shared" si="28"/>
        <v>26834807</v>
      </c>
      <c r="F815" s="277">
        <f t="shared" si="28"/>
        <v>16143831</v>
      </c>
      <c r="G815" s="277">
        <f t="shared" si="28"/>
        <v>55815388</v>
      </c>
      <c r="H815" s="277">
        <f t="shared" si="28"/>
        <v>3474923</v>
      </c>
      <c r="I815" s="277">
        <f t="shared" si="28"/>
        <v>21849257</v>
      </c>
      <c r="J815" s="277">
        <f t="shared" si="28"/>
        <v>18172819</v>
      </c>
      <c r="K815" s="277">
        <f t="shared" si="28"/>
        <v>5324881</v>
      </c>
      <c r="L815" s="277">
        <f>SUM(L734:L813)+SUM(U734:U813)</f>
        <v>50800372</v>
      </c>
      <c r="M815" s="277">
        <f>SUM(M734:M813)+SUM(V734:V813)</f>
        <v>4145836</v>
      </c>
      <c r="N815" s="277">
        <f t="shared" ref="N815:Y815" si="29">SUM(N734:N813)</f>
        <v>1473112938</v>
      </c>
      <c r="O815" s="277">
        <f t="shared" si="29"/>
        <v>817790421</v>
      </c>
      <c r="P815" s="277">
        <f t="shared" si="29"/>
        <v>680240</v>
      </c>
      <c r="Q815" s="277">
        <f t="shared" si="29"/>
        <v>1103260</v>
      </c>
      <c r="R815" s="277">
        <f t="shared" si="29"/>
        <v>122673</v>
      </c>
      <c r="S815" s="277">
        <f t="shared" si="29"/>
        <v>1713892</v>
      </c>
      <c r="T815" s="281">
        <f t="shared" si="29"/>
        <v>355.20000000000005</v>
      </c>
      <c r="U815" s="277">
        <f t="shared" si="29"/>
        <v>3267135</v>
      </c>
      <c r="V815" s="277">
        <f t="shared" si="29"/>
        <v>0</v>
      </c>
      <c r="W815" s="277">
        <f t="shared" si="29"/>
        <v>0</v>
      </c>
      <c r="X815" s="277">
        <f t="shared" si="29"/>
        <v>0</v>
      </c>
      <c r="Y815" s="277">
        <f t="shared" si="29"/>
        <v>108246012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>
      <c r="B816" s="277" t="s">
        <v>1005</v>
      </c>
      <c r="C816" s="281">
        <f>CE60</f>
        <v>1378.7000000000003</v>
      </c>
      <c r="D816" s="277">
        <f>CE61</f>
        <v>97187781</v>
      </c>
      <c r="E816" s="277">
        <f>CE62</f>
        <v>26834807</v>
      </c>
      <c r="F816" s="277">
        <f>CE63</f>
        <v>16143831</v>
      </c>
      <c r="G816" s="277">
        <f>CE64</f>
        <v>55815388</v>
      </c>
      <c r="H816" s="280">
        <f>CE65</f>
        <v>3474923</v>
      </c>
      <c r="I816" s="280">
        <f>CE66</f>
        <v>21849257</v>
      </c>
      <c r="J816" s="280">
        <f>CE67</f>
        <v>18172819</v>
      </c>
      <c r="K816" s="280">
        <f>CE68</f>
        <v>5324881</v>
      </c>
      <c r="L816" s="280">
        <f>CE69</f>
        <v>50800372</v>
      </c>
      <c r="M816" s="280">
        <f>CE70</f>
        <v>4145836</v>
      </c>
      <c r="N816" s="277">
        <f>CE75</f>
        <v>1473112938</v>
      </c>
      <c r="O816" s="277">
        <f>CE73</f>
        <v>817790421</v>
      </c>
      <c r="P816" s="277">
        <f>CE76</f>
        <v>680240</v>
      </c>
      <c r="Q816" s="277">
        <f>CE77</f>
        <v>1103259.6960000002</v>
      </c>
      <c r="R816" s="277">
        <f>CE78</f>
        <v>122670.99999999999</v>
      </c>
      <c r="S816" s="277">
        <f>CE79</f>
        <v>1713891.3082776</v>
      </c>
      <c r="T816" s="281">
        <f>CE80</f>
        <v>355.20000000000005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108246012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>
      <c r="B817" s="180" t="s">
        <v>471</v>
      </c>
      <c r="C817" s="199" t="s">
        <v>1007</v>
      </c>
      <c r="D817" s="180">
        <f>C378</f>
        <v>97187781</v>
      </c>
      <c r="E817" s="180">
        <f>C379</f>
        <v>26834807</v>
      </c>
      <c r="F817" s="180">
        <f>C380</f>
        <v>16143831</v>
      </c>
      <c r="G817" s="240">
        <f>C381</f>
        <v>55815388</v>
      </c>
      <c r="H817" s="240">
        <f>C382</f>
        <v>3474923</v>
      </c>
      <c r="I817" s="240">
        <f>C383</f>
        <v>21849257</v>
      </c>
      <c r="J817" s="240">
        <f>C384</f>
        <v>18172819</v>
      </c>
      <c r="K817" s="240">
        <f>C385</f>
        <v>5324882</v>
      </c>
      <c r="L817" s="240">
        <f>C386+C387+C388+C389</f>
        <v>50800370.710000001</v>
      </c>
      <c r="M817" s="240">
        <f>C370</f>
        <v>4145837</v>
      </c>
      <c r="N817" s="180">
        <f>D361</f>
        <v>1473112938</v>
      </c>
      <c r="O817" s="180">
        <f>C359</f>
        <v>817790421</v>
      </c>
    </row>
  </sheetData>
  <customSheetViews>
    <customSheetView guid="{D74B16BB-9BDF-4AEC-AA99-B864B9498389}" scale="75" showGridLines="0" fitToPage="1" topLeftCell="A340">
      <selection activeCell="B140" sqref="B140"/>
      <pageMargins left="0.25" right="0.25" top="0.5" bottom="0.5" header="0.5" footer="0.5"/>
      <printOptions horizontalCentered="1"/>
      <pageSetup scale="95" orientation="portrait" r:id="rId1"/>
      <headerFooter alignWithMargins="0"/>
    </customSheetView>
    <customSheetView guid="{78E778D5-69A8-4E35-B0F3-6D26A1845557}" scale="75" showGridLines="0" fitToPage="1" topLeftCell="A340">
      <selection activeCell="B140" sqref="B140"/>
      <pageMargins left="0.25" right="0.25" top="0.5" bottom="0.5" header="0.5" footer="0.5"/>
      <printOptions horizontalCentered="1"/>
      <pageSetup scale="95" orientation="portrait" r:id="rId2"/>
      <headerFooter alignWithMargins="0"/>
    </customSheetView>
    <customSheetView guid="{783D34AB-F88A-4C40-8B8F-D04647EC64BD}" scale="75" showGridLines="0" fitToPage="1" topLeftCell="A307">
      <selection activeCell="C175" sqref="C175"/>
      <pageMargins left="0.25" right="0.25" top="0.5" bottom="0.5" header="0.5" footer="0.5"/>
      <printOptions horizontalCentered="1"/>
      <pageSetup scale="95" orientation="portrait" r:id="rId3"/>
      <headerFooter alignWithMargins="0"/>
    </customSheetView>
    <customSheetView guid="{D74738EB-3446-4A41-91B2-3626AA7FCC94}" scale="75" showGridLines="0" fitToPage="1" topLeftCell="A340">
      <selection activeCell="B140" sqref="B140"/>
      <pageMargins left="0.25" right="0.25" top="0.5" bottom="0.5" header="0.5" footer="0.5"/>
      <printOptions horizontalCentered="1"/>
      <pageSetup scale="95" orientation="portrait" r:id="rId4"/>
      <headerFooter alignWithMargins="0"/>
    </customSheetView>
    <customSheetView guid="{37DA5E57-E52E-47A3-B98A-9CAA60A4BD45}" scale="75" showGridLines="0" fitToPage="1" topLeftCell="A340">
      <selection activeCell="B140" sqref="B140"/>
      <pageMargins left="0.25" right="0.25" top="0.5" bottom="0.5" header="0.5" footer="0.5"/>
      <printOptions horizontalCentered="1"/>
      <pageSetup scale="95" orientation="portrait" r:id="rId5"/>
      <headerFooter alignWithMargins="0"/>
    </customSheetView>
  </customSheetViews>
  <mergeCells count="1">
    <mergeCell ref="B220:C220"/>
  </mergeCells>
  <phoneticPr fontId="0" type="noConversion"/>
  <hyperlinks>
    <hyperlink ref="E16" r:id="rId6"/>
    <hyperlink ref="C17" r:id="rId7"/>
  </hyperlinks>
  <printOptions horizontalCentered="1" gridLinesSet="0"/>
  <pageMargins left="0.25" right="0.25" top="0.5" bottom="0.5" header="0.5" footer="0.5"/>
  <pageSetup scale="95" orientation="portrait" r:id="rId8"/>
  <headerFooter alignWithMargins="0"/>
  <legacy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>
      <c r="J1" s="166" t="s">
        <v>1008</v>
      </c>
    </row>
    <row r="2" spans="2:13" ht="15.6" thickTop="1">
      <c r="B2" s="141"/>
      <c r="C2" s="142"/>
      <c r="D2" s="142"/>
      <c r="E2" s="142"/>
      <c r="F2" s="142"/>
      <c r="G2" s="142"/>
      <c r="H2" s="142"/>
      <c r="I2" s="142"/>
      <c r="J2" s="143"/>
    </row>
    <row r="3" spans="2:13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>
      <c r="B11" s="144"/>
      <c r="C11" s="8"/>
      <c r="D11" s="8"/>
      <c r="E11" s="8"/>
      <c r="F11" s="76"/>
      <c r="G11" s="76"/>
      <c r="H11" s="8"/>
      <c r="I11" s="8"/>
      <c r="J11" s="145"/>
    </row>
    <row r="12" spans="2:13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>
      <c r="B17" s="141"/>
      <c r="C17" s="150" t="s">
        <v>1014</v>
      </c>
      <c r="D17" s="150"/>
      <c r="E17" s="142" t="str">
        <f>+data!C84</f>
        <v>Deaconess Hospital - MultiCare Health Systems</v>
      </c>
      <c r="F17" s="149"/>
      <c r="G17" s="149"/>
      <c r="H17" s="142"/>
      <c r="I17" s="142"/>
      <c r="J17" s="143"/>
    </row>
    <row r="18" spans="2:10">
      <c r="B18" s="144"/>
      <c r="C18" s="151" t="s">
        <v>1015</v>
      </c>
      <c r="D18" s="151"/>
      <c r="E18" s="8" t="str">
        <f>+"H-"&amp;data!C83</f>
        <v>H-037</v>
      </c>
      <c r="F18" s="76"/>
      <c r="G18" s="76"/>
      <c r="H18" s="8"/>
      <c r="I18" s="8"/>
      <c r="J18" s="145"/>
    </row>
    <row r="19" spans="2:10">
      <c r="B19" s="144"/>
      <c r="C19" s="151" t="s">
        <v>1016</v>
      </c>
      <c r="D19" s="151"/>
      <c r="E19" s="8" t="str">
        <f>+data!C85</f>
        <v>800 W. 5th Avenue</v>
      </c>
      <c r="F19" s="76"/>
      <c r="G19" s="76"/>
      <c r="H19" s="8"/>
      <c r="I19" s="8"/>
      <c r="J19" s="145"/>
    </row>
    <row r="20" spans="2:10">
      <c r="B20" s="144"/>
      <c r="C20" s="151" t="s">
        <v>1017</v>
      </c>
      <c r="D20" s="151"/>
      <c r="E20" s="8" t="str">
        <f>+data!C86</f>
        <v>PO Box 248</v>
      </c>
      <c r="F20" s="76"/>
      <c r="G20" s="76"/>
      <c r="H20" s="8"/>
      <c r="I20" s="8"/>
      <c r="J20" s="145"/>
    </row>
    <row r="21" spans="2:10">
      <c r="B21" s="144"/>
      <c r="C21" s="151" t="s">
        <v>1018</v>
      </c>
      <c r="D21" s="151"/>
      <c r="E21" s="8" t="str">
        <f>+data!C87</f>
        <v>Spokane, WA  99210</v>
      </c>
      <c r="F21" s="76"/>
      <c r="G21" s="76"/>
      <c r="H21" s="8"/>
      <c r="I21" s="8"/>
      <c r="J21" s="145"/>
    </row>
    <row r="22" spans="2:10" ht="15.6" thickBot="1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>
      <c r="B23" s="144"/>
      <c r="C23" s="8"/>
      <c r="D23" s="8"/>
      <c r="E23" s="8"/>
      <c r="F23" s="8"/>
      <c r="G23" s="8"/>
      <c r="H23" s="8"/>
      <c r="I23" s="8"/>
      <c r="J23" s="145"/>
    </row>
    <row r="24" spans="2:10">
      <c r="B24" s="144"/>
      <c r="C24" s="8"/>
      <c r="D24" s="8"/>
      <c r="E24" s="8"/>
      <c r="F24" s="8"/>
      <c r="G24" s="8"/>
      <c r="H24" s="8"/>
      <c r="I24" s="8"/>
      <c r="J24" s="145"/>
    </row>
    <row r="25" spans="2:10">
      <c r="B25" s="144"/>
      <c r="C25" s="8"/>
      <c r="D25" s="8"/>
      <c r="E25" s="8"/>
      <c r="F25" s="8"/>
      <c r="G25" s="8"/>
      <c r="H25" s="8"/>
      <c r="I25" s="8"/>
      <c r="J25" s="145"/>
    </row>
    <row r="26" spans="2:10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>
      <c r="B32" s="144"/>
      <c r="C32" s="8"/>
      <c r="D32" s="8"/>
      <c r="E32" s="8"/>
      <c r="F32" s="8"/>
      <c r="G32" s="8"/>
      <c r="H32" s="8"/>
      <c r="I32" s="8"/>
      <c r="J32" s="145"/>
    </row>
    <row r="33" spans="2:10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>
      <c r="B38" s="144"/>
      <c r="C38" s="8"/>
      <c r="D38" s="8"/>
      <c r="E38" s="8"/>
      <c r="F38" s="8"/>
      <c r="G38" s="8"/>
      <c r="H38" s="8"/>
      <c r="I38" s="8"/>
      <c r="J38" s="145"/>
    </row>
    <row r="39" spans="2:10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/>
    <row r="44" spans="2:10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customSheetViews>
    <customSheetView guid="{D74B16BB-9BDF-4AEC-AA99-B864B9498389}" scale="75" showGridLines="0" fitToPage="1">
      <selection activeCell="I12" sqref="I12"/>
      <pageMargins left="0.75" right="0.75" top="1" bottom="1" header="0.5" footer="0.5"/>
      <pageSetup scale="87" orientation="portrait" r:id="rId1"/>
      <headerFooter alignWithMargins="0"/>
    </customSheetView>
    <customSheetView guid="{78E778D5-69A8-4E35-B0F3-6D26A1845557}" scale="75" showGridLines="0" fitToPage="1">
      <selection activeCell="I12" sqref="I12"/>
      <pageMargins left="0.75" right="0.75" top="1" bottom="1" header="0.5" footer="0.5"/>
      <pageSetup scale="87" orientation="portrait" r:id="rId2"/>
      <headerFooter alignWithMargins="0"/>
    </customSheetView>
    <customSheetView guid="{783D34AB-F88A-4C40-8B8F-D04647EC64BD}" scale="75" showGridLines="0" fitToPage="1">
      <selection activeCell="I12" sqref="I12"/>
      <pageMargins left="0.75" right="0.75" top="1" bottom="1" header="0.5" footer="0.5"/>
      <pageSetup scale="87" orientation="portrait" r:id="rId3"/>
      <headerFooter alignWithMargins="0"/>
    </customSheetView>
    <customSheetView guid="{D74738EB-3446-4A41-91B2-3626AA7FCC94}" scale="75" showGridLines="0" fitToPage="1">
      <selection activeCell="I12" sqref="I12"/>
      <pageMargins left="0.75" right="0.75" top="1" bottom="1" header="0.5" footer="0.5"/>
      <pageSetup scale="87" orientation="portrait" r:id="rId4"/>
      <headerFooter alignWithMargins="0"/>
    </customSheetView>
    <customSheetView guid="{37DA5E57-E52E-47A3-B98A-9CAA60A4BD45}" scale="75" showGridLines="0" fitToPage="1">
      <selection activeCell="I12" sqref="I12"/>
      <pageMargins left="0.75" right="0.75" top="1" bottom="1" header="0.5" footer="0.5"/>
      <pageSetup scale="87" orientation="portrait" r:id="rId5"/>
      <headerFooter alignWithMargins="0"/>
    </customSheetView>
  </customSheetViews>
  <phoneticPr fontId="0" type="noConversion"/>
  <pageMargins left="0.75" right="0.75" top="1" bottom="1" header="0.5" footer="0.5"/>
  <pageSetup scale="87" orientation="portrait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1" sqref="D1"/>
    </sheetView>
  </sheetViews>
  <sheetFormatPr defaultColWidth="8.9140625" defaultRowHeight="18" customHeight="1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>
      <c r="A3" s="7"/>
      <c r="B3" s="5"/>
      <c r="C3" s="5"/>
      <c r="D3" s="5"/>
      <c r="E3" s="5"/>
      <c r="F3" s="5"/>
      <c r="G3" s="5"/>
      <c r="H3" s="7"/>
    </row>
    <row r="4" spans="1:13" ht="20.100000000000001" customHeight="1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H-37</v>
      </c>
      <c r="G4" s="24"/>
      <c r="H4" s="7"/>
    </row>
    <row r="5" spans="1:13" ht="20.100000000000001" customHeight="1">
      <c r="A5" s="13">
        <v>2</v>
      </c>
      <c r="B5" s="49" t="s">
        <v>257</v>
      </c>
      <c r="C5" s="24"/>
      <c r="D5" s="127" t="str">
        <f>"  "&amp;data!C84</f>
        <v xml:space="preserve">  Deaconess Hospital - MultiCare Health Systems</v>
      </c>
      <c r="E5" s="70"/>
      <c r="F5" s="70"/>
      <c r="G5" s="24"/>
      <c r="H5" s="7"/>
    </row>
    <row r="6" spans="1:13" ht="20.100000000000001" customHeight="1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>
      <c r="A7" s="13">
        <v>4</v>
      </c>
      <c r="B7" s="49" t="s">
        <v>1029</v>
      </c>
      <c r="C7" s="24"/>
      <c r="D7" s="127" t="str">
        <f>"  "&amp;data!C89</f>
        <v xml:space="preserve">  Laureen Driscoll</v>
      </c>
      <c r="E7" s="70"/>
      <c r="F7" s="70"/>
      <c r="G7" s="24"/>
      <c r="H7" s="7"/>
    </row>
    <row r="8" spans="1:13" ht="20.100000000000001" customHeight="1">
      <c r="A8" s="13">
        <v>5</v>
      </c>
      <c r="B8" s="49" t="s">
        <v>1030</v>
      </c>
      <c r="C8" s="24"/>
      <c r="D8" s="127" t="str">
        <f>"  "&amp;data!C90</f>
        <v xml:space="preserve">  Jason Hotchkiss</v>
      </c>
      <c r="E8" s="70"/>
      <c r="F8" s="70"/>
      <c r="G8" s="24"/>
      <c r="H8" s="7"/>
    </row>
    <row r="9" spans="1:13" ht="20.100000000000001" customHeight="1">
      <c r="A9" s="13">
        <v>6</v>
      </c>
      <c r="B9" s="49" t="s">
        <v>1031</v>
      </c>
      <c r="C9" s="24"/>
      <c r="D9" s="127" t="str">
        <f>"  "&amp;data!C91</f>
        <v xml:space="preserve">  FRANK TOMBARI</v>
      </c>
      <c r="E9" s="70"/>
      <c r="F9" s="70"/>
      <c r="G9" s="24"/>
      <c r="H9" s="7"/>
    </row>
    <row r="10" spans="1:13" ht="20.100000000000001" customHeight="1">
      <c r="A10" s="13">
        <v>7</v>
      </c>
      <c r="B10" s="49" t="s">
        <v>1032</v>
      </c>
      <c r="C10" s="24"/>
      <c r="D10" s="127" t="str">
        <f>"  "&amp;data!C92</f>
        <v xml:space="preserve">  509-458-5800</v>
      </c>
      <c r="E10" s="70"/>
      <c r="F10" s="70"/>
      <c r="G10" s="24"/>
      <c r="H10" s="7"/>
    </row>
    <row r="11" spans="1:13" ht="20.100000000000001" customHeight="1">
      <c r="A11" s="13">
        <v>8</v>
      </c>
      <c r="B11" s="49" t="s">
        <v>1033</v>
      </c>
      <c r="C11" s="24"/>
      <c r="D11" s="127" t="str">
        <f>"  "&amp;data!C93</f>
        <v xml:space="preserve">  509-473-7306</v>
      </c>
      <c r="E11" s="70"/>
      <c r="F11" s="70"/>
      <c r="G11" s="24"/>
      <c r="H11" s="7"/>
    </row>
    <row r="12" spans="1:13" ht="20.100000000000001" customHeight="1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>
      <c r="A23" s="130"/>
      <c r="B23" s="49" t="s">
        <v>1039</v>
      </c>
      <c r="C23" s="38"/>
      <c r="D23" s="38"/>
      <c r="E23" s="38"/>
      <c r="F23" s="13">
        <f>data!C111</f>
        <v>9708</v>
      </c>
      <c r="G23" s="21">
        <f>data!D111</f>
        <v>54656</v>
      </c>
      <c r="H23" s="7"/>
    </row>
    <row r="24" spans="1:9" ht="20.100000000000001" customHeight="1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>
      <c r="A26" s="13">
        <v>11</v>
      </c>
      <c r="B26" s="49" t="s">
        <v>281</v>
      </c>
      <c r="C26" s="38"/>
      <c r="D26" s="38"/>
      <c r="E26" s="38"/>
      <c r="F26" s="13">
        <f>data!C114</f>
        <v>1329</v>
      </c>
      <c r="G26" s="13">
        <f>data!D114</f>
        <v>1984</v>
      </c>
      <c r="H26" s="7"/>
    </row>
    <row r="27" spans="1:9" ht="20.100000000000001" customHeight="1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>
      <c r="A30" s="130"/>
      <c r="B30" s="49" t="s">
        <v>283</v>
      </c>
      <c r="C30" s="24"/>
      <c r="D30" s="21">
        <f>data!C116</f>
        <v>35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>
      <c r="A31" s="130"/>
      <c r="B31" s="97" t="s">
        <v>1043</v>
      </c>
      <c r="C31" s="24"/>
      <c r="D31" s="21">
        <f>data!C117</f>
        <v>68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>
      <c r="A32" s="130"/>
      <c r="B32" s="97" t="s">
        <v>1044</v>
      </c>
      <c r="C32" s="24"/>
      <c r="D32" s="21">
        <f>data!C118</f>
        <v>48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46</v>
      </c>
      <c r="H33" s="7"/>
    </row>
    <row r="34" spans="1:8" ht="20.100000000000001" customHeight="1">
      <c r="A34" s="130"/>
      <c r="B34" s="97" t="s">
        <v>1048</v>
      </c>
      <c r="C34" s="24"/>
      <c r="D34" s="21">
        <f>data!C120</f>
        <v>82</v>
      </c>
      <c r="E34" s="49" t="s">
        <v>291</v>
      </c>
      <c r="F34" s="24"/>
      <c r="G34" s="21">
        <f>data!E127</f>
        <v>279</v>
      </c>
      <c r="H34" s="7"/>
    </row>
    <row r="35" spans="1:8" ht="20.100000000000001" customHeight="1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388</v>
      </c>
      <c r="H36" s="7"/>
    </row>
    <row r="37" spans="1:8" ht="20.100000000000001" customHeight="1">
      <c r="A37" s="130"/>
      <c r="E37" s="49" t="s">
        <v>293</v>
      </c>
      <c r="F37" s="24"/>
      <c r="G37" s="21">
        <f>data!C129</f>
        <v>26</v>
      </c>
      <c r="H37" s="7"/>
    </row>
    <row r="38" spans="1:8" ht="20.100000000000001" customHeight="1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customSheetViews>
    <customSheetView guid="{D74B16BB-9BDF-4AEC-AA99-B864B9498389}" scale="75" showGridLines="0" fitToPage="1">
      <selection activeCell="D1" sqref="D1"/>
      <pageMargins left="0" right="0" top="0" bottom="0" header="0" footer="0"/>
      <printOptions horizontalCentered="1" verticalCentered="1"/>
      <pageSetup scale="97" orientation="portrait" r:id="rId1"/>
      <headerFooter alignWithMargins="0"/>
    </customSheetView>
    <customSheetView guid="{78E778D5-69A8-4E35-B0F3-6D26A1845557}" scale="75" showGridLines="0" fitToPage="1">
      <selection activeCell="D9" sqref="D9"/>
      <pageMargins left="0" right="0" top="0" bottom="0" header="0" footer="0"/>
      <printOptions horizontalCentered="1" verticalCentered="1"/>
      <pageSetup scale="90" orientation="portrait" r:id="rId2"/>
      <headerFooter alignWithMargins="0"/>
    </customSheetView>
    <customSheetView guid="{783D34AB-F88A-4C40-8B8F-D04647EC64BD}" scale="75" showGridLines="0" fitToPage="1">
      <selection activeCell="D9" sqref="D9"/>
      <pageMargins left="0" right="0" top="0" bottom="0" header="0" footer="0"/>
      <printOptions horizontalCentered="1" verticalCentered="1"/>
      <pageSetup scale="90" orientation="portrait" r:id="rId3"/>
      <headerFooter alignWithMargins="0"/>
    </customSheetView>
    <customSheetView guid="{D74738EB-3446-4A41-91B2-3626AA7FCC94}" scale="75" showGridLines="0" fitToPage="1">
      <selection activeCell="D9" sqref="D9"/>
      <pageMargins left="0" right="0" top="0" bottom="0" header="0" footer="0"/>
      <printOptions horizontalCentered="1" verticalCentered="1"/>
      <pageSetup scale="90" orientation="portrait" r:id="rId4"/>
      <headerFooter alignWithMargins="0"/>
    </customSheetView>
    <customSheetView guid="{37DA5E57-E52E-47A3-B98A-9CAA60A4BD45}" scale="75" showGridLines="0" fitToPage="1">
      <selection activeCell="D1" sqref="D1"/>
      <pageMargins left="0" right="0" top="0" bottom="0" header="0" footer="0"/>
      <printOptions horizontalCentered="1" verticalCentered="1"/>
      <pageSetup scale="97" orientation="portrait" r:id="rId5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97" orientation="portrait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Sheet3</vt:lpstr>
      <vt:lpstr>data</vt:lpstr>
      <vt:lpstr>Sheet4</vt:lpstr>
      <vt:lpstr>Sheet2</vt:lpstr>
      <vt:lpstr>Sheet1</vt:lpstr>
      <vt:lpstr>Changes</vt:lpstr>
      <vt:lpstr>Prior Year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'Prior Year'!Edit</vt:lpstr>
      <vt:lpstr>Edit</vt:lpstr>
      <vt:lpstr>'CC''s'!Print_Area</vt:lpstr>
      <vt:lpstr>Changes!Print_Area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Changes!Print_Titles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Deaconess Hospital Year End Report</dc:title>
  <dc:subject>2018 Deaconess Hospital Year End Report</dc:subject>
  <dc:creator>Washington State Dept of Health - HSQA - Community Health Systems</dc:creator>
  <cp:keywords>hospital financial reports</cp:keywords>
  <cp:lastModifiedBy>Huyck, Randall  (DOH)</cp:lastModifiedBy>
  <cp:lastPrinted>2019-06-03T17:16:28Z</cp:lastPrinted>
  <dcterms:created xsi:type="dcterms:W3CDTF">1999-06-02T22:01:56Z</dcterms:created>
  <dcterms:modified xsi:type="dcterms:W3CDTF">2019-06-20T20:00:20Z</dcterms:modified>
</cp:coreProperties>
</file>