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76" i="1" l="1"/>
  <c r="AP76" i="1"/>
  <c r="AJ78" i="1"/>
  <c r="AJ76" i="1"/>
  <c r="AV74" i="1" l="1"/>
  <c r="B213" i="1" l="1"/>
  <c r="D138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Q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O766" i="10"/>
  <c r="M766" i="10"/>
  <c r="L766" i="10"/>
  <c r="K766" i="10"/>
  <c r="I766" i="10"/>
  <c r="H766" i="10"/>
  <c r="G766" i="10"/>
  <c r="F766" i="10"/>
  <c r="D766" i="10"/>
  <c r="C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O764" i="10"/>
  <c r="M764" i="10"/>
  <c r="L764" i="10"/>
  <c r="K764" i="10"/>
  <c r="I764" i="10"/>
  <c r="H764" i="10"/>
  <c r="G764" i="10"/>
  <c r="F764" i="10"/>
  <c r="D764" i="10"/>
  <c r="C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O762" i="10"/>
  <c r="M762" i="10"/>
  <c r="L762" i="10"/>
  <c r="K762" i="10"/>
  <c r="I762" i="10"/>
  <c r="H762" i="10"/>
  <c r="G762" i="10"/>
  <c r="F762" i="10"/>
  <c r="D762" i="10"/>
  <c r="C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O756" i="10"/>
  <c r="M756" i="10"/>
  <c r="L756" i="10"/>
  <c r="K756" i="10"/>
  <c r="I756" i="10"/>
  <c r="H756" i="10"/>
  <c r="G756" i="10"/>
  <c r="F756" i="10"/>
  <c r="D756" i="10"/>
  <c r="C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A754" i="10"/>
  <c r="T753" i="10"/>
  <c r="S753" i="10"/>
  <c r="R753" i="10"/>
  <c r="Q753" i="10"/>
  <c r="O753" i="10"/>
  <c r="M753" i="10"/>
  <c r="L753" i="10"/>
  <c r="K753" i="10"/>
  <c r="I753" i="10"/>
  <c r="H753" i="10"/>
  <c r="G753" i="10"/>
  <c r="F753" i="10"/>
  <c r="D753" i="10"/>
  <c r="C753" i="10"/>
  <c r="A753" i="10"/>
  <c r="T752" i="10"/>
  <c r="S752" i="10"/>
  <c r="R752" i="10"/>
  <c r="Q752" i="10"/>
  <c r="O752" i="10"/>
  <c r="M752" i="10"/>
  <c r="L752" i="10"/>
  <c r="K752" i="10"/>
  <c r="I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O748" i="10"/>
  <c r="M748" i="10"/>
  <c r="L748" i="10"/>
  <c r="K748" i="10"/>
  <c r="I748" i="10"/>
  <c r="H748" i="10"/>
  <c r="G748" i="10"/>
  <c r="F748" i="10"/>
  <c r="D748" i="10"/>
  <c r="C748" i="10"/>
  <c r="A748" i="10"/>
  <c r="T747" i="10"/>
  <c r="S747" i="10"/>
  <c r="R747" i="10"/>
  <c r="Q747" i="10"/>
  <c r="O747" i="10"/>
  <c r="M747" i="10"/>
  <c r="L747" i="10"/>
  <c r="K747" i="10"/>
  <c r="I747" i="10"/>
  <c r="H747" i="10"/>
  <c r="G747" i="10"/>
  <c r="F747" i="10"/>
  <c r="D747" i="10"/>
  <c r="C747" i="10"/>
  <c r="A747" i="10"/>
  <c r="T746" i="10"/>
  <c r="S746" i="10"/>
  <c r="R746" i="10"/>
  <c r="Q746" i="10"/>
  <c r="O746" i="10"/>
  <c r="M746" i="10"/>
  <c r="L746" i="10"/>
  <c r="K746" i="10"/>
  <c r="I746" i="10"/>
  <c r="H746" i="10"/>
  <c r="G746" i="10"/>
  <c r="F746" i="10"/>
  <c r="D746" i="10"/>
  <c r="C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O741" i="10"/>
  <c r="M741" i="10"/>
  <c r="L741" i="10"/>
  <c r="K741" i="10"/>
  <c r="I741" i="10"/>
  <c r="H741" i="10"/>
  <c r="G741" i="10"/>
  <c r="F741" i="10"/>
  <c r="D741" i="10"/>
  <c r="C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T815" i="10" s="1"/>
  <c r="S736" i="10"/>
  <c r="R736" i="10"/>
  <c r="Q736" i="10"/>
  <c r="O736" i="10"/>
  <c r="M736" i="10"/>
  <c r="L736" i="10"/>
  <c r="K736" i="10"/>
  <c r="I736" i="10"/>
  <c r="H736" i="10"/>
  <c r="G736" i="10"/>
  <c r="F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O734" i="10"/>
  <c r="N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H612" i="10"/>
  <c r="G612" i="10"/>
  <c r="F550" i="10"/>
  <c r="E550" i="10"/>
  <c r="E546" i="10"/>
  <c r="E545" i="10"/>
  <c r="F545" i="10"/>
  <c r="F544" i="10"/>
  <c r="F540" i="10"/>
  <c r="E540" i="10"/>
  <c r="H540" i="10"/>
  <c r="E539" i="10"/>
  <c r="H539" i="10"/>
  <c r="E538" i="10"/>
  <c r="H536" i="10"/>
  <c r="E536" i="10"/>
  <c r="F536" i="10"/>
  <c r="F535" i="10"/>
  <c r="E535" i="10"/>
  <c r="H534" i="10"/>
  <c r="F534" i="10"/>
  <c r="E534" i="10"/>
  <c r="H533" i="10"/>
  <c r="F533" i="10"/>
  <c r="E533" i="10"/>
  <c r="F532" i="10"/>
  <c r="E532" i="10"/>
  <c r="H532" i="10"/>
  <c r="E531" i="10"/>
  <c r="H531" i="10"/>
  <c r="E530" i="10"/>
  <c r="E529" i="10"/>
  <c r="F527" i="10"/>
  <c r="E527" i="10"/>
  <c r="F526" i="10"/>
  <c r="H525" i="10"/>
  <c r="F525" i="10"/>
  <c r="E525" i="10"/>
  <c r="F524" i="10"/>
  <c r="E523" i="10"/>
  <c r="H523" i="10"/>
  <c r="E522" i="10"/>
  <c r="F521" i="10"/>
  <c r="F520" i="10"/>
  <c r="F519" i="10"/>
  <c r="E519" i="10"/>
  <c r="F518" i="10"/>
  <c r="E517" i="10"/>
  <c r="F514" i="10"/>
  <c r="F513" i="10"/>
  <c r="F512" i="10"/>
  <c r="F511" i="10"/>
  <c r="F509" i="10"/>
  <c r="F508" i="10"/>
  <c r="H507" i="10"/>
  <c r="F507" i="10"/>
  <c r="E507" i="10"/>
  <c r="F506" i="10"/>
  <c r="E506" i="10"/>
  <c r="H506" i="10"/>
  <c r="E505" i="10"/>
  <c r="E504" i="10"/>
  <c r="F503" i="10"/>
  <c r="F502" i="10"/>
  <c r="E502" i="10"/>
  <c r="H502" i="10"/>
  <c r="H501" i="10"/>
  <c r="F501" i="10"/>
  <c r="E501" i="10"/>
  <c r="H500" i="10"/>
  <c r="F500" i="10"/>
  <c r="E500" i="10"/>
  <c r="H499" i="10"/>
  <c r="F499" i="10"/>
  <c r="E499" i="10"/>
  <c r="E498" i="10"/>
  <c r="E497" i="10"/>
  <c r="E496" i="10"/>
  <c r="G493" i="10"/>
  <c r="E493" i="10"/>
  <c r="C493" i="10"/>
  <c r="A493" i="10"/>
  <c r="B478" i="10"/>
  <c r="C475" i="10"/>
  <c r="B475" i="10"/>
  <c r="B474" i="10"/>
  <c r="B473" i="10"/>
  <c r="C472" i="10"/>
  <c r="B472" i="10"/>
  <c r="C471" i="10"/>
  <c r="B471" i="10"/>
  <c r="C470" i="10"/>
  <c r="B470" i="10"/>
  <c r="B469" i="10"/>
  <c r="B468" i="10"/>
  <c r="B465" i="10"/>
  <c r="D464" i="10"/>
  <c r="C464" i="10"/>
  <c r="B464" i="10"/>
  <c r="B463" i="10"/>
  <c r="C459" i="10"/>
  <c r="B459" i="10"/>
  <c r="C458" i="10"/>
  <c r="B458" i="10"/>
  <c r="B455" i="10"/>
  <c r="B454" i="10"/>
  <c r="B453" i="10"/>
  <c r="C448" i="10"/>
  <c r="C447" i="10"/>
  <c r="B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D434" i="10"/>
  <c r="B434" i="10"/>
  <c r="D433" i="10"/>
  <c r="B433" i="10"/>
  <c r="B432" i="10"/>
  <c r="B431" i="10"/>
  <c r="C430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D361" i="10"/>
  <c r="N817" i="10" s="1"/>
  <c r="D339" i="10"/>
  <c r="C482" i="10" s="1"/>
  <c r="D330" i="10"/>
  <c r="D329" i="10"/>
  <c r="D328" i="10"/>
  <c r="D319" i="10"/>
  <c r="D314" i="10"/>
  <c r="D290" i="10"/>
  <c r="D283" i="10"/>
  <c r="D277" i="10"/>
  <c r="D275" i="10"/>
  <c r="B476" i="10" s="1"/>
  <c r="D265" i="10"/>
  <c r="D260" i="10"/>
  <c r="D240" i="10"/>
  <c r="D236" i="10"/>
  <c r="B446" i="10" s="1"/>
  <c r="D229" i="10"/>
  <c r="B445" i="10" s="1"/>
  <c r="D221" i="10"/>
  <c r="D217" i="10"/>
  <c r="C217" i="10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E202" i="10"/>
  <c r="C474" i="10" s="1"/>
  <c r="E201" i="10"/>
  <c r="E200" i="10"/>
  <c r="C473" i="10" s="1"/>
  <c r="E199" i="10"/>
  <c r="E198" i="10"/>
  <c r="E197" i="10"/>
  <c r="E196" i="10"/>
  <c r="C469" i="10" s="1"/>
  <c r="E195" i="10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CF79" i="10"/>
  <c r="CE79" i="10"/>
  <c r="CE78" i="10"/>
  <c r="BW78" i="10"/>
  <c r="R806" i="10" s="1"/>
  <c r="BI78" i="10"/>
  <c r="R792" i="10" s="1"/>
  <c r="CE77" i="10"/>
  <c r="Q816" i="10" s="1"/>
  <c r="CC76" i="10"/>
  <c r="P812" i="10" s="1"/>
  <c r="CA76" i="10"/>
  <c r="P810" i="10" s="1"/>
  <c r="BY76" i="10"/>
  <c r="P808" i="10" s="1"/>
  <c r="BR76" i="10"/>
  <c r="P801" i="10" s="1"/>
  <c r="BO76" i="10"/>
  <c r="P798" i="10" s="1"/>
  <c r="BN76" i="10"/>
  <c r="P797" i="10" s="1"/>
  <c r="BL76" i="10"/>
  <c r="P795" i="10" s="1"/>
  <c r="BK76" i="10"/>
  <c r="P794" i="10" s="1"/>
  <c r="BJ76" i="10"/>
  <c r="P793" i="10" s="1"/>
  <c r="BI76" i="10"/>
  <c r="P792" i="10" s="1"/>
  <c r="BH76" i="10"/>
  <c r="P791" i="10" s="1"/>
  <c r="BF76" i="10"/>
  <c r="P789" i="10" s="1"/>
  <c r="BE76" i="10"/>
  <c r="P788" i="10" s="1"/>
  <c r="BD76" i="10"/>
  <c r="P787" i="10" s="1"/>
  <c r="BA76" i="10"/>
  <c r="P784" i="10" s="1"/>
  <c r="AZ76" i="10"/>
  <c r="P783" i="10" s="1"/>
  <c r="AY76" i="10"/>
  <c r="P782" i="10" s="1"/>
  <c r="AX76" i="10"/>
  <c r="P781" i="10" s="1"/>
  <c r="AP76" i="10"/>
  <c r="P773" i="10" s="1"/>
  <c r="AJ76" i="10"/>
  <c r="P767" i="10" s="1"/>
  <c r="AI76" i="10"/>
  <c r="P766" i="10" s="1"/>
  <c r="AG76" i="10"/>
  <c r="P764" i="10" s="1"/>
  <c r="AE76" i="10"/>
  <c r="P762" i="10" s="1"/>
  <c r="AC76" i="10"/>
  <c r="P760" i="10" s="1"/>
  <c r="AB76" i="10"/>
  <c r="P759" i="10" s="1"/>
  <c r="AA76" i="10"/>
  <c r="P758" i="10" s="1"/>
  <c r="Z76" i="10"/>
  <c r="P757" i="10" s="1"/>
  <c r="Y76" i="10"/>
  <c r="P756" i="10" s="1"/>
  <c r="V76" i="10"/>
  <c r="P753" i="10" s="1"/>
  <c r="U76" i="10"/>
  <c r="P752" i="10" s="1"/>
  <c r="S76" i="10"/>
  <c r="P750" i="10" s="1"/>
  <c r="R76" i="10"/>
  <c r="P749" i="10" s="1"/>
  <c r="Q76" i="10"/>
  <c r="P748" i="10" s="1"/>
  <c r="P76" i="10"/>
  <c r="P747" i="10" s="1"/>
  <c r="O76" i="10"/>
  <c r="P746" i="10" s="1"/>
  <c r="J76" i="10"/>
  <c r="P741" i="10" s="1"/>
  <c r="E76" i="10"/>
  <c r="P736" i="10" s="1"/>
  <c r="C76" i="10"/>
  <c r="P734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CD71" i="10"/>
  <c r="C575" i="10" s="1"/>
  <c r="CE70" i="10"/>
  <c r="M816" i="10" s="1"/>
  <c r="CE69" i="10"/>
  <c r="CE68" i="10"/>
  <c r="K816" i="10" s="1"/>
  <c r="CE66" i="10"/>
  <c r="CE65" i="10"/>
  <c r="CE64" i="10"/>
  <c r="G816" i="10" s="1"/>
  <c r="CE63" i="10"/>
  <c r="CB62" i="10"/>
  <c r="E811" i="10" s="1"/>
  <c r="CA62" i="10"/>
  <c r="BX62" i="10"/>
  <c r="BT62" i="10"/>
  <c r="E803" i="10" s="1"/>
  <c r="BS62" i="10"/>
  <c r="E802" i="10" s="1"/>
  <c r="BR62" i="10"/>
  <c r="BL62" i="10"/>
  <c r="E795" i="10" s="1"/>
  <c r="BK62" i="10"/>
  <c r="E794" i="10" s="1"/>
  <c r="BH62" i="10"/>
  <c r="BD62" i="10"/>
  <c r="E787" i="10" s="1"/>
  <c r="BC62" i="10"/>
  <c r="E786" i="10" s="1"/>
  <c r="AV62" i="10"/>
  <c r="E779" i="10" s="1"/>
  <c r="AU62" i="10"/>
  <c r="E778" i="10" s="1"/>
  <c r="AN62" i="10"/>
  <c r="E771" i="10" s="1"/>
  <c r="AM62" i="10"/>
  <c r="E770" i="10" s="1"/>
  <c r="AF62" i="10"/>
  <c r="E763" i="10" s="1"/>
  <c r="AE62" i="10"/>
  <c r="E762" i="10" s="1"/>
  <c r="X62" i="10"/>
  <c r="E755" i="10" s="1"/>
  <c r="W62" i="10"/>
  <c r="E754" i="10" s="1"/>
  <c r="T62" i="10"/>
  <c r="P62" i="10"/>
  <c r="E747" i="10" s="1"/>
  <c r="O62" i="10"/>
  <c r="E746" i="10" s="1"/>
  <c r="L62" i="10"/>
  <c r="H62" i="10"/>
  <c r="E739" i="10" s="1"/>
  <c r="G62" i="10"/>
  <c r="E738" i="10" s="1"/>
  <c r="F62" i="10"/>
  <c r="E737" i="10" s="1"/>
  <c r="CE61" i="10"/>
  <c r="D816" i="10" s="1"/>
  <c r="CE60" i="10"/>
  <c r="AY59" i="10"/>
  <c r="AR59" i="10"/>
  <c r="AI59" i="10"/>
  <c r="AG59" i="10"/>
  <c r="AE59" i="10"/>
  <c r="AA59" i="10"/>
  <c r="Y59" i="10"/>
  <c r="B756" i="10" s="1"/>
  <c r="W59" i="10"/>
  <c r="V59" i="10"/>
  <c r="U59" i="10"/>
  <c r="R59" i="10"/>
  <c r="Q59" i="10"/>
  <c r="P59" i="10"/>
  <c r="O59" i="10"/>
  <c r="B746" i="10" s="1"/>
  <c r="J59" i="10"/>
  <c r="E59" i="10"/>
  <c r="B736" i="10" s="1"/>
  <c r="B52" i="10"/>
  <c r="CE51" i="10"/>
  <c r="B49" i="10"/>
  <c r="CC48" i="10"/>
  <c r="CC62" i="10" s="1"/>
  <c r="E812" i="10" s="1"/>
  <c r="CB48" i="10"/>
  <c r="CA48" i="10"/>
  <c r="BZ48" i="10"/>
  <c r="BZ62" i="10" s="1"/>
  <c r="BY48" i="10"/>
  <c r="BY62" i="10" s="1"/>
  <c r="BX48" i="10"/>
  <c r="BW48" i="10"/>
  <c r="BW62" i="10" s="1"/>
  <c r="BV48" i="10"/>
  <c r="BV62" i="10" s="1"/>
  <c r="BU48" i="10"/>
  <c r="BU62" i="10" s="1"/>
  <c r="E804" i="10" s="1"/>
  <c r="BT48" i="10"/>
  <c r="BS48" i="10"/>
  <c r="BR48" i="10"/>
  <c r="BQ48" i="10"/>
  <c r="BQ62" i="10" s="1"/>
  <c r="BP48" i="10"/>
  <c r="BP62" i="10" s="1"/>
  <c r="BO48" i="10"/>
  <c r="BO62" i="10" s="1"/>
  <c r="BN48" i="10"/>
  <c r="BN62" i="10" s="1"/>
  <c r="BM48" i="10"/>
  <c r="BM62" i="10" s="1"/>
  <c r="E796" i="10" s="1"/>
  <c r="BL48" i="10"/>
  <c r="BK48" i="10"/>
  <c r="BJ48" i="10"/>
  <c r="BJ62" i="10" s="1"/>
  <c r="BI48" i="10"/>
  <c r="BI62" i="10" s="1"/>
  <c r="BH48" i="10"/>
  <c r="BG48" i="10"/>
  <c r="BG62" i="10" s="1"/>
  <c r="BF48" i="10"/>
  <c r="BF62" i="10" s="1"/>
  <c r="BE48" i="10"/>
  <c r="BE62" i="10" s="1"/>
  <c r="E788" i="10" s="1"/>
  <c r="BD48" i="10"/>
  <c r="BC48" i="10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E780" i="10" s="1"/>
  <c r="AV48" i="10"/>
  <c r="AU48" i="10"/>
  <c r="AT48" i="10"/>
  <c r="AT62" i="10" s="1"/>
  <c r="AS48" i="10"/>
  <c r="AS62" i="10" s="1"/>
  <c r="AR48" i="10"/>
  <c r="AR62" i="10" s="1"/>
  <c r="AQ48" i="10"/>
  <c r="AQ62" i="10" s="1"/>
  <c r="AP48" i="10"/>
  <c r="AP62" i="10" s="1"/>
  <c r="AO48" i="10"/>
  <c r="AO62" i="10" s="1"/>
  <c r="E772" i="10" s="1"/>
  <c r="AN48" i="10"/>
  <c r="AM48" i="10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G62" i="10" s="1"/>
  <c r="E764" i="10" s="1"/>
  <c r="AF48" i="10"/>
  <c r="AE48" i="10"/>
  <c r="AD48" i="10"/>
  <c r="AD62" i="10" s="1"/>
  <c r="AC48" i="10"/>
  <c r="AC62" i="10" s="1"/>
  <c r="AB48" i="10"/>
  <c r="AB62" i="10" s="1"/>
  <c r="AA48" i="10"/>
  <c r="AA62" i="10" s="1"/>
  <c r="Z48" i="10"/>
  <c r="Z62" i="10" s="1"/>
  <c r="Y48" i="10"/>
  <c r="Y62" i="10" s="1"/>
  <c r="E756" i="10" s="1"/>
  <c r="X48" i="10"/>
  <c r="W48" i="10"/>
  <c r="V48" i="10"/>
  <c r="V62" i="10" s="1"/>
  <c r="U48" i="10"/>
  <c r="U62" i="10" s="1"/>
  <c r="T48" i="10"/>
  <c r="S48" i="10"/>
  <c r="S62" i="10" s="1"/>
  <c r="R48" i="10"/>
  <c r="R62" i="10" s="1"/>
  <c r="Q48" i="10"/>
  <c r="Q62" i="10" s="1"/>
  <c r="E748" i="10" s="1"/>
  <c r="P48" i="10"/>
  <c r="O48" i="10"/>
  <c r="N48" i="10"/>
  <c r="N62" i="10" s="1"/>
  <c r="M48" i="10"/>
  <c r="M62" i="10" s="1"/>
  <c r="L48" i="10"/>
  <c r="K48" i="10"/>
  <c r="K62" i="10" s="1"/>
  <c r="J48" i="10"/>
  <c r="J62" i="10" s="1"/>
  <c r="I48" i="10"/>
  <c r="I62" i="10" s="1"/>
  <c r="E740" i="10" s="1"/>
  <c r="H48" i="10"/>
  <c r="G48" i="10"/>
  <c r="F48" i="10"/>
  <c r="E48" i="10"/>
  <c r="E62" i="10" s="1"/>
  <c r="D48" i="10"/>
  <c r="D62" i="10" s="1"/>
  <c r="C48" i="10"/>
  <c r="C62" i="10" s="1"/>
  <c r="CE47" i="10"/>
  <c r="E736" i="10" l="1"/>
  <c r="E768" i="10"/>
  <c r="E800" i="10"/>
  <c r="E761" i="10"/>
  <c r="E744" i="10"/>
  <c r="E784" i="10"/>
  <c r="E785" i="10"/>
  <c r="E776" i="10"/>
  <c r="E745" i="10"/>
  <c r="E793" i="10"/>
  <c r="E752" i="10"/>
  <c r="E792" i="10"/>
  <c r="E753" i="10"/>
  <c r="E777" i="10"/>
  <c r="E809" i="10"/>
  <c r="E760" i="10"/>
  <c r="E808" i="10"/>
  <c r="E769" i="10"/>
  <c r="E735" i="10"/>
  <c r="E759" i="10"/>
  <c r="E767" i="10"/>
  <c r="E775" i="10"/>
  <c r="E783" i="10"/>
  <c r="E799" i="10"/>
  <c r="F537" i="10"/>
  <c r="B752" i="10"/>
  <c r="E514" i="10"/>
  <c r="B775" i="10"/>
  <c r="E537" i="10"/>
  <c r="H816" i="10"/>
  <c r="C431" i="10"/>
  <c r="F510" i="10"/>
  <c r="Q815" i="10"/>
  <c r="B764" i="10"/>
  <c r="E526" i="10"/>
  <c r="E801" i="10"/>
  <c r="B749" i="10"/>
  <c r="E511" i="10"/>
  <c r="B53" i="10"/>
  <c r="E544" i="10"/>
  <c r="B782" i="10"/>
  <c r="CF77" i="10"/>
  <c r="I816" i="10"/>
  <c r="C432" i="10"/>
  <c r="H504" i="10"/>
  <c r="F504" i="10"/>
  <c r="H530" i="10"/>
  <c r="F530" i="10"/>
  <c r="B766" i="10"/>
  <c r="E528" i="10"/>
  <c r="B753" i="10"/>
  <c r="E515" i="10"/>
  <c r="E807" i="10"/>
  <c r="E749" i="10"/>
  <c r="E765" i="10"/>
  <c r="E781" i="10"/>
  <c r="E797" i="10"/>
  <c r="CE48" i="10"/>
  <c r="E741" i="10"/>
  <c r="E757" i="10"/>
  <c r="E773" i="10"/>
  <c r="E789" i="10"/>
  <c r="E805" i="10"/>
  <c r="L816" i="10"/>
  <c r="C440" i="10"/>
  <c r="R816" i="10"/>
  <c r="I612" i="10"/>
  <c r="D465" i="10"/>
  <c r="D438" i="10"/>
  <c r="E734" i="10"/>
  <c r="CE62" i="10"/>
  <c r="E742" i="10"/>
  <c r="E750" i="10"/>
  <c r="E758" i="10"/>
  <c r="E766" i="10"/>
  <c r="E774" i="10"/>
  <c r="E782" i="10"/>
  <c r="E790" i="10"/>
  <c r="E798" i="10"/>
  <c r="E806" i="10"/>
  <c r="E810" i="10"/>
  <c r="J612" i="10"/>
  <c r="S816" i="10"/>
  <c r="C468" i="10"/>
  <c r="E204" i="10"/>
  <c r="C476" i="10" s="1"/>
  <c r="B444" i="10"/>
  <c r="CD722" i="10"/>
  <c r="D242" i="10"/>
  <c r="B448" i="10" s="1"/>
  <c r="C434" i="10"/>
  <c r="F528" i="10"/>
  <c r="B748" i="10"/>
  <c r="E510" i="10"/>
  <c r="E751" i="10"/>
  <c r="E791" i="10"/>
  <c r="E743" i="10"/>
  <c r="B747" i="10"/>
  <c r="E509" i="10"/>
  <c r="B762" i="10"/>
  <c r="E524" i="10"/>
  <c r="F498" i="10"/>
  <c r="F612" i="10"/>
  <c r="B754" i="10"/>
  <c r="E516" i="10"/>
  <c r="BI730" i="10"/>
  <c r="C816" i="10"/>
  <c r="CE76" i="10"/>
  <c r="T816" i="10"/>
  <c r="L612" i="10"/>
  <c r="H497" i="10"/>
  <c r="F497" i="10"/>
  <c r="F515" i="10"/>
  <c r="B741" i="10"/>
  <c r="E503" i="10"/>
  <c r="O816" i="10"/>
  <c r="C463" i="10"/>
  <c r="CE75" i="10"/>
  <c r="C427" i="10"/>
  <c r="F522" i="10"/>
  <c r="F529" i="10"/>
  <c r="C815" i="10"/>
  <c r="M815" i="10"/>
  <c r="B758" i="10"/>
  <c r="E520" i="10"/>
  <c r="F816" i="10"/>
  <c r="C429" i="10"/>
  <c r="P815" i="10"/>
  <c r="H538" i="10"/>
  <c r="F538" i="10"/>
  <c r="D815" i="10"/>
  <c r="N815" i="10"/>
  <c r="F496" i="10"/>
  <c r="H505" i="10"/>
  <c r="F505" i="10"/>
  <c r="F516" i="10"/>
  <c r="F815" i="10"/>
  <c r="O815" i="10"/>
  <c r="D292" i="10"/>
  <c r="D341" i="10" s="1"/>
  <c r="C481" i="10" s="1"/>
  <c r="E508" i="10"/>
  <c r="E518" i="10"/>
  <c r="F546" i="10"/>
  <c r="L815" i="10"/>
  <c r="F517" i="10"/>
  <c r="F523" i="10"/>
  <c r="F531" i="10"/>
  <c r="F539" i="10"/>
  <c r="H815" i="10"/>
  <c r="D368" i="10"/>
  <c r="D373" i="10" s="1"/>
  <c r="D391" i="10" s="1"/>
  <c r="D393" i="10" s="1"/>
  <c r="D396" i="10" s="1"/>
  <c r="I815" i="10"/>
  <c r="R815" i="10"/>
  <c r="G815" i="10"/>
  <c r="S815" i="10"/>
  <c r="K815" i="10"/>
  <c r="AD52" i="10" l="1"/>
  <c r="AD67" i="10" s="1"/>
  <c r="BS52" i="10"/>
  <c r="BS67" i="10" s="1"/>
  <c r="BI52" i="10"/>
  <c r="BI67" i="10" s="1"/>
  <c r="AT52" i="10"/>
  <c r="AT67" i="10" s="1"/>
  <c r="N816" i="10"/>
  <c r="K612" i="10"/>
  <c r="C465" i="10"/>
  <c r="BM52" i="10"/>
  <c r="BM67" i="10" s="1"/>
  <c r="E816" i="10"/>
  <c r="C428" i="10"/>
  <c r="BQ52" i="10"/>
  <c r="BQ67" i="10" s="1"/>
  <c r="BB52" i="10"/>
  <c r="BB67" i="10" s="1"/>
  <c r="P52" i="10"/>
  <c r="P67" i="10" s="1"/>
  <c r="P816" i="10"/>
  <c r="D612" i="10"/>
  <c r="CF76" i="10"/>
  <c r="AI52" i="10" s="1"/>
  <c r="AI67" i="10" s="1"/>
  <c r="AY52" i="10"/>
  <c r="AY67" i="10" s="1"/>
  <c r="BL52" i="10"/>
  <c r="BL67" i="10" s="1"/>
  <c r="AE52" i="10"/>
  <c r="AE67" i="10" s="1"/>
  <c r="R52" i="10"/>
  <c r="R67" i="10" s="1"/>
  <c r="BC52" i="10"/>
  <c r="BC67" i="10" s="1"/>
  <c r="E815" i="10"/>
  <c r="U52" i="10"/>
  <c r="U67" i="10" s="1"/>
  <c r="F52" i="10"/>
  <c r="F67" i="10" s="1"/>
  <c r="BR52" i="10"/>
  <c r="BR67" i="10" s="1"/>
  <c r="J766" i="10" l="1"/>
  <c r="AI71" i="10"/>
  <c r="J801" i="10"/>
  <c r="BR71" i="10"/>
  <c r="J777" i="10"/>
  <c r="AT71" i="10"/>
  <c r="J737" i="10"/>
  <c r="F71" i="10"/>
  <c r="J761" i="10"/>
  <c r="AD71" i="10"/>
  <c r="BX52" i="10"/>
  <c r="BX67" i="10" s="1"/>
  <c r="AS52" i="10"/>
  <c r="AS67" i="10" s="1"/>
  <c r="J786" i="10"/>
  <c r="BC71" i="10"/>
  <c r="J802" i="10"/>
  <c r="BS71" i="10"/>
  <c r="J792" i="10"/>
  <c r="BI71" i="10"/>
  <c r="J800" i="10"/>
  <c r="BQ71" i="10"/>
  <c r="E52" i="10"/>
  <c r="E67" i="10" s="1"/>
  <c r="J785" i="10"/>
  <c r="BB71" i="10"/>
  <c r="J752" i="10"/>
  <c r="U71" i="10"/>
  <c r="AO52" i="10"/>
  <c r="AO67" i="10" s="1"/>
  <c r="J796" i="10"/>
  <c r="BM71" i="10"/>
  <c r="J795" i="10"/>
  <c r="BL71" i="10"/>
  <c r="J762" i="10"/>
  <c r="AE71" i="10"/>
  <c r="CC52" i="10"/>
  <c r="CC67" i="10" s="1"/>
  <c r="BU52" i="10"/>
  <c r="BU67" i="10" s="1"/>
  <c r="AL52" i="10"/>
  <c r="AL67" i="10" s="1"/>
  <c r="BA52" i="10"/>
  <c r="BA67" i="10" s="1"/>
  <c r="BP52" i="10"/>
  <c r="BP67" i="10" s="1"/>
  <c r="D52" i="10"/>
  <c r="D67" i="10" s="1"/>
  <c r="AK52" i="10"/>
  <c r="AK67" i="10" s="1"/>
  <c r="S52" i="10"/>
  <c r="S67" i="10" s="1"/>
  <c r="AR52" i="10"/>
  <c r="AR67" i="10" s="1"/>
  <c r="Z52" i="10"/>
  <c r="Z67" i="10" s="1"/>
  <c r="CB52" i="10"/>
  <c r="CB67" i="10" s="1"/>
  <c r="V52" i="10"/>
  <c r="V67" i="10" s="1"/>
  <c r="BK52" i="10"/>
  <c r="BK67" i="10" s="1"/>
  <c r="Y52" i="10"/>
  <c r="Y67" i="10" s="1"/>
  <c r="BZ52" i="10"/>
  <c r="BZ67" i="10" s="1"/>
  <c r="BE52" i="10"/>
  <c r="BE67" i="10" s="1"/>
  <c r="AG52" i="10"/>
  <c r="AG67" i="10" s="1"/>
  <c r="BO52" i="10"/>
  <c r="BO67" i="10" s="1"/>
  <c r="AZ52" i="10"/>
  <c r="AZ67" i="10" s="1"/>
  <c r="AC52" i="10"/>
  <c r="AC67" i="10" s="1"/>
  <c r="AA52" i="10"/>
  <c r="AA67" i="10" s="1"/>
  <c r="X52" i="10"/>
  <c r="X67" i="10" s="1"/>
  <c r="AP52" i="10"/>
  <c r="AP67" i="10" s="1"/>
  <c r="O52" i="10"/>
  <c r="O67" i="10" s="1"/>
  <c r="N52" i="10"/>
  <c r="N67" i="10" s="1"/>
  <c r="BV52" i="10"/>
  <c r="BV67" i="10" s="1"/>
  <c r="AM52" i="10"/>
  <c r="AM67" i="10" s="1"/>
  <c r="I52" i="10"/>
  <c r="I67" i="10" s="1"/>
  <c r="H52" i="10"/>
  <c r="H67" i="10" s="1"/>
  <c r="L52" i="10"/>
  <c r="L67" i="10" s="1"/>
  <c r="BD52" i="10"/>
  <c r="BD67" i="10" s="1"/>
  <c r="BN52" i="10"/>
  <c r="BN67" i="10" s="1"/>
  <c r="M52" i="10"/>
  <c r="M67" i="10" s="1"/>
  <c r="BG52" i="10"/>
  <c r="BG67" i="10" s="1"/>
  <c r="K52" i="10"/>
  <c r="K67" i="10" s="1"/>
  <c r="J747" i="10"/>
  <c r="P71" i="10"/>
  <c r="J749" i="10"/>
  <c r="R71" i="10"/>
  <c r="J782" i="10"/>
  <c r="AY71" i="10"/>
  <c r="AJ52" i="10"/>
  <c r="AJ67" i="10" s="1"/>
  <c r="AH52" i="10"/>
  <c r="AH67" i="10" s="1"/>
  <c r="BH52" i="10"/>
  <c r="BH67" i="10" s="1"/>
  <c r="AW52" i="10"/>
  <c r="AW67" i="10" s="1"/>
  <c r="BT52" i="10"/>
  <c r="BT67" i="10" s="1"/>
  <c r="BJ52" i="10"/>
  <c r="BJ67" i="10" s="1"/>
  <c r="T52" i="10"/>
  <c r="T67" i="10" s="1"/>
  <c r="J52" i="10"/>
  <c r="J67" i="10" s="1"/>
  <c r="G52" i="10"/>
  <c r="G67" i="10" s="1"/>
  <c r="BY52" i="10"/>
  <c r="BY67" i="10" s="1"/>
  <c r="AQ52" i="10"/>
  <c r="AQ67" i="10" s="1"/>
  <c r="W52" i="10"/>
  <c r="W67" i="10" s="1"/>
  <c r="AX52" i="10"/>
  <c r="AX67" i="10" s="1"/>
  <c r="AF52" i="10"/>
  <c r="AF67" i="10" s="1"/>
  <c r="AU52" i="10"/>
  <c r="AU67" i="10" s="1"/>
  <c r="BF52" i="10"/>
  <c r="BF67" i="10" s="1"/>
  <c r="AN52" i="10"/>
  <c r="AN67" i="10" s="1"/>
  <c r="AB52" i="10"/>
  <c r="AB67" i="10" s="1"/>
  <c r="AV52" i="10"/>
  <c r="AV67" i="10" s="1"/>
  <c r="BW52" i="10"/>
  <c r="BW67" i="10" s="1"/>
  <c r="Q52" i="10"/>
  <c r="Q67" i="10" s="1"/>
  <c r="CA52" i="10"/>
  <c r="CA67" i="10" s="1"/>
  <c r="C52" i="10"/>
  <c r="J797" i="10" l="1"/>
  <c r="BN71" i="10"/>
  <c r="J773" i="10"/>
  <c r="AP71" i="10"/>
  <c r="J768" i="10"/>
  <c r="AK71" i="10"/>
  <c r="C632" i="10"/>
  <c r="C547" i="10"/>
  <c r="J748" i="10"/>
  <c r="Q71" i="10"/>
  <c r="J781" i="10"/>
  <c r="AX71" i="10"/>
  <c r="J803" i="10"/>
  <c r="BT71" i="10"/>
  <c r="J743" i="10"/>
  <c r="L71" i="10"/>
  <c r="J755" i="10"/>
  <c r="X71" i="10"/>
  <c r="J756" i="10"/>
  <c r="Y71" i="10"/>
  <c r="J735" i="10"/>
  <c r="D71" i="10"/>
  <c r="C637" i="10"/>
  <c r="C557" i="10"/>
  <c r="C633" i="10"/>
  <c r="C548" i="10"/>
  <c r="C711" i="10"/>
  <c r="C539" i="10"/>
  <c r="G539" i="10" s="1"/>
  <c r="J778" i="10"/>
  <c r="AU71" i="10"/>
  <c r="J750" i="10"/>
  <c r="S71" i="10"/>
  <c r="J810" i="10"/>
  <c r="CA71" i="10"/>
  <c r="C511" i="10"/>
  <c r="C683" i="10"/>
  <c r="J806" i="10"/>
  <c r="BW71" i="10"/>
  <c r="J758" i="10"/>
  <c r="AA71" i="10"/>
  <c r="J779" i="10"/>
  <c r="AV71" i="10"/>
  <c r="J791" i="10"/>
  <c r="BH71" i="10"/>
  <c r="J740" i="10"/>
  <c r="I71" i="10"/>
  <c r="J760" i="10"/>
  <c r="AC71" i="10"/>
  <c r="J753" i="10"/>
  <c r="V71" i="10"/>
  <c r="J784" i="10"/>
  <c r="BA71" i="10"/>
  <c r="C638" i="10"/>
  <c r="C558" i="10"/>
  <c r="C562" i="10"/>
  <c r="C623" i="10"/>
  <c r="J776" i="10"/>
  <c r="AS71" i="10"/>
  <c r="C626" i="10"/>
  <c r="C563" i="10"/>
  <c r="J751" i="10"/>
  <c r="T71" i="10"/>
  <c r="C696" i="10"/>
  <c r="C524" i="10"/>
  <c r="J787" i="10"/>
  <c r="BD71" i="10"/>
  <c r="C681" i="10"/>
  <c r="C509" i="10"/>
  <c r="J736" i="10"/>
  <c r="E71" i="10"/>
  <c r="J759" i="10"/>
  <c r="AB71" i="10"/>
  <c r="J808" i="10"/>
  <c r="BY71" i="10"/>
  <c r="J765" i="10"/>
  <c r="AH71" i="10"/>
  <c r="J742" i="10"/>
  <c r="K71" i="10"/>
  <c r="J770" i="10"/>
  <c r="AM71" i="10"/>
  <c r="J783" i="10"/>
  <c r="AZ71" i="10"/>
  <c r="J811" i="10"/>
  <c r="CB71" i="10"/>
  <c r="J769" i="10"/>
  <c r="AL71" i="10"/>
  <c r="J807" i="10"/>
  <c r="BX71" i="10"/>
  <c r="C67" i="10"/>
  <c r="CE52" i="10"/>
  <c r="J788" i="10"/>
  <c r="BE71" i="10"/>
  <c r="C671" i="10"/>
  <c r="C499" i="10"/>
  <c r="G499" i="10" s="1"/>
  <c r="J763" i="10"/>
  <c r="AF71" i="10"/>
  <c r="J809" i="10"/>
  <c r="BZ71" i="10"/>
  <c r="J754" i="10"/>
  <c r="W71" i="10"/>
  <c r="J739" i="10"/>
  <c r="H71" i="10"/>
  <c r="J799" i="10"/>
  <c r="BP71" i="10"/>
  <c r="J771" i="10"/>
  <c r="AN71" i="10"/>
  <c r="J738" i="10"/>
  <c r="G71" i="10"/>
  <c r="J790" i="10"/>
  <c r="BG71" i="10"/>
  <c r="J805" i="10"/>
  <c r="BV71" i="10"/>
  <c r="J798" i="10"/>
  <c r="BO71" i="10"/>
  <c r="J757" i="10"/>
  <c r="Z71" i="10"/>
  <c r="J804" i="10"/>
  <c r="BU71" i="10"/>
  <c r="J772" i="10"/>
  <c r="AO71" i="10"/>
  <c r="C554" i="10"/>
  <c r="C634" i="10"/>
  <c r="C695" i="10"/>
  <c r="C523" i="10"/>
  <c r="G523" i="10" s="1"/>
  <c r="C700" i="10"/>
  <c r="C528" i="10"/>
  <c r="J746" i="10"/>
  <c r="O71" i="10"/>
  <c r="C639" i="10"/>
  <c r="C564" i="10"/>
  <c r="J793" i="10"/>
  <c r="BJ71" i="10"/>
  <c r="J780" i="10"/>
  <c r="AW71" i="10"/>
  <c r="J794" i="10"/>
  <c r="BK71" i="10"/>
  <c r="J774" i="10"/>
  <c r="AQ71" i="10"/>
  <c r="J767" i="10"/>
  <c r="AJ71" i="10"/>
  <c r="J789" i="10"/>
  <c r="BF71" i="10"/>
  <c r="J741" i="10"/>
  <c r="J71" i="10"/>
  <c r="C625" i="10"/>
  <c r="C544" i="10"/>
  <c r="J744" i="10"/>
  <c r="M71" i="10"/>
  <c r="J745" i="10"/>
  <c r="N71" i="10"/>
  <c r="J764" i="10"/>
  <c r="AG71" i="10"/>
  <c r="J775" i="10"/>
  <c r="AR71" i="10"/>
  <c r="J812" i="10"/>
  <c r="CC71" i="10"/>
  <c r="C686" i="10"/>
  <c r="C514" i="10"/>
  <c r="C556" i="10" l="1"/>
  <c r="C635" i="10"/>
  <c r="C644" i="10"/>
  <c r="C569" i="10"/>
  <c r="C684" i="10"/>
  <c r="C512" i="10"/>
  <c r="G514" i="10"/>
  <c r="H514" i="10" s="1"/>
  <c r="C679" i="10"/>
  <c r="C507" i="10"/>
  <c r="G507" i="10" s="1"/>
  <c r="C631" i="10"/>
  <c r="C542" i="10"/>
  <c r="G528" i="10"/>
  <c r="H528" i="10" s="1"/>
  <c r="C641" i="10"/>
  <c r="C566" i="10"/>
  <c r="C618" i="10"/>
  <c r="C552" i="10"/>
  <c r="C673" i="10"/>
  <c r="C501" i="10"/>
  <c r="G501" i="10" s="1"/>
  <c r="C703" i="10"/>
  <c r="C531" i="10"/>
  <c r="G531" i="10" s="1"/>
  <c r="C676" i="10"/>
  <c r="C504" i="10"/>
  <c r="G504" i="10" s="1"/>
  <c r="C670" i="10"/>
  <c r="C498" i="10"/>
  <c r="C513" i="10"/>
  <c r="C685" i="10"/>
  <c r="C674" i="10"/>
  <c r="C502" i="10"/>
  <c r="G502" i="10" s="1"/>
  <c r="C568" i="10"/>
  <c r="C643" i="10"/>
  <c r="C712" i="10"/>
  <c r="C540" i="10"/>
  <c r="G540" i="10" s="1"/>
  <c r="C669" i="10"/>
  <c r="C497" i="10"/>
  <c r="G497" i="10" s="1"/>
  <c r="C640" i="10"/>
  <c r="C565" i="10"/>
  <c r="C530" i="10"/>
  <c r="G530" i="10" s="1"/>
  <c r="C702" i="10"/>
  <c r="C680" i="10"/>
  <c r="C508" i="10"/>
  <c r="C693" i="10"/>
  <c r="C521" i="10"/>
  <c r="C692" i="10"/>
  <c r="C520" i="10"/>
  <c r="C629" i="10"/>
  <c r="C551" i="10"/>
  <c r="C567" i="10"/>
  <c r="C642" i="10"/>
  <c r="C505" i="10"/>
  <c r="G505" i="10" s="1"/>
  <c r="C677" i="10"/>
  <c r="C620" i="10"/>
  <c r="C574" i="10"/>
  <c r="C691" i="10"/>
  <c r="C519" i="10"/>
  <c r="C672" i="10"/>
  <c r="C500" i="10"/>
  <c r="G500" i="10" s="1"/>
  <c r="C688" i="10"/>
  <c r="C516" i="10"/>
  <c r="C550" i="10"/>
  <c r="C614" i="10"/>
  <c r="C622" i="10"/>
  <c r="C573" i="10"/>
  <c r="C699" i="10"/>
  <c r="C527" i="10"/>
  <c r="G509" i="10"/>
  <c r="H509" i="10" s="1"/>
  <c r="C630" i="10"/>
  <c r="C546" i="10"/>
  <c r="C636" i="10"/>
  <c r="C553" i="10"/>
  <c r="C690" i="10"/>
  <c r="C518" i="10"/>
  <c r="C543" i="10"/>
  <c r="C616" i="10"/>
  <c r="C707" i="10"/>
  <c r="C535" i="10"/>
  <c r="C704" i="10"/>
  <c r="C532" i="10"/>
  <c r="G532" i="10" s="1"/>
  <c r="G511" i="10"/>
  <c r="H511" i="10"/>
  <c r="C698" i="10"/>
  <c r="C526" i="10"/>
  <c r="C706" i="10"/>
  <c r="C534" i="10"/>
  <c r="G534" i="10" s="1"/>
  <c r="C525" i="10"/>
  <c r="G525" i="10" s="1"/>
  <c r="C697" i="10"/>
  <c r="G524" i="10"/>
  <c r="H524" i="10"/>
  <c r="C701" i="10"/>
  <c r="C529" i="10"/>
  <c r="C709" i="10"/>
  <c r="C537" i="10"/>
  <c r="C627" i="10"/>
  <c r="C560" i="10"/>
  <c r="C646" i="10"/>
  <c r="C571" i="10"/>
  <c r="C628" i="10"/>
  <c r="C545" i="10"/>
  <c r="C645" i="10"/>
  <c r="C570" i="10"/>
  <c r="C549" i="10"/>
  <c r="C624" i="10"/>
  <c r="C710" i="10"/>
  <c r="C538" i="10"/>
  <c r="G538" i="10" s="1"/>
  <c r="C687" i="10"/>
  <c r="C515" i="10"/>
  <c r="C713" i="10"/>
  <c r="C541" i="10"/>
  <c r="C647" i="10"/>
  <c r="C572" i="10"/>
  <c r="C689" i="10"/>
  <c r="C517" i="10"/>
  <c r="C682" i="10"/>
  <c r="C510" i="10"/>
  <c r="C559" i="10"/>
  <c r="C619" i="10"/>
  <c r="C675" i="10"/>
  <c r="C503" i="10"/>
  <c r="C621" i="10"/>
  <c r="C561" i="10"/>
  <c r="C694" i="10"/>
  <c r="C522" i="10"/>
  <c r="C678" i="10"/>
  <c r="C506" i="10"/>
  <c r="G506" i="10" s="1"/>
  <c r="C617" i="10"/>
  <c r="C555" i="10"/>
  <c r="G544" i="10"/>
  <c r="H544" i="10" s="1"/>
  <c r="C708" i="10"/>
  <c r="C536" i="10"/>
  <c r="G536" i="10" s="1"/>
  <c r="C705" i="10"/>
  <c r="C533" i="10"/>
  <c r="G533" i="10" s="1"/>
  <c r="J734" i="10"/>
  <c r="J815" i="10" s="1"/>
  <c r="CE67" i="10"/>
  <c r="C71" i="10"/>
  <c r="H503" i="10" l="1"/>
  <c r="G503" i="10"/>
  <c r="H535" i="10"/>
  <c r="G535" i="10"/>
  <c r="G546" i="10"/>
  <c r="H546" i="10"/>
  <c r="C715" i="10"/>
  <c r="D615" i="10"/>
  <c r="C648" i="10"/>
  <c r="M716" i="10" s="1"/>
  <c r="Y816" i="10" s="1"/>
  <c r="G520" i="10"/>
  <c r="H520" i="10" s="1"/>
  <c r="G512" i="10"/>
  <c r="H512" i="10"/>
  <c r="G519" i="10"/>
  <c r="H519" i="10" s="1"/>
  <c r="G537" i="10"/>
  <c r="H537" i="10"/>
  <c r="G522" i="10"/>
  <c r="H522" i="10"/>
  <c r="G510" i="10"/>
  <c r="H510" i="10" s="1"/>
  <c r="G515" i="10"/>
  <c r="H515" i="10"/>
  <c r="G545" i="10"/>
  <c r="H545" i="10"/>
  <c r="G529" i="10"/>
  <c r="H529" i="10"/>
  <c r="G526" i="10"/>
  <c r="H526" i="10" s="1"/>
  <c r="G550" i="10"/>
  <c r="H550" i="10" s="1"/>
  <c r="G516" i="10"/>
  <c r="H516" i="10"/>
  <c r="H521" i="10"/>
  <c r="G521" i="10"/>
  <c r="C668" i="10"/>
  <c r="C496" i="10"/>
  <c r="H513" i="10"/>
  <c r="G513" i="10"/>
  <c r="G517" i="10"/>
  <c r="H517" i="10"/>
  <c r="J816" i="10"/>
  <c r="C433" i="10"/>
  <c r="C441" i="10" s="1"/>
  <c r="CE71" i="10"/>
  <c r="C716" i="10" s="1"/>
  <c r="G518" i="10"/>
  <c r="H518" i="10"/>
  <c r="G527" i="10"/>
  <c r="H527" i="10"/>
  <c r="H508" i="10"/>
  <c r="G508" i="10"/>
  <c r="G498" i="10"/>
  <c r="H498" i="10"/>
  <c r="G496" i="10" l="1"/>
  <c r="H496" i="10"/>
  <c r="D712" i="10"/>
  <c r="D704" i="10"/>
  <c r="D696" i="10"/>
  <c r="D688" i="10"/>
  <c r="D709" i="10"/>
  <c r="D701" i="10"/>
  <c r="D693" i="10"/>
  <c r="D706" i="10"/>
  <c r="D698" i="10"/>
  <c r="D690" i="10"/>
  <c r="D711" i="10"/>
  <c r="D703" i="10"/>
  <c r="D695" i="10"/>
  <c r="D687" i="10"/>
  <c r="D713" i="10"/>
  <c r="D705" i="10"/>
  <c r="D697" i="10"/>
  <c r="D689" i="10"/>
  <c r="D681" i="10"/>
  <c r="D673" i="10"/>
  <c r="D716" i="10"/>
  <c r="D707" i="10"/>
  <c r="D686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1" i="10"/>
  <c r="D685" i="10"/>
  <c r="D677" i="10"/>
  <c r="D669" i="10"/>
  <c r="D627" i="10"/>
  <c r="D692" i="10"/>
  <c r="D679" i="10"/>
  <c r="D672" i="10"/>
  <c r="D628" i="10"/>
  <c r="D621" i="10"/>
  <c r="D710" i="10"/>
  <c r="D680" i="10"/>
  <c r="D625" i="10"/>
  <c r="D620" i="10"/>
  <c r="D674" i="10"/>
  <c r="D647" i="10"/>
  <c r="D619" i="10"/>
  <c r="D700" i="10"/>
  <c r="D694" i="10"/>
  <c r="D682" i="10"/>
  <c r="D668" i="10"/>
  <c r="D645" i="10"/>
  <c r="D629" i="10"/>
  <c r="D618" i="10"/>
  <c r="D708" i="10"/>
  <c r="D622" i="10"/>
  <c r="D699" i="10"/>
  <c r="D646" i="10"/>
  <c r="D617" i="10"/>
  <c r="D616" i="10"/>
  <c r="D684" i="10"/>
  <c r="D678" i="10"/>
  <c r="D626" i="10"/>
  <c r="D671" i="10"/>
  <c r="D670" i="10"/>
  <c r="D623" i="10"/>
  <c r="D676" i="10"/>
  <c r="D702" i="10"/>
  <c r="E612" i="10" l="1"/>
  <c r="D715" i="10"/>
  <c r="E623" i="10"/>
  <c r="E709" i="10" l="1"/>
  <c r="E701" i="10"/>
  <c r="E693" i="10"/>
  <c r="E706" i="10"/>
  <c r="E698" i="10"/>
  <c r="E690" i="10"/>
  <c r="E711" i="10"/>
  <c r="E703" i="10"/>
  <c r="E695" i="10"/>
  <c r="E687" i="10"/>
  <c r="E708" i="10"/>
  <c r="E700" i="10"/>
  <c r="E692" i="10"/>
  <c r="E710" i="10"/>
  <c r="E702" i="10"/>
  <c r="E694" i="10"/>
  <c r="E686" i="10"/>
  <c r="E716" i="10"/>
  <c r="E713" i="10"/>
  <c r="E688" i="10"/>
  <c r="E678" i="10"/>
  <c r="E670" i="10"/>
  <c r="E647" i="10"/>
  <c r="E646" i="10"/>
  <c r="E645" i="10"/>
  <c r="E629" i="10"/>
  <c r="E626" i="10"/>
  <c r="E699" i="10"/>
  <c r="E697" i="10"/>
  <c r="E680" i="10"/>
  <c r="E672" i="10"/>
  <c r="E682" i="10"/>
  <c r="E674" i="10"/>
  <c r="E641" i="10"/>
  <c r="E633" i="10"/>
  <c r="E625" i="10"/>
  <c r="E707" i="10"/>
  <c r="E704" i="10"/>
  <c r="E673" i="10"/>
  <c r="E644" i="10"/>
  <c r="E636" i="10"/>
  <c r="E691" i="10"/>
  <c r="E681" i="10"/>
  <c r="E639" i="10"/>
  <c r="E631" i="10"/>
  <c r="E627" i="10"/>
  <c r="E675" i="10"/>
  <c r="E668" i="10"/>
  <c r="E642" i="10"/>
  <c r="E634" i="10"/>
  <c r="E624" i="10"/>
  <c r="E683" i="10"/>
  <c r="E676" i="10"/>
  <c r="E669" i="10"/>
  <c r="E637" i="10"/>
  <c r="E685" i="10"/>
  <c r="E679" i="10"/>
  <c r="E638" i="10"/>
  <c r="E684" i="10"/>
  <c r="E632" i="10"/>
  <c r="E628" i="10"/>
  <c r="E705" i="10"/>
  <c r="E689" i="10"/>
  <c r="E640" i="10"/>
  <c r="E712" i="10"/>
  <c r="E696" i="10"/>
  <c r="E677" i="10"/>
  <c r="E671" i="10"/>
  <c r="E630" i="10"/>
  <c r="E643" i="10"/>
  <c r="E635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713" i="10"/>
  <c r="F705" i="10"/>
  <c r="F697" i="10"/>
  <c r="F689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1" i="10"/>
  <c r="F685" i="10"/>
  <c r="F677" i="10"/>
  <c r="F669" i="10"/>
  <c r="F627" i="10"/>
  <c r="F712" i="10"/>
  <c r="F710" i="10"/>
  <c r="F679" i="10"/>
  <c r="F671" i="10"/>
  <c r="F625" i="10"/>
  <c r="F704" i="10"/>
  <c r="F686" i="10"/>
  <c r="F680" i="10"/>
  <c r="F673" i="10"/>
  <c r="F681" i="10"/>
  <c r="F674" i="10"/>
  <c r="F647" i="10"/>
  <c r="F694" i="10"/>
  <c r="F688" i="10"/>
  <c r="F682" i="10"/>
  <c r="F668" i="10"/>
  <c r="F676" i="10"/>
  <c r="F645" i="10"/>
  <c r="F629" i="10"/>
  <c r="F709" i="10"/>
  <c r="F684" i="10"/>
  <c r="F646" i="10"/>
  <c r="F628" i="10"/>
  <c r="F678" i="10"/>
  <c r="F672" i="10"/>
  <c r="F696" i="10"/>
  <c r="F626" i="10"/>
  <c r="F693" i="10"/>
  <c r="F670" i="10"/>
  <c r="F702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689" i="10"/>
  <c r="G710" i="10"/>
  <c r="G702" i="10"/>
  <c r="G694" i="10"/>
  <c r="G712" i="10"/>
  <c r="G704" i="10"/>
  <c r="G696" i="10"/>
  <c r="G688" i="10"/>
  <c r="G709" i="10"/>
  <c r="G707" i="10"/>
  <c r="G686" i="10"/>
  <c r="G680" i="10"/>
  <c r="G672" i="10"/>
  <c r="G693" i="10"/>
  <c r="G691" i="10"/>
  <c r="G682" i="10"/>
  <c r="G674" i="10"/>
  <c r="G684" i="10"/>
  <c r="G676" i="10"/>
  <c r="G668" i="10"/>
  <c r="G628" i="10"/>
  <c r="G701" i="10"/>
  <c r="G698" i="10"/>
  <c r="G681" i="10"/>
  <c r="G647" i="10"/>
  <c r="G644" i="10"/>
  <c r="G636" i="10"/>
  <c r="G639" i="10"/>
  <c r="G631" i="10"/>
  <c r="G627" i="10"/>
  <c r="G675" i="10"/>
  <c r="G645" i="10"/>
  <c r="G642" i="10"/>
  <c r="G634" i="10"/>
  <c r="G629" i="10"/>
  <c r="G706" i="10"/>
  <c r="G683" i="10"/>
  <c r="G669" i="10"/>
  <c r="G637" i="10"/>
  <c r="G677" i="10"/>
  <c r="G670" i="10"/>
  <c r="G640" i="10"/>
  <c r="G632" i="10"/>
  <c r="G626" i="10"/>
  <c r="G699" i="10"/>
  <c r="G690" i="10"/>
  <c r="G678" i="10"/>
  <c r="G633" i="10"/>
  <c r="G641" i="10"/>
  <c r="G716" i="10"/>
  <c r="G671" i="10"/>
  <c r="G635" i="10"/>
  <c r="G630" i="10"/>
  <c r="G673" i="10"/>
  <c r="G679" i="10"/>
  <c r="G685" i="10"/>
  <c r="G638" i="10"/>
  <c r="G646" i="10"/>
  <c r="G643" i="10"/>
  <c r="G715" i="10" l="1"/>
  <c r="H628" i="10"/>
  <c r="H708" i="10" l="1"/>
  <c r="H700" i="10"/>
  <c r="H692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09" i="10"/>
  <c r="H701" i="10"/>
  <c r="H693" i="10"/>
  <c r="H711" i="10"/>
  <c r="H685" i="10"/>
  <c r="H677" i="10"/>
  <c r="H669" i="10"/>
  <c r="H695" i="10"/>
  <c r="H679" i="10"/>
  <c r="H671" i="10"/>
  <c r="H706" i="10"/>
  <c r="H704" i="10"/>
  <c r="H681" i="10"/>
  <c r="H673" i="10"/>
  <c r="H674" i="10"/>
  <c r="H639" i="10"/>
  <c r="H631" i="10"/>
  <c r="H688" i="10"/>
  <c r="H682" i="10"/>
  <c r="H675" i="10"/>
  <c r="H668" i="10"/>
  <c r="H645" i="10"/>
  <c r="H642" i="10"/>
  <c r="H634" i="10"/>
  <c r="H629" i="10"/>
  <c r="H683" i="10"/>
  <c r="H676" i="10"/>
  <c r="H637" i="10"/>
  <c r="H703" i="10"/>
  <c r="H684" i="10"/>
  <c r="H670" i="10"/>
  <c r="H640" i="10"/>
  <c r="H632" i="10"/>
  <c r="H712" i="10"/>
  <c r="H696" i="10"/>
  <c r="H690" i="10"/>
  <c r="H687" i="10"/>
  <c r="H678" i="10"/>
  <c r="H646" i="10"/>
  <c r="H643" i="10"/>
  <c r="H635" i="10"/>
  <c r="H633" i="10"/>
  <c r="H672" i="10"/>
  <c r="H641" i="10"/>
  <c r="H698" i="10"/>
  <c r="H636" i="10"/>
  <c r="H644" i="10"/>
  <c r="H680" i="10"/>
  <c r="H638" i="10"/>
  <c r="H647" i="10"/>
  <c r="H630" i="10"/>
  <c r="H715" i="10" l="1"/>
  <c r="I629" i="10"/>
  <c r="I713" i="10" l="1"/>
  <c r="I705" i="10"/>
  <c r="I697" i="10"/>
  <c r="I689" i="10"/>
  <c r="I710" i="10"/>
  <c r="I702" i="10"/>
  <c r="I694" i="10"/>
  <c r="I716" i="10"/>
  <c r="I707" i="10"/>
  <c r="I699" i="10"/>
  <c r="I691" i="10"/>
  <c r="I712" i="10"/>
  <c r="I704" i="10"/>
  <c r="I696" i="10"/>
  <c r="I688" i="10"/>
  <c r="I706" i="10"/>
  <c r="I698" i="10"/>
  <c r="I690" i="10"/>
  <c r="I703" i="10"/>
  <c r="I701" i="10"/>
  <c r="I682" i="10"/>
  <c r="I674" i="10"/>
  <c r="I687" i="10"/>
  <c r="I684" i="10"/>
  <c r="I676" i="10"/>
  <c r="I668" i="10"/>
  <c r="I708" i="10"/>
  <c r="I678" i="10"/>
  <c r="I670" i="10"/>
  <c r="I647" i="10"/>
  <c r="I646" i="10"/>
  <c r="I645" i="10"/>
  <c r="I675" i="10"/>
  <c r="I642" i="10"/>
  <c r="I634" i="10"/>
  <c r="I683" i="10"/>
  <c r="I637" i="10"/>
  <c r="I700" i="10"/>
  <c r="I669" i="10"/>
  <c r="I640" i="10"/>
  <c r="I632" i="10"/>
  <c r="I709" i="10"/>
  <c r="I677" i="10"/>
  <c r="I643" i="10"/>
  <c r="I635" i="10"/>
  <c r="I693" i="10"/>
  <c r="I685" i="10"/>
  <c r="I671" i="10"/>
  <c r="I638" i="10"/>
  <c r="I630" i="10"/>
  <c r="I692" i="10"/>
  <c r="I672" i="10"/>
  <c r="I641" i="10"/>
  <c r="I681" i="10"/>
  <c r="I636" i="10"/>
  <c r="I695" i="10"/>
  <c r="I644" i="10"/>
  <c r="I680" i="10"/>
  <c r="I631" i="10"/>
  <c r="I679" i="10"/>
  <c r="I639" i="10"/>
  <c r="I686" i="10"/>
  <c r="I711" i="10"/>
  <c r="I673" i="10"/>
  <c r="I633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688" i="10"/>
  <c r="J709" i="10"/>
  <c r="J701" i="10"/>
  <c r="J693" i="10"/>
  <c r="J711" i="10"/>
  <c r="J703" i="10"/>
  <c r="J695" i="10"/>
  <c r="J687" i="10"/>
  <c r="J705" i="10"/>
  <c r="J679" i="10"/>
  <c r="J671" i="10"/>
  <c r="J689" i="10"/>
  <c r="J681" i="10"/>
  <c r="J673" i="10"/>
  <c r="J700" i="10"/>
  <c r="J698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2" i="10"/>
  <c r="J668" i="10"/>
  <c r="J645" i="10"/>
  <c r="J676" i="10"/>
  <c r="J669" i="10"/>
  <c r="J706" i="10"/>
  <c r="J697" i="10"/>
  <c r="J684" i="10"/>
  <c r="J677" i="10"/>
  <c r="J670" i="10"/>
  <c r="J713" i="10"/>
  <c r="J690" i="10"/>
  <c r="J685" i="10"/>
  <c r="J678" i="10"/>
  <c r="J646" i="10"/>
  <c r="J672" i="10"/>
  <c r="J680" i="10"/>
  <c r="J674" i="10"/>
  <c r="J692" i="10"/>
  <c r="J647" i="10"/>
  <c r="L647" i="10" s="1"/>
  <c r="J708" i="10"/>
  <c r="K644" i="10" l="1"/>
  <c r="L712" i="10"/>
  <c r="L704" i="10"/>
  <c r="L696" i="10"/>
  <c r="L688" i="10"/>
  <c r="L709" i="10"/>
  <c r="L701" i="10"/>
  <c r="L693" i="10"/>
  <c r="L706" i="10"/>
  <c r="L698" i="10"/>
  <c r="L690" i="10"/>
  <c r="L711" i="10"/>
  <c r="L703" i="10"/>
  <c r="L695" i="10"/>
  <c r="L687" i="10"/>
  <c r="L713" i="10"/>
  <c r="L705" i="10"/>
  <c r="L697" i="10"/>
  <c r="L689" i="10"/>
  <c r="L699" i="10"/>
  <c r="L681" i="10"/>
  <c r="L673" i="10"/>
  <c r="L710" i="10"/>
  <c r="L708" i="10"/>
  <c r="L683" i="10"/>
  <c r="L675" i="10"/>
  <c r="L694" i="10"/>
  <c r="L692" i="10"/>
  <c r="L685" i="10"/>
  <c r="L677" i="10"/>
  <c r="L669" i="10"/>
  <c r="L707" i="10"/>
  <c r="L676" i="10"/>
  <c r="L700" i="10"/>
  <c r="L691" i="10"/>
  <c r="L684" i="10"/>
  <c r="L670" i="10"/>
  <c r="L678" i="10"/>
  <c r="L671" i="10"/>
  <c r="L679" i="10"/>
  <c r="L672" i="10"/>
  <c r="L702" i="10"/>
  <c r="L680" i="10"/>
  <c r="L716" i="10"/>
  <c r="L674" i="10"/>
  <c r="L668" i="10"/>
  <c r="L686" i="10"/>
  <c r="L682" i="10"/>
  <c r="J715" i="10"/>
  <c r="M701" i="10" l="1"/>
  <c r="Y767" i="10" s="1"/>
  <c r="L715" i="10"/>
  <c r="M678" i="10"/>
  <c r="Y744" i="10" s="1"/>
  <c r="M682" i="10"/>
  <c r="Y748" i="10" s="1"/>
  <c r="M674" i="10"/>
  <c r="Y740" i="10" s="1"/>
  <c r="M681" i="10"/>
  <c r="Y747" i="10" s="1"/>
  <c r="M680" i="10"/>
  <c r="Y746" i="10" s="1"/>
  <c r="M689" i="10"/>
  <c r="Y755" i="10" s="1"/>
  <c r="M703" i="10"/>
  <c r="Y769" i="10" s="1"/>
  <c r="M697" i="10"/>
  <c r="Y763" i="10" s="1"/>
  <c r="M698" i="10"/>
  <c r="Y764" i="10" s="1"/>
  <c r="M707" i="10"/>
  <c r="Y773" i="10" s="1"/>
  <c r="M671" i="10"/>
  <c r="Y737" i="10" s="1"/>
  <c r="M672" i="10"/>
  <c r="Y738" i="10" s="1"/>
  <c r="M683" i="10"/>
  <c r="Y749" i="10" s="1"/>
  <c r="M706" i="10"/>
  <c r="Y772" i="10" s="1"/>
  <c r="K716" i="10"/>
  <c r="K707" i="10"/>
  <c r="K699" i="10"/>
  <c r="M699" i="10" s="1"/>
  <c r="Y765" i="10" s="1"/>
  <c r="K691" i="10"/>
  <c r="M691" i="10" s="1"/>
  <c r="Y757" i="10" s="1"/>
  <c r="K712" i="10"/>
  <c r="M712" i="10" s="1"/>
  <c r="Y778" i="10" s="1"/>
  <c r="K704" i="10"/>
  <c r="M704" i="10" s="1"/>
  <c r="Y770" i="10" s="1"/>
  <c r="K696" i="10"/>
  <c r="M696" i="10" s="1"/>
  <c r="Y762" i="10" s="1"/>
  <c r="K688" i="10"/>
  <c r="M688" i="10" s="1"/>
  <c r="Y754" i="10" s="1"/>
  <c r="K709" i="10"/>
  <c r="M709" i="10" s="1"/>
  <c r="Y775" i="10" s="1"/>
  <c r="K701" i="10"/>
  <c r="K693" i="10"/>
  <c r="M693" i="10" s="1"/>
  <c r="Y759" i="10" s="1"/>
  <c r="K706" i="10"/>
  <c r="K698" i="10"/>
  <c r="K690" i="10"/>
  <c r="M690" i="10" s="1"/>
  <c r="Y756" i="10" s="1"/>
  <c r="K708" i="10"/>
  <c r="M708" i="10" s="1"/>
  <c r="Y774" i="10" s="1"/>
  <c r="K700" i="10"/>
  <c r="M700" i="10" s="1"/>
  <c r="Y766" i="10" s="1"/>
  <c r="K692" i="10"/>
  <c r="M692" i="10" s="1"/>
  <c r="Y758" i="10" s="1"/>
  <c r="K697" i="10"/>
  <c r="K695" i="10"/>
  <c r="M695" i="10" s="1"/>
  <c r="Y761" i="10" s="1"/>
  <c r="K684" i="10"/>
  <c r="M684" i="10" s="1"/>
  <c r="Y750" i="10" s="1"/>
  <c r="K676" i="10"/>
  <c r="M676" i="10" s="1"/>
  <c r="Y742" i="10" s="1"/>
  <c r="K668" i="10"/>
  <c r="M668" i="10" s="1"/>
  <c r="K678" i="10"/>
  <c r="K670" i="10"/>
  <c r="M670" i="10" s="1"/>
  <c r="Y736" i="10" s="1"/>
  <c r="K702" i="10"/>
  <c r="M702" i="10" s="1"/>
  <c r="Y768" i="10" s="1"/>
  <c r="K680" i="10"/>
  <c r="K672" i="10"/>
  <c r="K710" i="10"/>
  <c r="M710" i="10" s="1"/>
  <c r="Y776" i="10" s="1"/>
  <c r="K683" i="10"/>
  <c r="K669" i="10"/>
  <c r="M669" i="10" s="1"/>
  <c r="Y735" i="10" s="1"/>
  <c r="K694" i="10"/>
  <c r="M694" i="10" s="1"/>
  <c r="Y760" i="10" s="1"/>
  <c r="K677" i="10"/>
  <c r="M677" i="10" s="1"/>
  <c r="Y743" i="10" s="1"/>
  <c r="K713" i="10"/>
  <c r="M713" i="10" s="1"/>
  <c r="Y779" i="10" s="1"/>
  <c r="K703" i="10"/>
  <c r="K685" i="10"/>
  <c r="M685" i="10" s="1"/>
  <c r="Y751" i="10" s="1"/>
  <c r="K687" i="10"/>
  <c r="M687" i="10" s="1"/>
  <c r="Y753" i="10" s="1"/>
  <c r="K671" i="10"/>
  <c r="K679" i="10"/>
  <c r="M679" i="10" s="1"/>
  <c r="Y745" i="10" s="1"/>
  <c r="K681" i="10"/>
  <c r="K675" i="10"/>
  <c r="M675" i="10" s="1"/>
  <c r="Y741" i="10" s="1"/>
  <c r="K705" i="10"/>
  <c r="M705" i="10" s="1"/>
  <c r="Y771" i="10" s="1"/>
  <c r="K689" i="10"/>
  <c r="K711" i="10"/>
  <c r="M711" i="10" s="1"/>
  <c r="Y777" i="10" s="1"/>
  <c r="K686" i="10"/>
  <c r="M686" i="10" s="1"/>
  <c r="Y752" i="10" s="1"/>
  <c r="K674" i="10"/>
  <c r="K673" i="10"/>
  <c r="M673" i="10" s="1"/>
  <c r="Y739" i="10" s="1"/>
  <c r="K682" i="10"/>
  <c r="M715" i="10" l="1"/>
  <c r="Y734" i="10"/>
  <c r="Y815" i="10" s="1"/>
  <c r="K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/>
  <c r="AQ75" i="1"/>
  <c r="H186" i="9" s="1"/>
  <c r="AO75" i="1"/>
  <c r="AN75" i="1"/>
  <c r="E186" i="9" s="1"/>
  <c r="AM75" i="1"/>
  <c r="D186" i="9" s="1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E197" i="1"/>
  <c r="E198" i="1"/>
  <c r="E199" i="1"/>
  <c r="E200" i="1"/>
  <c r="E201" i="1"/>
  <c r="C473" i="1" s="1"/>
  <c r="E202" i="1"/>
  <c r="C474" i="1" s="1"/>
  <c r="E203" i="1"/>
  <c r="D204" i="1"/>
  <c r="B204" i="1"/>
  <c r="D190" i="1"/>
  <c r="D437" i="1" s="1"/>
  <c r="D186" i="1"/>
  <c r="C34" i="5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40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D368" i="1"/>
  <c r="D330" i="1"/>
  <c r="C86" i="8" s="1"/>
  <c r="D436" i="1"/>
  <c r="F12" i="6"/>
  <c r="C469" i="1"/>
  <c r="F8" i="6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/>
  <c r="Q48" i="1"/>
  <c r="Q62" i="1" s="1"/>
  <c r="C615" i="1"/>
  <c r="B440" i="1"/>
  <c r="C120" i="8"/>
  <c r="I612" i="1"/>
  <c r="E372" i="9"/>
  <c r="BN48" i="1"/>
  <c r="BN62" i="1" s="1"/>
  <c r="C575" i="1"/>
  <c r="G10" i="4"/>
  <c r="F10" i="4"/>
  <c r="I381" i="9"/>
  <c r="F499" i="1"/>
  <c r="H505" i="1"/>
  <c r="F505" i="1"/>
  <c r="H501" i="1"/>
  <c r="F501" i="1"/>
  <c r="F497" i="1"/>
  <c r="H497" i="1"/>
  <c r="H499" i="1"/>
  <c r="F13" i="6" l="1"/>
  <c r="G28" i="4"/>
  <c r="D428" i="1"/>
  <c r="C33" i="8"/>
  <c r="B476" i="1"/>
  <c r="D612" i="1"/>
  <c r="CF76" i="1"/>
  <c r="BI52" i="1" s="1"/>
  <c r="BI67" i="1" s="1"/>
  <c r="G612" i="1"/>
  <c r="I362" i="9"/>
  <c r="I372" i="9"/>
  <c r="C464" i="1"/>
  <c r="C434" i="1"/>
  <c r="C432" i="1"/>
  <c r="C430" i="1"/>
  <c r="I366" i="9"/>
  <c r="C429" i="1"/>
  <c r="AH48" i="1"/>
  <c r="AH62" i="1" s="1"/>
  <c r="AK48" i="1"/>
  <c r="AK62" i="1" s="1"/>
  <c r="O48" i="1"/>
  <c r="O62" i="1" s="1"/>
  <c r="H44" i="9" s="1"/>
  <c r="AV48" i="1"/>
  <c r="AV62" i="1" s="1"/>
  <c r="F204" i="9" s="1"/>
  <c r="CA48" i="1"/>
  <c r="CA62" i="1" s="1"/>
  <c r="AI48" i="1"/>
  <c r="AI62" i="1" s="1"/>
  <c r="BM48" i="1"/>
  <c r="BM62" i="1" s="1"/>
  <c r="BZ48" i="1"/>
  <c r="BZ62" i="1" s="1"/>
  <c r="R48" i="1"/>
  <c r="R62" i="1" s="1"/>
  <c r="D76" i="9" s="1"/>
  <c r="AP48" i="1"/>
  <c r="AP62" i="1" s="1"/>
  <c r="G172" i="9" s="1"/>
  <c r="BD48" i="1"/>
  <c r="BD62" i="1" s="1"/>
  <c r="BV48" i="1"/>
  <c r="BV62" i="1" s="1"/>
  <c r="C48" i="1"/>
  <c r="C62" i="1" s="1"/>
  <c r="C12" i="9" s="1"/>
  <c r="K48" i="1"/>
  <c r="K62" i="1" s="1"/>
  <c r="D44" i="9" s="1"/>
  <c r="BO48" i="1"/>
  <c r="BO62" i="1" s="1"/>
  <c r="D300" i="9" s="1"/>
  <c r="AW48" i="1"/>
  <c r="AW62" i="1" s="1"/>
  <c r="E48" i="1"/>
  <c r="E62" i="1" s="1"/>
  <c r="BS48" i="1"/>
  <c r="BS62" i="1" s="1"/>
  <c r="P48" i="1"/>
  <c r="P62" i="1" s="1"/>
  <c r="J48" i="1"/>
  <c r="J62" i="1" s="1"/>
  <c r="C44" i="9" s="1"/>
  <c r="AD48" i="1"/>
  <c r="AD62" i="1" s="1"/>
  <c r="AL48" i="1"/>
  <c r="AL62" i="1" s="1"/>
  <c r="C172" i="9" s="1"/>
  <c r="AR48" i="1"/>
  <c r="AR62" i="1" s="1"/>
  <c r="AZ48" i="1"/>
  <c r="AZ62" i="1" s="1"/>
  <c r="C236" i="9" s="1"/>
  <c r="BJ48" i="1"/>
  <c r="BJ62" i="1" s="1"/>
  <c r="F268" i="9" s="1"/>
  <c r="BR48" i="1"/>
  <c r="BR62" i="1" s="1"/>
  <c r="BX48" i="1"/>
  <c r="BX62" i="1" s="1"/>
  <c r="F332" i="9" s="1"/>
  <c r="AA48" i="1"/>
  <c r="AA62" i="1" s="1"/>
  <c r="F108" i="9" s="1"/>
  <c r="AY48" i="1"/>
  <c r="AY62" i="1" s="1"/>
  <c r="CC48" i="1"/>
  <c r="CC62" i="1" s="1"/>
  <c r="AG48" i="1"/>
  <c r="AG62" i="1" s="1"/>
  <c r="E140" i="9" s="1"/>
  <c r="BE48" i="1"/>
  <c r="BE62" i="1" s="1"/>
  <c r="BU48" i="1"/>
  <c r="BU62" i="1" s="1"/>
  <c r="U48" i="1"/>
  <c r="U62" i="1" s="1"/>
  <c r="G76" i="9" s="1"/>
  <c r="BA48" i="1"/>
  <c r="BA62" i="1" s="1"/>
  <c r="BI48" i="1"/>
  <c r="BI62" i="1" s="1"/>
  <c r="E268" i="9" s="1"/>
  <c r="AE48" i="1"/>
  <c r="AE62" i="1" s="1"/>
  <c r="AC48" i="1"/>
  <c r="AC62" i="1" s="1"/>
  <c r="H108" i="9" s="1"/>
  <c r="H48" i="1"/>
  <c r="H62" i="1" s="1"/>
  <c r="H12" i="9" s="1"/>
  <c r="X48" i="1"/>
  <c r="X62" i="1" s="1"/>
  <c r="AS48" i="1"/>
  <c r="AS62" i="1" s="1"/>
  <c r="C76" i="9"/>
  <c r="F48" i="1"/>
  <c r="F62" i="1" s="1"/>
  <c r="N48" i="1"/>
  <c r="N62" i="1" s="1"/>
  <c r="G44" i="9" s="1"/>
  <c r="V48" i="1"/>
  <c r="V62" i="1" s="1"/>
  <c r="Z48" i="1"/>
  <c r="Z62" i="1" s="1"/>
  <c r="AF48" i="1"/>
  <c r="AF62" i="1" s="1"/>
  <c r="AJ48" i="1"/>
  <c r="AJ62" i="1" s="1"/>
  <c r="AN48" i="1"/>
  <c r="AN62" i="1" s="1"/>
  <c r="E172" i="9" s="1"/>
  <c r="AT48" i="1"/>
  <c r="AT62" i="1" s="1"/>
  <c r="AX48" i="1"/>
  <c r="AX62" i="1" s="1"/>
  <c r="BB48" i="1"/>
  <c r="BB62" i="1" s="1"/>
  <c r="E236" i="9" s="1"/>
  <c r="BF48" i="1"/>
  <c r="BF62" i="1" s="1"/>
  <c r="BH48" i="1"/>
  <c r="BH62" i="1" s="1"/>
  <c r="D268" i="9" s="1"/>
  <c r="BL48" i="1"/>
  <c r="BL62" i="1" s="1"/>
  <c r="BP48" i="1"/>
  <c r="BP62" i="1" s="1"/>
  <c r="E300" i="9" s="1"/>
  <c r="BT48" i="1"/>
  <c r="BT62" i="1" s="1"/>
  <c r="BY48" i="1"/>
  <c r="BY62" i="1" s="1"/>
  <c r="G332" i="9" s="1"/>
  <c r="CB48" i="1"/>
  <c r="CB62" i="1" s="1"/>
  <c r="C364" i="9" s="1"/>
  <c r="S48" i="1"/>
  <c r="S62" i="1" s="1"/>
  <c r="E76" i="9" s="1"/>
  <c r="AQ48" i="1"/>
  <c r="AQ62" i="1" s="1"/>
  <c r="BG48" i="1"/>
  <c r="BG62" i="1" s="1"/>
  <c r="BW48" i="1"/>
  <c r="BW62" i="1" s="1"/>
  <c r="I48" i="1"/>
  <c r="I62" i="1" s="1"/>
  <c r="I12" i="9" s="1"/>
  <c r="Y48" i="1"/>
  <c r="Y62" i="1" s="1"/>
  <c r="AO48" i="1"/>
  <c r="AO62" i="1" s="1"/>
  <c r="BQ48" i="1"/>
  <c r="BQ62" i="1" s="1"/>
  <c r="C427" i="1"/>
  <c r="AM48" i="1"/>
  <c r="AM62" i="1" s="1"/>
  <c r="D172" i="9" s="1"/>
  <c r="BC48" i="1"/>
  <c r="BC62" i="1" s="1"/>
  <c r="M48" i="1"/>
  <c r="M62" i="1" s="1"/>
  <c r="F44" i="9" s="1"/>
  <c r="AU48" i="1"/>
  <c r="AU62" i="1" s="1"/>
  <c r="G48" i="1"/>
  <c r="G62" i="1" s="1"/>
  <c r="G12" i="9" s="1"/>
  <c r="D48" i="1"/>
  <c r="L48" i="1"/>
  <c r="L62" i="1" s="1"/>
  <c r="T48" i="1"/>
  <c r="T62" i="1" s="1"/>
  <c r="I363" i="9"/>
  <c r="C141" i="8"/>
  <c r="B10" i="4"/>
  <c r="C300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I76" i="9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AW52" i="1" l="1"/>
  <c r="AW67" i="1" s="1"/>
  <c r="G209" i="9" s="1"/>
  <c r="X52" i="1"/>
  <c r="X67" i="1" s="1"/>
  <c r="X71" i="1" s="1"/>
  <c r="C117" i="9" s="1"/>
  <c r="BG52" i="1"/>
  <c r="BG67" i="1" s="1"/>
  <c r="BE52" i="1"/>
  <c r="BE67" i="1" s="1"/>
  <c r="BE71" i="1" s="1"/>
  <c r="C550" i="1" s="1"/>
  <c r="G550" i="1" s="1"/>
  <c r="AM52" i="1"/>
  <c r="AM67" i="1" s="1"/>
  <c r="BZ52" i="1"/>
  <c r="BZ67" i="1" s="1"/>
  <c r="H337" i="9" s="1"/>
  <c r="BP52" i="1"/>
  <c r="BP67" i="1" s="1"/>
  <c r="E305" i="9" s="1"/>
  <c r="I52" i="1"/>
  <c r="I67" i="1" s="1"/>
  <c r="AK52" i="1"/>
  <c r="AK67" i="1" s="1"/>
  <c r="AK71" i="1" s="1"/>
  <c r="C530" i="1" s="1"/>
  <c r="G530" i="1" s="1"/>
  <c r="BY52" i="1"/>
  <c r="BY67" i="1" s="1"/>
  <c r="O52" i="1"/>
  <c r="O67" i="1" s="1"/>
  <c r="N52" i="1"/>
  <c r="N67" i="1" s="1"/>
  <c r="E52" i="1"/>
  <c r="E67" i="1" s="1"/>
  <c r="V52" i="1"/>
  <c r="V67" i="1" s="1"/>
  <c r="BA52" i="1"/>
  <c r="BA67" i="1" s="1"/>
  <c r="D241" i="9" s="1"/>
  <c r="G52" i="1"/>
  <c r="G67" i="1" s="1"/>
  <c r="G17" i="9" s="1"/>
  <c r="D52" i="1"/>
  <c r="D67" i="1" s="1"/>
  <c r="BN52" i="1"/>
  <c r="BN67" i="1" s="1"/>
  <c r="BN71" i="1" s="1"/>
  <c r="C619" i="1" s="1"/>
  <c r="BM52" i="1"/>
  <c r="BM67" i="1" s="1"/>
  <c r="BQ52" i="1"/>
  <c r="BQ67" i="1" s="1"/>
  <c r="BQ71" i="1" s="1"/>
  <c r="F309" i="9" s="1"/>
  <c r="AO52" i="1"/>
  <c r="AO67" i="1" s="1"/>
  <c r="AO71" i="1" s="1"/>
  <c r="CA52" i="1"/>
  <c r="CA67" i="1" s="1"/>
  <c r="BK52" i="1"/>
  <c r="BK67" i="1" s="1"/>
  <c r="G273" i="9" s="1"/>
  <c r="P52" i="1"/>
  <c r="P67" i="1" s="1"/>
  <c r="P71" i="1" s="1"/>
  <c r="AD52" i="1"/>
  <c r="AD67" i="1" s="1"/>
  <c r="AJ52" i="1"/>
  <c r="AJ67" i="1" s="1"/>
  <c r="AJ71" i="1" s="1"/>
  <c r="AN52" i="1"/>
  <c r="AN67" i="1" s="1"/>
  <c r="BL52" i="1"/>
  <c r="BL67" i="1" s="1"/>
  <c r="U52" i="1"/>
  <c r="U67" i="1" s="1"/>
  <c r="G81" i="9" s="1"/>
  <c r="BO52" i="1"/>
  <c r="BO67" i="1" s="1"/>
  <c r="BO71" i="1" s="1"/>
  <c r="C627" i="1" s="1"/>
  <c r="BW52" i="1"/>
  <c r="BW67" i="1" s="1"/>
  <c r="E273" i="9"/>
  <c r="AU52" i="1"/>
  <c r="AU67" i="1" s="1"/>
  <c r="C52" i="1"/>
  <c r="BR52" i="1"/>
  <c r="BR67" i="1" s="1"/>
  <c r="BR71" i="1" s="1"/>
  <c r="C563" i="1" s="1"/>
  <c r="AX52" i="1"/>
  <c r="AX67" i="1" s="1"/>
  <c r="AX71" i="1" s="1"/>
  <c r="C543" i="1" s="1"/>
  <c r="AA52" i="1"/>
  <c r="AA67" i="1" s="1"/>
  <c r="AA71" i="1" s="1"/>
  <c r="C520" i="1" s="1"/>
  <c r="G520" i="1" s="1"/>
  <c r="BV52" i="1"/>
  <c r="BV67" i="1" s="1"/>
  <c r="BV71" i="1" s="1"/>
  <c r="C642" i="1" s="1"/>
  <c r="M52" i="1"/>
  <c r="M67" i="1" s="1"/>
  <c r="M71" i="1" s="1"/>
  <c r="F53" i="9" s="1"/>
  <c r="T52" i="1"/>
  <c r="T67" i="1" s="1"/>
  <c r="CB52" i="1"/>
  <c r="CB67" i="1" s="1"/>
  <c r="CB71" i="1" s="1"/>
  <c r="C622" i="1" s="1"/>
  <c r="AY52" i="1"/>
  <c r="AY67" i="1" s="1"/>
  <c r="AY71" i="1" s="1"/>
  <c r="C625" i="1" s="1"/>
  <c r="F52" i="1"/>
  <c r="F67" i="1" s="1"/>
  <c r="BF52" i="1"/>
  <c r="BF67" i="1" s="1"/>
  <c r="BF71" i="1" s="1"/>
  <c r="C629" i="1" s="1"/>
  <c r="BD52" i="1"/>
  <c r="BD67" i="1" s="1"/>
  <c r="G241" i="9" s="1"/>
  <c r="BS52" i="1"/>
  <c r="BS67" i="1" s="1"/>
  <c r="H305" i="9" s="1"/>
  <c r="AB52" i="1"/>
  <c r="AB67" i="1" s="1"/>
  <c r="AB71" i="1" s="1"/>
  <c r="C693" i="1" s="1"/>
  <c r="S52" i="1"/>
  <c r="S67" i="1" s="1"/>
  <c r="AL52" i="1"/>
  <c r="AL67" i="1" s="1"/>
  <c r="C177" i="9" s="1"/>
  <c r="AI52" i="1"/>
  <c r="AI67" i="1" s="1"/>
  <c r="G145" i="9" s="1"/>
  <c r="BJ52" i="1"/>
  <c r="BJ67" i="1" s="1"/>
  <c r="CC52" i="1"/>
  <c r="CC67" i="1" s="1"/>
  <c r="BX52" i="1"/>
  <c r="BX67" i="1" s="1"/>
  <c r="AC52" i="1"/>
  <c r="AC67" i="1" s="1"/>
  <c r="BB52" i="1"/>
  <c r="BB67" i="1" s="1"/>
  <c r="E241" i="9" s="1"/>
  <c r="L52" i="1"/>
  <c r="L67" i="1" s="1"/>
  <c r="E49" i="9" s="1"/>
  <c r="Y52" i="1"/>
  <c r="Y67" i="1" s="1"/>
  <c r="D113" i="9" s="1"/>
  <c r="AS52" i="1"/>
  <c r="AS67" i="1" s="1"/>
  <c r="C209" i="9" s="1"/>
  <c r="J52" i="1"/>
  <c r="J67" i="1" s="1"/>
  <c r="J71" i="1" s="1"/>
  <c r="C675" i="1" s="1"/>
  <c r="AP52" i="1"/>
  <c r="AP67" i="1" s="1"/>
  <c r="AP71" i="1" s="1"/>
  <c r="C535" i="1" s="1"/>
  <c r="G535" i="1" s="1"/>
  <c r="AT52" i="1"/>
  <c r="AT67" i="1" s="1"/>
  <c r="Z52" i="1"/>
  <c r="Z67" i="1" s="1"/>
  <c r="Z71" i="1" s="1"/>
  <c r="C519" i="1" s="1"/>
  <c r="G519" i="1" s="1"/>
  <c r="AG52" i="1"/>
  <c r="AG67" i="1" s="1"/>
  <c r="AG71" i="1" s="1"/>
  <c r="Q52" i="1"/>
  <c r="Q67" i="1" s="1"/>
  <c r="AR52" i="1"/>
  <c r="AR67" i="1" s="1"/>
  <c r="AF52" i="1"/>
  <c r="AF67" i="1" s="1"/>
  <c r="BU52" i="1"/>
  <c r="BU67" i="1" s="1"/>
  <c r="BU71" i="1" s="1"/>
  <c r="AV52" i="1"/>
  <c r="AV67" i="1" s="1"/>
  <c r="AV71" i="1" s="1"/>
  <c r="C541" i="1" s="1"/>
  <c r="BC52" i="1"/>
  <c r="BC67" i="1" s="1"/>
  <c r="H52" i="1"/>
  <c r="H67" i="1" s="1"/>
  <c r="H71" i="1" s="1"/>
  <c r="C501" i="1" s="1"/>
  <c r="G501" i="1" s="1"/>
  <c r="R52" i="1"/>
  <c r="R67" i="1" s="1"/>
  <c r="BT52" i="1"/>
  <c r="BT67" i="1" s="1"/>
  <c r="AE52" i="1"/>
  <c r="AE67" i="1" s="1"/>
  <c r="AZ52" i="1"/>
  <c r="AZ67" i="1" s="1"/>
  <c r="AZ71" i="1" s="1"/>
  <c r="C245" i="9" s="1"/>
  <c r="BH52" i="1"/>
  <c r="BH67" i="1" s="1"/>
  <c r="K52" i="1"/>
  <c r="K67" i="1" s="1"/>
  <c r="K71" i="1" s="1"/>
  <c r="C676" i="1" s="1"/>
  <c r="W52" i="1"/>
  <c r="W67" i="1" s="1"/>
  <c r="AH52" i="1"/>
  <c r="AH67" i="1" s="1"/>
  <c r="AH71" i="1" s="1"/>
  <c r="AQ52" i="1"/>
  <c r="AQ67" i="1" s="1"/>
  <c r="AQ71" i="1" s="1"/>
  <c r="H181" i="9" s="1"/>
  <c r="BW71" i="1"/>
  <c r="C643" i="1" s="1"/>
  <c r="AW71" i="1"/>
  <c r="G213" i="9" s="1"/>
  <c r="E12" i="9"/>
  <c r="H172" i="9"/>
  <c r="F140" i="9"/>
  <c r="I44" i="9"/>
  <c r="G236" i="9"/>
  <c r="G204" i="9"/>
  <c r="H268" i="9"/>
  <c r="D332" i="9"/>
  <c r="I108" i="9"/>
  <c r="I140" i="9"/>
  <c r="H236" i="9"/>
  <c r="G140" i="9"/>
  <c r="D236" i="9"/>
  <c r="D364" i="9"/>
  <c r="I268" i="9"/>
  <c r="I332" i="9"/>
  <c r="H332" i="9"/>
  <c r="F172" i="9"/>
  <c r="H300" i="9"/>
  <c r="C108" i="9"/>
  <c r="G300" i="9"/>
  <c r="E204" i="9"/>
  <c r="H204" i="9"/>
  <c r="D140" i="9"/>
  <c r="BI71" i="1"/>
  <c r="C634" i="1" s="1"/>
  <c r="C332" i="9"/>
  <c r="I204" i="9"/>
  <c r="E332" i="9"/>
  <c r="D204" i="9"/>
  <c r="F300" i="9"/>
  <c r="C140" i="9"/>
  <c r="I172" i="9"/>
  <c r="E108" i="9"/>
  <c r="H140" i="9"/>
  <c r="C204" i="9"/>
  <c r="F12" i="9"/>
  <c r="I236" i="9"/>
  <c r="H76" i="9"/>
  <c r="F76" i="9"/>
  <c r="F236" i="9"/>
  <c r="I300" i="9"/>
  <c r="E44" i="9"/>
  <c r="D108" i="9"/>
  <c r="D62" i="1"/>
  <c r="CE48" i="1"/>
  <c r="C268" i="9"/>
  <c r="D27" i="7"/>
  <c r="B448" i="1"/>
  <c r="F544" i="1"/>
  <c r="H536" i="1"/>
  <c r="F536" i="1"/>
  <c r="F528" i="1"/>
  <c r="F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AM71" i="1" l="1"/>
  <c r="C532" i="1" s="1"/>
  <c r="G532" i="1" s="1"/>
  <c r="C113" i="9"/>
  <c r="BZ71" i="1"/>
  <c r="C571" i="1" s="1"/>
  <c r="H209" i="9"/>
  <c r="G71" i="1"/>
  <c r="C672" i="1" s="1"/>
  <c r="H113" i="9"/>
  <c r="I17" i="9"/>
  <c r="F305" i="9"/>
  <c r="C305" i="9"/>
  <c r="F81" i="9"/>
  <c r="S71" i="1"/>
  <c r="E85" i="9" s="1"/>
  <c r="BY71" i="1"/>
  <c r="C570" i="1" s="1"/>
  <c r="AN71" i="1"/>
  <c r="E181" i="9" s="1"/>
  <c r="T71" i="1"/>
  <c r="C513" i="1" s="1"/>
  <c r="G513" i="1" s="1"/>
  <c r="E177" i="9"/>
  <c r="D177" i="9"/>
  <c r="L71" i="1"/>
  <c r="C677" i="1" s="1"/>
  <c r="I149" i="9"/>
  <c r="O71" i="1"/>
  <c r="C680" i="1" s="1"/>
  <c r="F71" i="1"/>
  <c r="F21" i="9" s="1"/>
  <c r="BD71" i="1"/>
  <c r="G245" i="9" s="1"/>
  <c r="D369" i="9"/>
  <c r="C273" i="9"/>
  <c r="C369" i="9"/>
  <c r="I145" i="9"/>
  <c r="BP71" i="1"/>
  <c r="C621" i="1" s="1"/>
  <c r="E71" i="1"/>
  <c r="C498" i="1" s="1"/>
  <c r="G498" i="1" s="1"/>
  <c r="BG71" i="1"/>
  <c r="C618" i="1" s="1"/>
  <c r="F113" i="9"/>
  <c r="G337" i="9"/>
  <c r="H241" i="9"/>
  <c r="C559" i="1"/>
  <c r="G117" i="9"/>
  <c r="I71" i="1"/>
  <c r="I21" i="9" s="1"/>
  <c r="V71" i="1"/>
  <c r="C687" i="1" s="1"/>
  <c r="F17" i="9"/>
  <c r="F49" i="9"/>
  <c r="G305" i="9"/>
  <c r="D17" i="9"/>
  <c r="I273" i="9"/>
  <c r="AS71" i="1"/>
  <c r="C710" i="1" s="1"/>
  <c r="CC71" i="1"/>
  <c r="C574" i="1" s="1"/>
  <c r="BA71" i="1"/>
  <c r="C630" i="1" s="1"/>
  <c r="AI71" i="1"/>
  <c r="C528" i="1" s="1"/>
  <c r="G528" i="1" s="1"/>
  <c r="BS71" i="1"/>
  <c r="C639" i="1" s="1"/>
  <c r="C646" i="1"/>
  <c r="C702" i="1"/>
  <c r="BM71" i="1"/>
  <c r="C638" i="1" s="1"/>
  <c r="AC71" i="1"/>
  <c r="C694" i="1" s="1"/>
  <c r="E17" i="9"/>
  <c r="E81" i="9"/>
  <c r="AU71" i="1"/>
  <c r="C540" i="1" s="1"/>
  <c r="G540" i="1" s="1"/>
  <c r="E209" i="9"/>
  <c r="H49" i="9"/>
  <c r="F181" i="9"/>
  <c r="C706" i="1"/>
  <c r="C568" i="1"/>
  <c r="C309" i="9"/>
  <c r="I209" i="9"/>
  <c r="C542" i="1"/>
  <c r="C277" i="9"/>
  <c r="N71" i="1"/>
  <c r="G53" i="9" s="1"/>
  <c r="U71" i="1"/>
  <c r="C686" i="1" s="1"/>
  <c r="AD71" i="1"/>
  <c r="C695" i="1" s="1"/>
  <c r="I113" i="9"/>
  <c r="H81" i="9"/>
  <c r="G49" i="9"/>
  <c r="G113" i="9"/>
  <c r="BK71" i="1"/>
  <c r="C556" i="1" s="1"/>
  <c r="C699" i="1"/>
  <c r="C527" i="1"/>
  <c r="G527" i="1" s="1"/>
  <c r="C529" i="1"/>
  <c r="G529" i="1" s="1"/>
  <c r="C701" i="1"/>
  <c r="C509" i="1"/>
  <c r="G509" i="1" s="1"/>
  <c r="I53" i="9"/>
  <c r="C681" i="1"/>
  <c r="D305" i="9"/>
  <c r="I337" i="9"/>
  <c r="E341" i="9"/>
  <c r="C521" i="1"/>
  <c r="G521" i="1" s="1"/>
  <c r="C562" i="1"/>
  <c r="C712" i="1"/>
  <c r="C517" i="1"/>
  <c r="C534" i="1"/>
  <c r="G534" i="1" s="1"/>
  <c r="BX71" i="1"/>
  <c r="C644" i="1" s="1"/>
  <c r="CA71" i="1"/>
  <c r="I341" i="9" s="1"/>
  <c r="H145" i="9"/>
  <c r="I49" i="9"/>
  <c r="F337" i="9"/>
  <c r="H273" i="9"/>
  <c r="BL71" i="1"/>
  <c r="C637" i="1" s="1"/>
  <c r="E337" i="9"/>
  <c r="F177" i="9"/>
  <c r="C337" i="9"/>
  <c r="I177" i="9"/>
  <c r="E145" i="9"/>
  <c r="D209" i="9"/>
  <c r="C49" i="9"/>
  <c r="C67" i="1"/>
  <c r="CE52" i="1"/>
  <c r="AT71" i="1"/>
  <c r="I241" i="9"/>
  <c r="D337" i="9"/>
  <c r="C552" i="1"/>
  <c r="AL71" i="1"/>
  <c r="C703" i="1" s="1"/>
  <c r="BJ71" i="1"/>
  <c r="C617" i="1" s="1"/>
  <c r="AR71" i="1"/>
  <c r="C537" i="1" s="1"/>
  <c r="G537" i="1" s="1"/>
  <c r="BB71" i="1"/>
  <c r="C632" i="1" s="1"/>
  <c r="Y71" i="1"/>
  <c r="F273" i="9"/>
  <c r="F209" i="9"/>
  <c r="D145" i="9"/>
  <c r="C81" i="9"/>
  <c r="Q71" i="1"/>
  <c r="E113" i="9"/>
  <c r="G177" i="9"/>
  <c r="AF71" i="1"/>
  <c r="H177" i="9"/>
  <c r="I81" i="9"/>
  <c r="W71" i="1"/>
  <c r="D273" i="9"/>
  <c r="C145" i="9"/>
  <c r="D81" i="9"/>
  <c r="F241" i="9"/>
  <c r="BC71" i="1"/>
  <c r="F149" i="9"/>
  <c r="H149" i="9"/>
  <c r="BH71" i="1"/>
  <c r="C553" i="1" s="1"/>
  <c r="R71" i="1"/>
  <c r="D85" i="9" s="1"/>
  <c r="F145" i="9"/>
  <c r="D49" i="9"/>
  <c r="C241" i="9"/>
  <c r="I305" i="9"/>
  <c r="H17" i="9"/>
  <c r="AE71" i="1"/>
  <c r="BT71" i="1"/>
  <c r="H213" i="9"/>
  <c r="C631" i="1"/>
  <c r="C623" i="1"/>
  <c r="C689" i="1"/>
  <c r="H245" i="9"/>
  <c r="C616" i="1"/>
  <c r="C614" i="1"/>
  <c r="D341" i="9"/>
  <c r="D53" i="9"/>
  <c r="I245" i="9"/>
  <c r="C504" i="1"/>
  <c r="G504" i="1" s="1"/>
  <c r="F213" i="9"/>
  <c r="C707" i="1"/>
  <c r="C536" i="1"/>
  <c r="G536" i="1" s="1"/>
  <c r="D181" i="9"/>
  <c r="C544" i="1"/>
  <c r="G544" i="1" s="1"/>
  <c r="C560" i="1"/>
  <c r="C628" i="1"/>
  <c r="C678" i="1"/>
  <c r="C551" i="1"/>
  <c r="C567" i="1"/>
  <c r="I213" i="9"/>
  <c r="G309" i="9"/>
  <c r="C692" i="1"/>
  <c r="D309" i="9"/>
  <c r="C691" i="1"/>
  <c r="C545" i="1"/>
  <c r="G545" i="1" s="1"/>
  <c r="C506" i="1"/>
  <c r="G506" i="1" s="1"/>
  <c r="C708" i="1"/>
  <c r="G181" i="9"/>
  <c r="C704" i="1"/>
  <c r="C373" i="9"/>
  <c r="H21" i="9"/>
  <c r="C713" i="1"/>
  <c r="H550" i="1"/>
  <c r="E117" i="9"/>
  <c r="C554" i="1"/>
  <c r="C53" i="9"/>
  <c r="C626" i="1"/>
  <c r="F117" i="9"/>
  <c r="E277" i="9"/>
  <c r="C503" i="1"/>
  <c r="G503" i="1" s="1"/>
  <c r="E149" i="9"/>
  <c r="C526" i="1"/>
  <c r="G526" i="1" s="1"/>
  <c r="C673" i="1"/>
  <c r="C698" i="1"/>
  <c r="C641" i="1"/>
  <c r="C341" i="9"/>
  <c r="C566" i="1"/>
  <c r="C573" i="1"/>
  <c r="CE62" i="1"/>
  <c r="D12" i="9"/>
  <c r="D71" i="1"/>
  <c r="H520" i="1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558" i="1" l="1"/>
  <c r="H498" i="1"/>
  <c r="C502" i="1"/>
  <c r="G502" i="1" s="1"/>
  <c r="C645" i="1"/>
  <c r="C500" i="1"/>
  <c r="G500" i="1" s="1"/>
  <c r="C564" i="1"/>
  <c r="C499" i="1"/>
  <c r="G499" i="1" s="1"/>
  <c r="C671" i="1"/>
  <c r="C512" i="1"/>
  <c r="G512" i="1" s="1"/>
  <c r="C533" i="1"/>
  <c r="G533" i="1" s="1"/>
  <c r="E309" i="9"/>
  <c r="C705" i="1"/>
  <c r="C508" i="1"/>
  <c r="G508" i="1" s="1"/>
  <c r="H341" i="9"/>
  <c r="H513" i="1"/>
  <c r="C674" i="1"/>
  <c r="G341" i="9"/>
  <c r="C213" i="9"/>
  <c r="G21" i="9"/>
  <c r="H309" i="9"/>
  <c r="C523" i="1"/>
  <c r="G523" i="1" s="1"/>
  <c r="E21" i="9"/>
  <c r="F85" i="9"/>
  <c r="C685" i="1"/>
  <c r="C505" i="1"/>
  <c r="G505" i="1" s="1"/>
  <c r="C684" i="1"/>
  <c r="C624" i="1"/>
  <c r="H528" i="1"/>
  <c r="E53" i="9"/>
  <c r="C561" i="1"/>
  <c r="C549" i="1"/>
  <c r="H53" i="9"/>
  <c r="C538" i="1"/>
  <c r="G538" i="1" s="1"/>
  <c r="C679" i="1"/>
  <c r="D245" i="9"/>
  <c r="C546" i="1"/>
  <c r="G546" i="1" s="1"/>
  <c r="C507" i="1"/>
  <c r="G507" i="1" s="1"/>
  <c r="I117" i="9"/>
  <c r="C670" i="1"/>
  <c r="C522" i="1"/>
  <c r="G522" i="1" s="1"/>
  <c r="H117" i="9"/>
  <c r="D277" i="9"/>
  <c r="H85" i="9"/>
  <c r="C515" i="1"/>
  <c r="C514" i="1"/>
  <c r="G514" i="1" s="1"/>
  <c r="G149" i="9"/>
  <c r="H277" i="9"/>
  <c r="C557" i="1"/>
  <c r="C620" i="1"/>
  <c r="D373" i="9"/>
  <c r="C700" i="1"/>
  <c r="I181" i="9"/>
  <c r="I277" i="9"/>
  <c r="C647" i="1"/>
  <c r="C181" i="9"/>
  <c r="E213" i="9"/>
  <c r="H509" i="1"/>
  <c r="G85" i="9"/>
  <c r="C531" i="1"/>
  <c r="G531" i="1" s="1"/>
  <c r="C709" i="1"/>
  <c r="C572" i="1"/>
  <c r="G277" i="9"/>
  <c r="C635" i="1"/>
  <c r="F341" i="9"/>
  <c r="F277" i="9"/>
  <c r="C569" i="1"/>
  <c r="C511" i="1"/>
  <c r="G511" i="1" s="1"/>
  <c r="G517" i="1"/>
  <c r="H517" i="1" s="1"/>
  <c r="E245" i="9"/>
  <c r="C682" i="1"/>
  <c r="C510" i="1"/>
  <c r="C85" i="9"/>
  <c r="D213" i="9"/>
  <c r="C711" i="1"/>
  <c r="C539" i="1"/>
  <c r="G539" i="1" s="1"/>
  <c r="CE67" i="1"/>
  <c r="CE71" i="1" s="1"/>
  <c r="C17" i="9"/>
  <c r="C71" i="1"/>
  <c r="H544" i="1"/>
  <c r="C636" i="1"/>
  <c r="C555" i="1"/>
  <c r="C547" i="1"/>
  <c r="C697" i="1"/>
  <c r="C525" i="1"/>
  <c r="G525" i="1" s="1"/>
  <c r="D149" i="9"/>
  <c r="D117" i="9"/>
  <c r="C518" i="1"/>
  <c r="C690" i="1"/>
  <c r="I309" i="9"/>
  <c r="C640" i="1"/>
  <c r="C565" i="1"/>
  <c r="C548" i="1"/>
  <c r="C633" i="1"/>
  <c r="F245" i="9"/>
  <c r="I85" i="9"/>
  <c r="C516" i="1"/>
  <c r="C688" i="1"/>
  <c r="C683" i="1"/>
  <c r="C524" i="1"/>
  <c r="C149" i="9"/>
  <c r="C696" i="1"/>
  <c r="D615" i="1"/>
  <c r="D629" i="1" s="1"/>
  <c r="G515" i="1"/>
  <c r="H526" i="1"/>
  <c r="H503" i="1"/>
  <c r="C497" i="1"/>
  <c r="G497" i="1" s="1"/>
  <c r="D21" i="9"/>
  <c r="C669" i="1"/>
  <c r="I364" i="9"/>
  <c r="C428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C648" i="1" l="1"/>
  <c r="M716" i="1" s="1"/>
  <c r="H515" i="1"/>
  <c r="H514" i="1"/>
  <c r="H522" i="1"/>
  <c r="H512" i="1"/>
  <c r="H508" i="1"/>
  <c r="D709" i="1"/>
  <c r="D699" i="1"/>
  <c r="H546" i="1"/>
  <c r="D698" i="1"/>
  <c r="D684" i="1"/>
  <c r="D622" i="1"/>
  <c r="D702" i="1"/>
  <c r="D674" i="1"/>
  <c r="D630" i="1"/>
  <c r="D623" i="1"/>
  <c r="D687" i="1"/>
  <c r="D635" i="1"/>
  <c r="D713" i="1"/>
  <c r="D636" i="1"/>
  <c r="D716" i="1"/>
  <c r="D642" i="1"/>
  <c r="D682" i="1"/>
  <c r="D675" i="1"/>
  <c r="D686" i="1"/>
  <c r="D700" i="1"/>
  <c r="D692" i="1"/>
  <c r="H511" i="1"/>
  <c r="D681" i="1"/>
  <c r="D647" i="1"/>
  <c r="D694" i="1"/>
  <c r="D637" i="1"/>
  <c r="D707" i="1"/>
  <c r="D690" i="1"/>
  <c r="D685" i="1"/>
  <c r="D697" i="1"/>
  <c r="D617" i="1"/>
  <c r="D632" i="1"/>
  <c r="D676" i="1"/>
  <c r="D706" i="1"/>
  <c r="D631" i="1"/>
  <c r="D711" i="1"/>
  <c r="D705" i="1"/>
  <c r="D628" i="1"/>
  <c r="D639" i="1"/>
  <c r="D704" i="1"/>
  <c r="D645" i="1"/>
  <c r="D644" i="1"/>
  <c r="G518" i="1"/>
  <c r="H518" i="1" s="1"/>
  <c r="I369" i="9"/>
  <c r="C433" i="1"/>
  <c r="C441" i="1" s="1"/>
  <c r="C668" i="1"/>
  <c r="C496" i="1"/>
  <c r="C21" i="9"/>
  <c r="G510" i="1"/>
  <c r="H510" i="1" s="1"/>
  <c r="G524" i="1"/>
  <c r="H524" i="1" s="1"/>
  <c r="G516" i="1"/>
  <c r="H516" i="1" s="1"/>
  <c r="D618" i="1"/>
  <c r="D616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I373" i="9"/>
  <c r="C716" i="1"/>
  <c r="E623" i="1" l="1"/>
  <c r="E716" i="1" s="1"/>
  <c r="G496" i="1"/>
  <c r="H496" i="1" s="1"/>
  <c r="C715" i="1"/>
  <c r="E612" i="1"/>
  <c r="D715" i="1"/>
  <c r="E641" i="1" l="1"/>
  <c r="E626" i="1"/>
  <c r="E645" i="1"/>
  <c r="E669" i="1"/>
  <c r="E697" i="1"/>
  <c r="E642" i="1"/>
  <c r="E686" i="1"/>
  <c r="E703" i="1"/>
  <c r="E625" i="1"/>
  <c r="E689" i="1"/>
  <c r="E627" i="1"/>
  <c r="E646" i="1"/>
  <c r="E707" i="1"/>
  <c r="E628" i="1"/>
  <c r="E705" i="1"/>
  <c r="E710" i="1"/>
  <c r="E713" i="1"/>
  <c r="E700" i="1"/>
  <c r="E693" i="1"/>
  <c r="E631" i="1"/>
  <c r="E690" i="1"/>
  <c r="E701" i="1"/>
  <c r="E633" i="1"/>
  <c r="E629" i="1"/>
  <c r="E685" i="1"/>
  <c r="E699" i="1"/>
  <c r="E712" i="1"/>
  <c r="E640" i="1"/>
  <c r="E635" i="1"/>
  <c r="E687" i="1"/>
  <c r="E680" i="1"/>
  <c r="E632" i="1"/>
  <c r="E682" i="1"/>
  <c r="E681" i="1"/>
  <c r="E671" i="1"/>
  <c r="E683" i="1"/>
  <c r="E694" i="1"/>
  <c r="E675" i="1"/>
  <c r="E638" i="1"/>
  <c r="E668" i="1"/>
  <c r="E702" i="1"/>
  <c r="E692" i="1"/>
  <c r="E677" i="1"/>
  <c r="E678" i="1"/>
  <c r="E704" i="1"/>
  <c r="E673" i="1"/>
  <c r="E684" i="1"/>
  <c r="E708" i="1"/>
  <c r="E670" i="1"/>
  <c r="E647" i="1"/>
  <c r="E679" i="1"/>
  <c r="E696" i="1"/>
  <c r="E630" i="1"/>
  <c r="E711" i="1"/>
  <c r="E643" i="1"/>
  <c r="E688" i="1"/>
  <c r="E695" i="1"/>
  <c r="E706" i="1"/>
  <c r="E639" i="1"/>
  <c r="E644" i="1"/>
  <c r="E672" i="1"/>
  <c r="E634" i="1"/>
  <c r="E624" i="1"/>
  <c r="F624" i="1" s="1"/>
  <c r="E676" i="1"/>
  <c r="E637" i="1"/>
  <c r="E709" i="1"/>
  <c r="E698" i="1"/>
  <c r="E691" i="1"/>
  <c r="E636" i="1"/>
  <c r="E674" i="1"/>
  <c r="F707" i="1" l="1"/>
  <c r="F675" i="1"/>
  <c r="F677" i="1"/>
  <c r="F629" i="1"/>
  <c r="F627" i="1"/>
  <c r="F689" i="1"/>
  <c r="F626" i="1"/>
  <c r="F703" i="1"/>
  <c r="F668" i="1"/>
  <c r="F695" i="1"/>
  <c r="F671" i="1"/>
  <c r="F678" i="1"/>
  <c r="F638" i="1"/>
  <c r="F705" i="1"/>
  <c r="F636" i="1"/>
  <c r="F704" i="1"/>
  <c r="F706" i="1"/>
  <c r="F635" i="1"/>
  <c r="F643" i="1"/>
  <c r="F631" i="1"/>
  <c r="F687" i="1"/>
  <c r="F690" i="1"/>
  <c r="F640" i="1"/>
  <c r="F709" i="1"/>
  <c r="F683" i="1"/>
  <c r="F702" i="1"/>
  <c r="F669" i="1"/>
  <c r="F713" i="1"/>
  <c r="F625" i="1"/>
  <c r="F676" i="1"/>
  <c r="F701" i="1"/>
  <c r="F684" i="1"/>
  <c r="F708" i="1"/>
  <c r="F716" i="1"/>
  <c r="F645" i="1"/>
  <c r="F679" i="1"/>
  <c r="F633" i="1"/>
  <c r="F691" i="1"/>
  <c r="F698" i="1"/>
  <c r="F670" i="1"/>
  <c r="F694" i="1"/>
  <c r="F697" i="1"/>
  <c r="F634" i="1"/>
  <c r="F628" i="1"/>
  <c r="F688" i="1"/>
  <c r="F642" i="1"/>
  <c r="F710" i="1"/>
  <c r="F685" i="1"/>
  <c r="F692" i="1"/>
  <c r="F673" i="1"/>
  <c r="F682" i="1"/>
  <c r="F699" i="1"/>
  <c r="F632" i="1"/>
  <c r="F641" i="1"/>
  <c r="F693" i="1"/>
  <c r="F696" i="1"/>
  <c r="F646" i="1"/>
  <c r="F686" i="1"/>
  <c r="F637" i="1"/>
  <c r="F680" i="1"/>
  <c r="F647" i="1"/>
  <c r="F639" i="1"/>
  <c r="F711" i="1"/>
  <c r="F630" i="1"/>
  <c r="F681" i="1"/>
  <c r="F644" i="1"/>
  <c r="F672" i="1"/>
  <c r="F712" i="1"/>
  <c r="F674" i="1"/>
  <c r="F700" i="1"/>
  <c r="G625" i="1"/>
  <c r="E715" i="1"/>
  <c r="G628" i="1" l="1"/>
  <c r="G647" i="1"/>
  <c r="G707" i="1"/>
  <c r="G668" i="1"/>
  <c r="G674" i="1"/>
  <c r="G684" i="1"/>
  <c r="G676" i="1"/>
  <c r="G675" i="1"/>
  <c r="G696" i="1"/>
  <c r="G637" i="1"/>
  <c r="G709" i="1"/>
  <c r="G704" i="1"/>
  <c r="G632" i="1"/>
  <c r="G678" i="1"/>
  <c r="G639" i="1"/>
  <c r="G635" i="1"/>
  <c r="G705" i="1"/>
  <c r="G685" i="1"/>
  <c r="G687" i="1"/>
  <c r="G713" i="1"/>
  <c r="G686" i="1"/>
  <c r="G716" i="1"/>
  <c r="G700" i="1"/>
  <c r="G643" i="1"/>
  <c r="G671" i="1"/>
  <c r="G633" i="1"/>
  <c r="G682" i="1"/>
  <c r="G641" i="1"/>
  <c r="G629" i="1"/>
  <c r="G697" i="1"/>
  <c r="G694" i="1"/>
  <c r="G708" i="1"/>
  <c r="G681" i="1"/>
  <c r="G699" i="1"/>
  <c r="G672" i="1"/>
  <c r="G712" i="1"/>
  <c r="G688" i="1"/>
  <c r="G679" i="1"/>
  <c r="G644" i="1"/>
  <c r="G642" i="1"/>
  <c r="G711" i="1"/>
  <c r="G680" i="1"/>
  <c r="G638" i="1"/>
  <c r="G693" i="1"/>
  <c r="G690" i="1"/>
  <c r="G670" i="1"/>
  <c r="G702" i="1"/>
  <c r="G630" i="1"/>
  <c r="G695" i="1"/>
  <c r="G698" i="1"/>
  <c r="G669" i="1"/>
  <c r="G691" i="1"/>
  <c r="G710" i="1"/>
  <c r="G631" i="1"/>
  <c r="G645" i="1"/>
  <c r="G673" i="1"/>
  <c r="G646" i="1"/>
  <c r="G703" i="1"/>
  <c r="G640" i="1"/>
  <c r="G692" i="1"/>
  <c r="G636" i="1"/>
  <c r="G701" i="1"/>
  <c r="G626" i="1"/>
  <c r="G677" i="1"/>
  <c r="G634" i="1"/>
  <c r="G627" i="1"/>
  <c r="G689" i="1"/>
  <c r="G683" i="1"/>
  <c r="G706" i="1"/>
  <c r="F715" i="1"/>
  <c r="G715" i="1" l="1"/>
  <c r="H628" i="1"/>
  <c r="H684" i="1" l="1"/>
  <c r="H681" i="1"/>
  <c r="H700" i="1"/>
  <c r="H677" i="1"/>
  <c r="H692" i="1"/>
  <c r="H630" i="1"/>
  <c r="H669" i="1"/>
  <c r="H676" i="1"/>
  <c r="H686" i="1"/>
  <c r="H696" i="1"/>
  <c r="H642" i="1"/>
  <c r="H716" i="1"/>
  <c r="H693" i="1"/>
  <c r="H640" i="1"/>
  <c r="H708" i="1"/>
  <c r="H646" i="1"/>
  <c r="H668" i="1"/>
  <c r="H632" i="1"/>
  <c r="H679" i="1"/>
  <c r="H671" i="1"/>
  <c r="H641" i="1"/>
  <c r="H713" i="1"/>
  <c r="H631" i="1"/>
  <c r="H711" i="1"/>
  <c r="H702" i="1"/>
  <c r="H688" i="1"/>
  <c r="H639" i="1"/>
  <c r="H678" i="1"/>
  <c r="H643" i="1"/>
  <c r="H645" i="1"/>
  <c r="H673" i="1"/>
  <c r="H709" i="1"/>
  <c r="H635" i="1"/>
  <c r="H644" i="1"/>
  <c r="H704" i="1"/>
  <c r="H691" i="1"/>
  <c r="H674" i="1"/>
  <c r="H694" i="1"/>
  <c r="H672" i="1"/>
  <c r="H703" i="1"/>
  <c r="H638" i="1"/>
  <c r="H682" i="1"/>
  <c r="H647" i="1"/>
  <c r="H698" i="1"/>
  <c r="H675" i="1"/>
  <c r="H707" i="1"/>
  <c r="H680" i="1"/>
  <c r="H636" i="1"/>
  <c r="H633" i="1"/>
  <c r="H712" i="1"/>
  <c r="H683" i="1"/>
  <c r="H710" i="1"/>
  <c r="H687" i="1"/>
  <c r="H697" i="1"/>
  <c r="H706" i="1"/>
  <c r="H689" i="1"/>
  <c r="H634" i="1"/>
  <c r="H685" i="1"/>
  <c r="H695" i="1"/>
  <c r="H629" i="1"/>
  <c r="H637" i="1"/>
  <c r="H670" i="1"/>
  <c r="H690" i="1"/>
  <c r="H701" i="1"/>
  <c r="H705" i="1"/>
  <c r="H699" i="1"/>
  <c r="H715" i="1" l="1"/>
  <c r="I629" i="1"/>
  <c r="I645" i="1" l="1"/>
  <c r="I646" i="1"/>
  <c r="I637" i="1"/>
  <c r="I700" i="1"/>
  <c r="I670" i="1"/>
  <c r="I685" i="1"/>
  <c r="I692" i="1"/>
  <c r="I699" i="1"/>
  <c r="I642" i="1"/>
  <c r="I675" i="1"/>
  <c r="I647" i="1"/>
  <c r="I691" i="1"/>
  <c r="I681" i="1"/>
  <c r="I690" i="1"/>
  <c r="I676" i="1"/>
  <c r="I688" i="1"/>
  <c r="I684" i="1"/>
  <c r="I686" i="1"/>
  <c r="I672" i="1"/>
  <c r="I698" i="1"/>
  <c r="I711" i="1"/>
  <c r="I639" i="1"/>
  <c r="I640" i="1"/>
  <c r="I701" i="1"/>
  <c r="I693" i="1"/>
  <c r="I631" i="1"/>
  <c r="I709" i="1"/>
  <c r="I679" i="1"/>
  <c r="I634" i="1"/>
  <c r="I638" i="1"/>
  <c r="I630" i="1"/>
  <c r="I632" i="1"/>
  <c r="I635" i="1"/>
  <c r="I636" i="1"/>
  <c r="I668" i="1"/>
  <c r="I669" i="1"/>
  <c r="I696" i="1"/>
  <c r="I716" i="1"/>
  <c r="I703" i="1"/>
  <c r="I705" i="1"/>
  <c r="I644" i="1"/>
  <c r="I677" i="1"/>
  <c r="I682" i="1"/>
  <c r="I674" i="1"/>
  <c r="I680" i="1"/>
  <c r="I683" i="1"/>
  <c r="I687" i="1"/>
  <c r="I689" i="1"/>
  <c r="I695" i="1"/>
  <c r="I697" i="1"/>
  <c r="I710" i="1"/>
  <c r="I641" i="1"/>
  <c r="I713" i="1"/>
  <c r="I704" i="1"/>
  <c r="I671" i="1"/>
  <c r="I694" i="1"/>
  <c r="I643" i="1"/>
  <c r="I712" i="1"/>
  <c r="I706" i="1"/>
  <c r="I702" i="1"/>
  <c r="I678" i="1"/>
  <c r="I708" i="1"/>
  <c r="I707" i="1"/>
  <c r="I673" i="1"/>
  <c r="I633" i="1"/>
  <c r="I715" i="1" l="1"/>
  <c r="J630" i="1"/>
  <c r="J635" i="1" l="1"/>
  <c r="J640" i="1"/>
  <c r="J638" i="1"/>
  <c r="J680" i="1"/>
  <c r="J678" i="1"/>
  <c r="J716" i="1"/>
  <c r="J645" i="1"/>
  <c r="J687" i="1"/>
  <c r="J711" i="1"/>
  <c r="J668" i="1"/>
  <c r="J689" i="1"/>
  <c r="J644" i="1"/>
  <c r="J702" i="1"/>
  <c r="J698" i="1"/>
  <c r="J672" i="1"/>
  <c r="J688" i="1"/>
  <c r="J632" i="1"/>
  <c r="J693" i="1"/>
  <c r="J690" i="1"/>
  <c r="J677" i="1"/>
  <c r="J682" i="1"/>
  <c r="J641" i="1"/>
  <c r="J683" i="1"/>
  <c r="J669" i="1"/>
  <c r="J704" i="1"/>
  <c r="J703" i="1"/>
  <c r="J684" i="1"/>
  <c r="J701" i="1"/>
  <c r="J631" i="1"/>
  <c r="J697" i="1"/>
  <c r="J670" i="1"/>
  <c r="J707" i="1"/>
  <c r="J681" i="1"/>
  <c r="J696" i="1"/>
  <c r="J710" i="1"/>
  <c r="J712" i="1"/>
  <c r="J674" i="1"/>
  <c r="J695" i="1"/>
  <c r="J639" i="1"/>
  <c r="J676" i="1"/>
  <c r="J713" i="1"/>
  <c r="J705" i="1"/>
  <c r="J671" i="1"/>
  <c r="J642" i="1"/>
  <c r="J643" i="1"/>
  <c r="J647" i="1"/>
  <c r="J706" i="1"/>
  <c r="J633" i="1"/>
  <c r="J692" i="1"/>
  <c r="J685" i="1"/>
  <c r="J699" i="1"/>
  <c r="J637" i="1"/>
  <c r="J691" i="1"/>
  <c r="J686" i="1"/>
  <c r="J679" i="1"/>
  <c r="J708" i="1"/>
  <c r="J700" i="1"/>
  <c r="J709" i="1"/>
  <c r="J673" i="1"/>
  <c r="J646" i="1"/>
  <c r="J636" i="1"/>
  <c r="J694" i="1"/>
  <c r="J675" i="1"/>
  <c r="J634" i="1"/>
  <c r="L647" i="1" l="1"/>
  <c r="K644" i="1"/>
  <c r="J715" i="1"/>
  <c r="K716" i="1" l="1"/>
  <c r="K674" i="1"/>
  <c r="K707" i="1"/>
  <c r="K695" i="1"/>
  <c r="K697" i="1"/>
  <c r="K705" i="1"/>
  <c r="K681" i="1"/>
  <c r="K708" i="1"/>
  <c r="K713" i="1"/>
  <c r="K703" i="1"/>
  <c r="K679" i="1"/>
  <c r="K670" i="1"/>
  <c r="K671" i="1"/>
  <c r="K698" i="1"/>
  <c r="K709" i="1"/>
  <c r="K677" i="1"/>
  <c r="K673" i="1"/>
  <c r="K696" i="1"/>
  <c r="K706" i="1"/>
  <c r="K689" i="1"/>
  <c r="K701" i="1"/>
  <c r="K676" i="1"/>
  <c r="K685" i="1"/>
  <c r="K687" i="1"/>
  <c r="K690" i="1"/>
  <c r="K693" i="1"/>
  <c r="K678" i="1"/>
  <c r="K680" i="1"/>
  <c r="K683" i="1"/>
  <c r="K710" i="1"/>
  <c r="K668" i="1"/>
  <c r="K694" i="1"/>
  <c r="K699" i="1"/>
  <c r="K700" i="1"/>
  <c r="K711" i="1"/>
  <c r="K672" i="1"/>
  <c r="K682" i="1"/>
  <c r="K692" i="1"/>
  <c r="K669" i="1"/>
  <c r="K691" i="1"/>
  <c r="K675" i="1"/>
  <c r="K712" i="1"/>
  <c r="K684" i="1"/>
  <c r="K702" i="1"/>
  <c r="K704" i="1"/>
  <c r="K686" i="1"/>
  <c r="K688" i="1"/>
  <c r="L705" i="1"/>
  <c r="M705" i="1" s="1"/>
  <c r="L670" i="1"/>
  <c r="L698" i="1"/>
  <c r="L675" i="1"/>
  <c r="M675" i="1" s="1"/>
  <c r="L712" i="1"/>
  <c r="M712" i="1" s="1"/>
  <c r="L682" i="1"/>
  <c r="M682" i="1" s="1"/>
  <c r="L701" i="1"/>
  <c r="M701" i="1" s="1"/>
  <c r="L704" i="1"/>
  <c r="M704" i="1" s="1"/>
  <c r="L694" i="1"/>
  <c r="M694" i="1" s="1"/>
  <c r="L707" i="1"/>
  <c r="M707" i="1" s="1"/>
  <c r="L680" i="1"/>
  <c r="M680" i="1" s="1"/>
  <c r="L695" i="1"/>
  <c r="M695" i="1" s="1"/>
  <c r="L697" i="1"/>
  <c r="M697" i="1" s="1"/>
  <c r="L679" i="1"/>
  <c r="M679" i="1" s="1"/>
  <c r="L673" i="1"/>
  <c r="M673" i="1" s="1"/>
  <c r="L711" i="1"/>
  <c r="M711" i="1" s="1"/>
  <c r="L674" i="1"/>
  <c r="M674" i="1" s="1"/>
  <c r="L676" i="1"/>
  <c r="L692" i="1"/>
  <c r="L678" i="1"/>
  <c r="M678" i="1" s="1"/>
  <c r="L669" i="1"/>
  <c r="L685" i="1"/>
  <c r="L671" i="1"/>
  <c r="M671" i="1" s="1"/>
  <c r="L677" i="1"/>
  <c r="M677" i="1" s="1"/>
  <c r="L690" i="1"/>
  <c r="M690" i="1" s="1"/>
  <c r="L699" i="1"/>
  <c r="M699" i="1" s="1"/>
  <c r="L708" i="1"/>
  <c r="L668" i="1"/>
  <c r="L693" i="1"/>
  <c r="M693" i="1" s="1"/>
  <c r="L706" i="1"/>
  <c r="M706" i="1" s="1"/>
  <c r="L684" i="1"/>
  <c r="M684" i="1" s="1"/>
  <c r="L700" i="1"/>
  <c r="M700" i="1" s="1"/>
  <c r="L703" i="1"/>
  <c r="M703" i="1" s="1"/>
  <c r="L713" i="1"/>
  <c r="M713" i="1" s="1"/>
  <c r="L681" i="1"/>
  <c r="L672" i="1"/>
  <c r="M672" i="1" s="1"/>
  <c r="L716" i="1"/>
  <c r="L702" i="1"/>
  <c r="M702" i="1" s="1"/>
  <c r="L688" i="1"/>
  <c r="L709" i="1"/>
  <c r="M709" i="1" s="1"/>
  <c r="L689" i="1"/>
  <c r="M689" i="1" s="1"/>
  <c r="L710" i="1"/>
  <c r="M710" i="1" s="1"/>
  <c r="L691" i="1"/>
  <c r="L683" i="1"/>
  <c r="M683" i="1" s="1"/>
  <c r="L696" i="1"/>
  <c r="M696" i="1" s="1"/>
  <c r="L686" i="1"/>
  <c r="M686" i="1" s="1"/>
  <c r="L687" i="1"/>
  <c r="M687" i="1" s="1"/>
  <c r="M685" i="1" l="1"/>
  <c r="M688" i="1"/>
  <c r="M669" i="1"/>
  <c r="M691" i="1"/>
  <c r="M681" i="1"/>
  <c r="M708" i="1"/>
  <c r="H183" i="9" s="1"/>
  <c r="M692" i="1"/>
  <c r="M698" i="1"/>
  <c r="E151" i="9" s="1"/>
  <c r="M676" i="1"/>
  <c r="M670" i="1"/>
  <c r="H87" i="9"/>
  <c r="C151" i="9"/>
  <c r="E119" i="9"/>
  <c r="C119" i="9"/>
  <c r="I87" i="9"/>
  <c r="I55" i="9"/>
  <c r="C183" i="9"/>
  <c r="E87" i="9"/>
  <c r="G119" i="9"/>
  <c r="D119" i="9"/>
  <c r="F23" i="9"/>
  <c r="D23" i="9"/>
  <c r="F119" i="9"/>
  <c r="I23" i="9"/>
  <c r="H23" i="9"/>
  <c r="D151" i="9"/>
  <c r="H55" i="9"/>
  <c r="H119" i="9"/>
  <c r="H151" i="9"/>
  <c r="E215" i="9"/>
  <c r="E183" i="9"/>
  <c r="G87" i="9"/>
  <c r="D87" i="9"/>
  <c r="C215" i="9"/>
  <c r="I183" i="9"/>
  <c r="I151" i="9"/>
  <c r="G23" i="9"/>
  <c r="F215" i="9"/>
  <c r="G151" i="9"/>
  <c r="F183" i="9"/>
  <c r="L715" i="1"/>
  <c r="M668" i="1"/>
  <c r="F151" i="9"/>
  <c r="E55" i="9"/>
  <c r="F87" i="9"/>
  <c r="F55" i="9"/>
  <c r="D55" i="9"/>
  <c r="D215" i="9"/>
  <c r="G55" i="9"/>
  <c r="I119" i="9"/>
  <c r="G183" i="9"/>
  <c r="D183" i="9"/>
  <c r="C87" i="9"/>
  <c r="C55" i="9"/>
  <c r="E23" i="9"/>
  <c r="K715" i="1"/>
  <c r="C23" i="9" l="1"/>
  <c r="M715" i="1"/>
</calcChain>
</file>

<file path=xl/sharedStrings.xml><?xml version="1.0" encoding="utf-8"?>
<sst xmlns="http://schemas.openxmlformats.org/spreadsheetml/2006/main" count="4670" uniqueCount="1278">
  <si>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</si>
  <si>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</si>
  <si>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</si>
  <si>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</si>
  <si>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</si>
  <si>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</si>
  <si>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</si>
  <si>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</si>
  <si>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</si>
  <si>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</si>
  <si>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</si>
  <si>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</si>
  <si>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</si>
  <si>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</si>
  <si>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</si>
  <si>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</si>
  <si>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</si>
  <si>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</si>
  <si>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</si>
  <si>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</si>
  <si>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</si>
  <si>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</si>
  <si>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</si>
  <si>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</si>
  <si>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</si>
  <si>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</si>
  <si>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</si>
  <si>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</si>
  <si>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</si>
  <si>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</si>
  <si>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</si>
  <si>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</si>
  <si>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</si>
  <si>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</si>
  <si>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</si>
  <si>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</si>
  <si>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</si>
  <si>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</si>
  <si>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</si>
  <si>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</si>
  <si>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</si>
  <si>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</si>
  <si>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</si>
  <si>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</si>
  <si>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</si>
  <si>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</si>
  <si>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</si>
  <si>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</si>
  <si>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</si>
  <si>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</si>
  <si>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</si>
  <si>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</si>
  <si>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</si>
  <si>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</si>
  <si>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</si>
  <si>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</si>
  <si>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</si>
  <si>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</si>
  <si>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</si>
  <si>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</si>
  <si>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</si>
  <si>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</si>
  <si>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</si>
  <si>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</si>
  <si>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</si>
  <si>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</si>
  <si>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</si>
  <si>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</si>
  <si>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</si>
  <si>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</si>
  <si>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</si>
  <si>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</si>
  <si>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</si>
  <si>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</si>
  <si>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</si>
  <si>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</si>
  <si>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</si>
  <si>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</si>
  <si>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</si>
  <si>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</si>
  <si>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</si>
  <si>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</si>
  <si>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</si>
  <si>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</si>
  <si>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</si>
  <si>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</si>
  <si>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</si>
  <si>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</si>
  <si>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</si>
  <si>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</si>
  <si>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</si>
  <si>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</si>
  <si>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</si>
  <si>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</si>
  <si>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</si>
  <si>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</si>
  <si>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</si>
  <si>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</si>
  <si>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</si>
  <si>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</si>
  <si>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</si>
  <si>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</si>
  <si>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</si>
  <si>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</si>
  <si>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</si>
  <si>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</si>
  <si>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</si>
  <si>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</si>
  <si>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</si>
  <si>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</si>
  <si>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</si>
  <si>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</si>
  <si>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</si>
  <si>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</si>
  <si>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</si>
  <si>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</si>
  <si>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</si>
  <si>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</si>
  <si>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</si>
  <si>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</si>
  <si>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</si>
  <si>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</si>
  <si>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</si>
  <si>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</si>
  <si>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</si>
  <si>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</si>
  <si>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</si>
  <si>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</si>
  <si>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</si>
  <si>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</si>
  <si>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</si>
  <si>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</si>
  <si>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</si>
  <si>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</si>
  <si>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</si>
  <si>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</si>
  <si>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</si>
  <si>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</si>
  <si>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</si>
  <si>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</si>
  <si>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</si>
  <si>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</si>
  <si>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</si>
  <si>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</si>
  <si>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</si>
  <si>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</si>
  <si>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</si>
  <si>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</si>
  <si>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</si>
  <si>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</si>
  <si>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</si>
  <si>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</si>
  <si>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</si>
  <si>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</si>
  <si>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</si>
  <si>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</si>
  <si>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</si>
  <si>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</si>
  <si>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</si>
  <si>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</si>
  <si>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</si>
  <si>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</si>
  <si>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</si>
  <si>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</si>
  <si>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</si>
  <si>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</si>
  <si>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</si>
  <si>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</si>
  <si>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</si>
  <si>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</si>
  <si>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</si>
  <si>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</si>
  <si>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</si>
  <si>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</si>
  <si>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</si>
  <si>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</si>
  <si>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</si>
  <si>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</si>
  <si>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</si>
  <si>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</si>
  <si>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</si>
  <si>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</si>
  <si>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</si>
  <si>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</si>
  <si>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</si>
  <si>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</si>
  <si>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</si>
  <si>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</si>
  <si>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</si>
  <si>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</si>
  <si>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</si>
  <si>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</si>
  <si>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</si>
  <si>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</si>
  <si>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</si>
  <si>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</si>
  <si>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</si>
  <si>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</si>
  <si>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</si>
  <si>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</si>
  <si>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</si>
  <si>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</si>
  <si>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</si>
  <si>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</si>
  <si>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</si>
  <si>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</si>
  <si>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</si>
  <si>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</si>
  <si>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</si>
  <si>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</si>
  <si>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</si>
  <si>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</si>
  <si>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</si>
  <si>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</si>
  <si>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</si>
  <si>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</si>
  <si>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</si>
  <si>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</si>
  <si>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</si>
  <si>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</si>
  <si>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</si>
  <si>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</si>
  <si>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</si>
  <si>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</si>
  <si>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</si>
  <si>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</si>
  <si>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</si>
  <si>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</si>
  <si>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</si>
  <si>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</si>
  <si>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</si>
  <si>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</si>
  <si>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</si>
  <si>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</si>
  <si>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</si>
  <si>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</si>
  <si>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</si>
  <si>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</si>
  <si>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</si>
  <si>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</si>
  <si>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</si>
  <si>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</si>
  <si>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</si>
  <si>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</si>
  <si>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</si>
  <si>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</si>
  <si>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</si>
  <si>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</si>
  <si>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</si>
  <si>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</si>
  <si>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</si>
  <si>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</si>
  <si>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</si>
  <si>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</si>
  <si>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</si>
  <si>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</si>
  <si>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</si>
  <si>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</si>
  <si>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</si>
  <si>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</si>
  <si>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</si>
  <si>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</si>
  <si>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</si>
  <si>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</si>
  <si>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</si>
  <si>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</si>
  <si>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</si>
  <si>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</si>
  <si>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</si>
  <si>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</si>
  <si>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</si>
  <si>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</si>
  <si>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</si>
  <si>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</si>
  <si>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</si>
  <si>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</si>
  <si>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</si>
  <si>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</si>
  <si>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</si>
  <si>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</si>
  <si>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</si>
  <si>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</si>
  <si>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</si>
  <si>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</si>
  <si>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</si>
  <si>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</si>
  <si>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</si>
  <si>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</si>
  <si>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</si>
  <si>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</si>
  <si>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</si>
  <si>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</si>
  <si>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</si>
  <si>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</si>
  <si>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</si>
  <si>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</si>
  <si>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</si>
  <si>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</si>
  <si>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</si>
  <si>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</si>
  <si>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</si>
  <si>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</si>
  <si>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</si>
  <si>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</si>
  <si>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</si>
  <si>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</si>
  <si>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</si>
  <si>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</si>
  <si>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</si>
  <si>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</si>
  <si>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</si>
  <si>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</si>
  <si>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</si>
  <si>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</si>
  <si>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</si>
  <si>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</si>
  <si>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</si>
  <si>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</si>
  <si>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</si>
  <si>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</si>
  <si>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</si>
  <si>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</si>
  <si>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</si>
  <si>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</si>
  <si>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</si>
  <si>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</si>
  <si>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</si>
  <si>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</si>
  <si>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</si>
  <si>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</si>
  <si>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</si>
  <si>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</si>
  <si>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</si>
  <si>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</si>
  <si>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</si>
  <si>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</si>
  <si>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</si>
  <si>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</si>
  <si>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</si>
  <si>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</si>
  <si>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</si>
  <si>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</si>
  <si>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</si>
  <si>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</si>
  <si>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</si>
  <si>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</si>
  <si>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</si>
  <si>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</si>
  <si>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</si>
  <si>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</si>
  <si>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</si>
  <si>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</si>
  <si>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</si>
  <si>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</si>
  <si>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</si>
  <si>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</si>
  <si>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</si>
  <si>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</si>
  <si>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</si>
  <si>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</si>
  <si>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</si>
  <si>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</si>
  <si>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</si>
  <si>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</si>
  <si>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</si>
  <si>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</si>
  <si>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</si>
  <si>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</si>
  <si>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</si>
  <si>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</si>
  <si>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</si>
  <si>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</si>
  <si>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</si>
  <si>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</si>
  <si>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</si>
  <si>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</si>
  <si>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</si>
  <si>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</si>
  <si>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</si>
  <si>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</si>
  <si>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</si>
  <si>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</si>
  <si>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</si>
  <si>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</si>
  <si>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</si>
  <si>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</si>
  <si>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</si>
  <si>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</si>
  <si>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</si>
  <si>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</si>
  <si>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</si>
  <si>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</si>
  <si>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</si>
  <si>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</si>
  <si>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</si>
  <si>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</si>
  <si>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</si>
  <si>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</si>
  <si>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</si>
  <si>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</si>
  <si>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</si>
  <si>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</si>
  <si>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</si>
  <si>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</si>
  <si>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</si>
  <si>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</si>
  <si>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</si>
  <si>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</si>
  <si>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</si>
  <si>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</si>
  <si>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</si>
  <si>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</si>
  <si>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</si>
  <si>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</si>
  <si>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</si>
  <si>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</si>
  <si>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</si>
  <si>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</si>
  <si>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</si>
  <si>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</si>
  <si>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</si>
  <si>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</si>
  <si>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</si>
  <si>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</si>
  <si>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</si>
  <si>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</si>
  <si>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</si>
  <si>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</si>
  <si>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</si>
  <si>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</si>
  <si>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</si>
  <si>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</si>
  <si>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</si>
  <si>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</si>
  <si>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</si>
  <si>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</si>
  <si>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</si>
  <si>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</si>
  <si>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</si>
  <si>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</si>
  <si>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</si>
  <si>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</si>
  <si>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</si>
  <si>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</si>
  <si>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</si>
  <si>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</si>
  <si>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</si>
  <si>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</si>
  <si>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</si>
  <si>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</si>
  <si>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</si>
  <si>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</si>
  <si>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</si>
  <si>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</si>
  <si>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</si>
  <si>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</si>
  <si>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</si>
  <si>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</si>
  <si>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</si>
  <si>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</si>
  <si>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</si>
  <si>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</si>
  <si>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</si>
  <si>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</si>
  <si>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</si>
  <si>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</si>
  <si>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</si>
  <si>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</si>
  <si>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</si>
  <si>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</si>
  <si>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</si>
  <si>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</si>
  <si>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</si>
  <si>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</si>
  <si>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</si>
  <si>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</si>
  <si>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</si>
  <si>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</si>
  <si>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</si>
  <si>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</si>
  <si>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</si>
  <si>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</si>
  <si>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</si>
  <si>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</si>
  <si>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</si>
  <si>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</si>
  <si>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</si>
  <si>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</si>
  <si>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</si>
  <si>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</si>
  <si>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</si>
  <si>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</si>
  <si>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</si>
  <si>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</si>
  <si>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</si>
  <si>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</si>
  <si>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</si>
  <si>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</si>
  <si>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</si>
  <si>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</si>
  <si>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</si>
  <si>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</si>
  <si>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</si>
  <si>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</si>
  <si>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</si>
  <si>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</si>
  <si>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</si>
  <si>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</si>
  <si>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</si>
  <si>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</si>
  <si>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</si>
  <si>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</si>
  <si>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</si>
  <si>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</si>
  <si>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</si>
  <si>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</si>
  <si>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</si>
  <si>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</si>
  <si>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</si>
  <si>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</si>
  <si>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</si>
  <si>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</si>
  <si>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</si>
  <si>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</si>
  <si>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</si>
  <si>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</si>
  <si>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</si>
  <si>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</si>
  <si>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</si>
  <si>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</si>
  <si>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</si>
  <si>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</si>
  <si>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</si>
  <si>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</si>
  <si>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</si>
  <si>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</si>
  <si>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</si>
  <si>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</si>
  <si>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</si>
  <si>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</si>
  <si>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</si>
  <si>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</si>
  <si>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</si>
  <si>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</si>
  <si>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</si>
  <si>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</si>
  <si>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</si>
  <si>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</si>
  <si>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</si>
  <si>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</si>
  <si>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</si>
  <si>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</si>
  <si>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</si>
  <si>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</si>
  <si>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</si>
  <si>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</si>
  <si>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</si>
  <si>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</si>
  <si>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</si>
  <si>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</si>
  <si>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</si>
  <si>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</si>
  <si>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</si>
  <si>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</si>
  <si>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</si>
  <si>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</si>
  <si>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</si>
  <si>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</si>
  <si>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</si>
  <si>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</si>
  <si>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</si>
  <si>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</si>
  <si>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</si>
  <si>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</si>
  <si>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</si>
  <si>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</si>
  <si>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</si>
  <si>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</si>
  <si>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</si>
  <si>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</si>
  <si>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</si>
  <si>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</si>
  <si>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</si>
  <si>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</si>
  <si>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</si>
  <si>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</si>
  <si>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</si>
  <si>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</si>
  <si>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</si>
  <si>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</si>
  <si>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</si>
  <si>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</si>
  <si>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</si>
  <si>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</si>
  <si>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</si>
  <si>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</si>
  <si>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</si>
  <si>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</si>
  <si>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</si>
  <si>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</si>
  <si>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</si>
  <si>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</si>
  <si>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</si>
  <si>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</si>
  <si>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</si>
  <si>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</si>
  <si>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</si>
  <si>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</si>
  <si>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</si>
  <si>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</si>
  <si>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</si>
  <si>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</si>
  <si>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</si>
  <si>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</si>
  <si>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</si>
  <si>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</si>
  <si>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</si>
  <si>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</si>
  <si>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</si>
  <si>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</si>
  <si>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</si>
  <si>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</si>
  <si>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</si>
  <si>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</si>
  <si>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</si>
  <si>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</si>
  <si>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</si>
  <si>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</si>
  <si>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</si>
  <si>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</si>
  <si>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</si>
  <si>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</si>
  <si>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</si>
  <si>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</si>
  <si>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</si>
  <si>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</si>
  <si>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</si>
  <si>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</si>
  <si>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</si>
  <si>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</si>
  <si>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</si>
  <si>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</si>
  <si>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</si>
  <si>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</si>
  <si>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</si>
  <si>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</si>
  <si>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</si>
  <si>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</si>
  <si>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</si>
  <si>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</si>
  <si>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</si>
  <si>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</si>
  <si>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</si>
  <si>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</si>
  <si>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</si>
  <si>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</si>
  <si>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</si>
  <si>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</si>
  <si>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</si>
  <si>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</si>
  <si>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</si>
  <si>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</si>
  <si>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</si>
  <si>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</si>
  <si>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</si>
  <si>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</si>
  <si>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</si>
  <si>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</si>
  <si>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</si>
  <si>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</si>
  <si>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</si>
  <si>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</si>
  <si>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</si>
  <si>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</si>
  <si>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</si>
  <si>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</si>
  <si>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</si>
  <si>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</si>
  <si>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</si>
  <si>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</si>
  <si>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</si>
  <si>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</si>
  <si>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</si>
  <si>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</si>
  <si>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</si>
  <si>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</si>
  <si>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</si>
  <si>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</si>
  <si>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</si>
  <si>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</si>
  <si>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</si>
  <si>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</si>
  <si>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</si>
  <si>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</si>
  <si>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</si>
  <si>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</si>
  <si>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</si>
  <si>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</si>
  <si>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</si>
  <si>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</si>
  <si>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</si>
  <si>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</si>
  <si>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</si>
  <si>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</si>
  <si>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</si>
  <si>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</si>
  <si>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</si>
  <si>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</si>
  <si>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</si>
  <si>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</si>
  <si>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</si>
  <si>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</si>
  <si>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</si>
  <si>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</si>
  <si>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</si>
  <si>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</si>
  <si>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</si>
  <si>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</si>
  <si>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</si>
  <si>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</si>
  <si>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</si>
  <si>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</si>
  <si>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</si>
  <si>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</si>
  <si>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</si>
  <si>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</si>
  <si>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</si>
  <si>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</si>
  <si>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</si>
  <si>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</si>
  <si>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</si>
  <si>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</si>
  <si>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</si>
  <si>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</si>
  <si>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</si>
  <si>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</si>
  <si>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</si>
  <si>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</si>
  <si>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</si>
  <si>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</si>
  <si>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</si>
  <si>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</si>
  <si>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</si>
  <si>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</si>
  <si>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</si>
  <si>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</si>
  <si>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</si>
  <si>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</si>
  <si>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</si>
  <si>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</si>
  <si>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</si>
  <si>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</si>
  <si>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</si>
  <si>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</si>
  <si>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</si>
  <si>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</si>
  <si>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</si>
  <si>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</si>
  <si>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</si>
  <si>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</si>
  <si>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</si>
  <si>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</si>
  <si>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</si>
  <si>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</si>
  <si>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</si>
  <si>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</si>
  <si>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</si>
  <si>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</si>
  <si>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</si>
  <si>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</si>
  <si>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</si>
  <si>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</si>
  <si>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</si>
  <si>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</si>
  <si>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</si>
  <si>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</si>
  <si>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</si>
  <si>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</si>
  <si>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</si>
  <si>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</si>
  <si>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</si>
  <si>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</si>
  <si>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</si>
  <si>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</si>
  <si>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</si>
  <si>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</si>
  <si>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</si>
  <si>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</si>
  <si>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</si>
  <si>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</si>
  <si>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</si>
  <si>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</si>
  <si>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</si>
  <si>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</si>
  <si>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</si>
  <si>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</si>
  <si>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</si>
  <si>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</si>
  <si>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</si>
  <si>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</si>
  <si>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</si>
  <si>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</si>
  <si>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</si>
  <si>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</si>
  <si>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</si>
  <si>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</si>
  <si>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</si>
  <si>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</si>
  <si>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</si>
  <si>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</si>
  <si>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</si>
  <si>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</si>
  <si>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</si>
  <si>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</si>
  <si>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</si>
  <si>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</si>
  <si>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</si>
  <si>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</si>
  <si>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</si>
  <si>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</si>
  <si>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</si>
  <si>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</si>
  <si>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</si>
  <si>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</si>
  <si>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</si>
  <si>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</si>
  <si>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</si>
  <si>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</si>
  <si>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</si>
  <si>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</si>
  <si>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</si>
  <si>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</si>
  <si>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</si>
  <si>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</si>
  <si>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</si>
  <si>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</si>
  <si>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</si>
  <si>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</si>
  <si>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</si>
  <si>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</si>
  <si>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</si>
  <si>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</si>
  <si>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</si>
  <si>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</si>
  <si>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</si>
  <si>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</si>
  <si>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</si>
  <si>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</si>
  <si>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</si>
  <si>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</si>
  <si>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</si>
  <si>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</si>
  <si>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</si>
  <si>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</si>
  <si>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</si>
  <si>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</si>
  <si>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</si>
  <si>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</si>
  <si>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</si>
  <si>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</si>
  <si>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</si>
  <si>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</si>
  <si>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</si>
  <si>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</si>
  <si>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</si>
  <si>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</si>
  <si>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</si>
  <si>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</si>
  <si>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</si>
  <si>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</si>
  <si>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</si>
  <si>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</si>
  <si>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</si>
  <si>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</si>
  <si>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</si>
  <si>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</si>
  <si>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</si>
  <si>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</si>
  <si>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</si>
  <si>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</si>
  <si>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</si>
  <si>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</si>
  <si>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</si>
  <si>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</si>
  <si>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</si>
  <si>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</si>
  <si>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</si>
  <si>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</si>
  <si>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</si>
  <si>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</si>
  <si>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</si>
  <si>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</si>
  <si>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</si>
  <si>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</si>
  <si>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</si>
  <si>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</si>
  <si>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</si>
  <si>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</si>
  <si>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</si>
  <si>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</si>
  <si>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</si>
  <si>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</si>
  <si>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</si>
  <si>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</si>
  <si>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</si>
  <si>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</si>
  <si>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</si>
  <si>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</si>
  <si>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</si>
  <si>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</si>
  <si>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</si>
  <si>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</si>
  <si>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</si>
  <si>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</si>
  <si>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</si>
  <si>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</si>
  <si>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</si>
  <si>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</si>
  <si>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</si>
  <si>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</si>
  <si>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</si>
  <si>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</si>
  <si>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</si>
  <si>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</si>
  <si>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</si>
  <si>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</si>
  <si>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</si>
  <si>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</si>
  <si>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</si>
  <si>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</si>
  <si>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</si>
  <si>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</si>
  <si>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</si>
  <si>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</si>
  <si>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</si>
  <si>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</si>
  <si>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</si>
  <si>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</si>
  <si>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</si>
  <si>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</si>
  <si>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</si>
  <si>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</si>
  <si>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</si>
  <si>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</si>
  <si>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</si>
  <si>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</si>
  <si>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</si>
  <si>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</si>
  <si>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</si>
  <si>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</si>
  <si>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</si>
  <si>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</si>
  <si>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</si>
  <si>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</si>
  <si>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</si>
  <si>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</si>
  <si>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</si>
  <si>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</si>
  <si>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</si>
  <si>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</si>
  <si>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</si>
  <si>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</si>
  <si>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</si>
  <si>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</si>
  <si>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</si>
  <si>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</si>
  <si>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</si>
  <si>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</si>
  <si>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</si>
  <si>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</si>
  <si>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</si>
  <si>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</si>
  <si>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</si>
  <si>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</si>
  <si>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</si>
  <si>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</si>
  <si>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</si>
  <si>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</si>
  <si>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</si>
  <si>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</si>
  <si>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</si>
  <si>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</si>
  <si>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</si>
  <si>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</si>
  <si>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</si>
  <si>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</si>
  <si>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</si>
  <si>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</si>
  <si>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</si>
  <si>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</si>
  <si>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</si>
  <si>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</si>
  <si>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</si>
  <si>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</si>
  <si>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</si>
  <si>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</si>
  <si>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</si>
  <si>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</si>
  <si>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</si>
  <si>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</si>
  <si>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</si>
  <si>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</si>
  <si>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</si>
  <si>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</si>
  <si>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</si>
  <si>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</si>
  <si>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</si>
  <si>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</si>
  <si>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</si>
  <si>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</si>
  <si>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</si>
  <si>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</si>
  <si>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</si>
  <si>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</si>
  <si>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</si>
  <si>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</si>
  <si>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</si>
  <si>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</si>
  <si>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</si>
  <si>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</si>
  <si>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</si>
  <si>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</si>
  <si>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</si>
  <si>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</si>
  <si>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</si>
  <si>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</si>
  <si>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</si>
  <si>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</si>
  <si>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</si>
  <si>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</si>
  <si>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</si>
  <si>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</si>
  <si>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</si>
  <si>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</si>
  <si>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</si>
  <si>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</si>
  <si>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</si>
  <si>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</si>
  <si>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</si>
  <si>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</si>
  <si>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</si>
  <si>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</si>
  <si>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</si>
  <si>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</si>
  <si>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</si>
  <si>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</si>
  <si>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</si>
  <si>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</si>
  <si>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</si>
  <si>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</si>
  <si>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</si>
  <si>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</si>
  <si>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</si>
  <si>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</si>
  <si>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</si>
  <si>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</si>
  <si>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</si>
  <si>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</si>
  <si>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</si>
  <si>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</si>
  <si>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</si>
  <si>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</si>
  <si>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</si>
  <si>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</si>
  <si>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</si>
  <si>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</si>
  <si>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</si>
  <si>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</si>
  <si>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</si>
  <si>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</si>
  <si>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</si>
  <si>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</si>
  <si>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</si>
  <si>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</si>
  <si>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</si>
  <si>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</si>
  <si>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</si>
  <si>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</si>
  <si>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</si>
  <si>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</si>
  <si>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</si>
  <si>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</si>
  <si>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</si>
  <si>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</si>
  <si>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</si>
  <si>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</si>
  <si>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</si>
  <si>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</si>
  <si>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</si>
  <si>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</si>
  <si>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</si>
  <si>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</si>
  <si>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</si>
  <si>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</si>
  <si>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</si>
  <si>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</si>
  <si>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</si>
  <si>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</si>
  <si>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</si>
  <si>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</si>
  <si>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</si>
  <si>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</si>
  <si>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</si>
  <si>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</si>
  <si>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</si>
  <si>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</si>
  <si>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</si>
  <si>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</si>
  <si>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</si>
  <si>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</si>
  <si>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</si>
  <si>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</si>
  <si>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</si>
  <si>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</si>
  <si>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</si>
  <si>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</si>
  <si>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</si>
  <si>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</si>
  <si>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</si>
  <si>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</si>
  <si>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</si>
  <si>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</si>
  <si>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</si>
  <si>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</si>
  <si>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</si>
  <si>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</si>
  <si>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</si>
  <si>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</si>
  <si>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</si>
  <si>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</si>
  <si>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</si>
  <si>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</si>
  <si>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</si>
  <si>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</si>
  <si>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</si>
  <si>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</si>
  <si>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</si>
  <si>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</si>
  <si>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</si>
  <si>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</si>
  <si>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</si>
  <si>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</si>
  <si>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</si>
  <si>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</si>
  <si>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</si>
  <si>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</si>
  <si>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</si>
  <si>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</si>
  <si>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</si>
  <si>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</si>
  <si>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</si>
  <si>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</si>
  <si>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</si>
  <si>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</si>
  <si>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</si>
  <si>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</si>
  <si>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</si>
  <si>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</si>
  <si>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</si>
  <si>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</si>
  <si>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</si>
  <si>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</si>
  <si>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</si>
  <si>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</si>
  <si>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</si>
  <si>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</si>
  <si>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</si>
  <si>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</si>
  <si>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</si>
  <si>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</si>
  <si>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</si>
  <si>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</si>
  <si>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</si>
  <si>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</si>
  <si>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</si>
  <si>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</si>
  <si>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</si>
  <si>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</si>
  <si>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</si>
  <si>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</si>
  <si>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</si>
  <si>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</si>
  <si>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</si>
  <si>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</si>
  <si>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</si>
  <si>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</si>
  <si>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</si>
  <si>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</si>
  <si>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</si>
  <si>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</si>
  <si>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</si>
  <si>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</si>
  <si>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</si>
  <si>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</si>
  <si>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</si>
  <si>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</si>
  <si>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</si>
  <si>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</si>
  <si>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</si>
  <si>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</si>
  <si>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</si>
  <si>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</si>
  <si>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</si>
  <si>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</si>
  <si>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</si>
  <si>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</si>
  <si>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</si>
  <si>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</si>
  <si>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</si>
  <si>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</si>
  <si>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</si>
  <si>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</si>
  <si>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</si>
  <si>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</si>
  <si>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</si>
  <si>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</si>
  <si>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</si>
  <si>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</si>
  <si>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</si>
  <si>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</si>
  <si>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</si>
  <si>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</si>
  <si>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</si>
  <si>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</si>
  <si>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</si>
  <si>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</si>
  <si>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</si>
  <si>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</si>
  <si>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</si>
  <si>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</si>
  <si>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</si>
  <si>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</si>
  <si>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</si>
  <si>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</si>
  <si>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</si>
  <si>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</si>
  <si>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</si>
  <si>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</si>
  <si>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</si>
  <si>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</si>
  <si>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</si>
  <si>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</si>
  <si>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</si>
  <si>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</si>
  <si>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</si>
  <si>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</si>
  <si>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</si>
  <si>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</si>
  <si>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</si>
  <si>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</si>
  <si>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</si>
  <si>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</si>
  <si>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</si>
  <si>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</si>
  <si>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</si>
  <si>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</si>
  <si>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</si>
  <si>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</si>
  <si>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</si>
  <si>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</si>
  <si>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</si>
  <si>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</si>
  <si>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</si>
  <si>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</si>
  <si>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</si>
  <si>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</si>
  <si>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</si>
  <si>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</si>
  <si>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038</t>
  </si>
  <si>
    <t>Olympic Medical Center</t>
  </si>
  <si>
    <t xml:space="preserve"> 939 Caroline Street</t>
  </si>
  <si>
    <t>Port Angeles, WA  98362</t>
  </si>
  <si>
    <t>Clallam County</t>
  </si>
  <si>
    <t>Eric Lewis</t>
  </si>
  <si>
    <t>Darryl Wolfe</t>
  </si>
  <si>
    <t>Jim Leskinovitch</t>
  </si>
  <si>
    <t>(360)417-7000</t>
  </si>
  <si>
    <t>John Beitzel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</si>
</sst>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7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36" applyNumberFormat="0" applyAlignment="0" applyProtection="0"/>
    <xf numFmtId="0" fontId="24" fillId="13" borderId="37" applyNumberFormat="0" applyAlignment="0" applyProtection="0"/>
    <xf numFmtId="0" fontId="25" fillId="13" borderId="36" applyNumberFormat="0" applyAlignment="0" applyProtection="0"/>
    <xf numFmtId="0" fontId="26" fillId="0" borderId="38" applyNumberFormat="0" applyFill="0" applyAlignment="0" applyProtection="0"/>
    <xf numFmtId="0" fontId="27" fillId="14" borderId="3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1" applyNumberFormat="0" applyFill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1" fillId="39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32" fillId="0" borderId="0" applyNumberFormat="0" applyFill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7" fillId="0" borderId="0"/>
    <xf numFmtId="43" fontId="2" fillId="0" borderId="0" applyFont="0" applyFill="0" applyBorder="0" applyAlignment="0" applyProtection="0"/>
    <xf numFmtId="37" fontId="7" fillId="0" borderId="0"/>
  </cellStyleXfs>
  <cellXfs count="285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3" borderId="0" xfId="0" applyFont="1" applyFill="1" applyAlignment="1" applyProtection="1">
      <alignment horizontal="center" vertical="center"/>
    </xf>
  </cellXfs>
  <cellStyles count="5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2" xfId="53"/>
    <cellStyle name="Comma 3" xfId="50"/>
    <cellStyle name="Currency 2" xfId="46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2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 2 3" xfId="4"/>
    <cellStyle name="Normal 2" xfId="54"/>
    <cellStyle name="Normal 3" xfId="49"/>
    <cellStyle name="Normal 4" xfId="45"/>
    <cellStyle name="Normal 5 2" xfId="52"/>
    <cellStyle name="Note 2" xfId="47"/>
    <cellStyle name="Output" xfId="14" builtinId="21" customBuiltin="1"/>
    <cellStyle name="Percent" xfId="3" builtinId="5"/>
    <cellStyle name="Percent 2" xfId="51"/>
    <cellStyle name="Title" xfId="5" builtinId="15" customBuiltin="1"/>
    <cellStyle name="Title 2" xfId="48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F723" sqref="F7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25" width="11.75" style="180"/>
    <col min="26" max="26" width="14.9140625" style="180" bestFit="1" customWidth="1"/>
    <col min="27" max="32" width="11.75" style="180"/>
    <col min="33" max="33" width="14" style="180" bestFit="1" customWidth="1"/>
    <col min="34" max="43" width="11.75" style="180"/>
    <col min="44" max="44" width="14" style="180" bestFit="1" customWidth="1"/>
    <col min="45" max="57" width="11.75" style="180"/>
    <col min="58" max="58" width="12.6640625" style="180" bestFit="1" customWidth="1"/>
    <col min="59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28425545.239999998</v>
      </c>
      <c r="C48" s="244">
        <f>ROUND(((B48/CE61)*C61),0)</f>
        <v>1271066</v>
      </c>
      <c r="D48" s="244">
        <f>ROUND(((B48/CE61)*D61),0)</f>
        <v>0</v>
      </c>
      <c r="E48" s="195">
        <f>ROUND(((B48/CE61)*E61),0)</f>
        <v>2015486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168607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102368</v>
      </c>
      <c r="P48" s="195">
        <f>ROUND(((B48/CE61)*P61),0)</f>
        <v>786987</v>
      </c>
      <c r="Q48" s="195">
        <f>ROUND(((B48/CE61)*Q61),0)</f>
        <v>185355</v>
      </c>
      <c r="R48" s="195">
        <f>ROUND(((B48/CE61)*R61),0)</f>
        <v>11668</v>
      </c>
      <c r="S48" s="195">
        <f>ROUND(((B48/CE61)*S61),0)</f>
        <v>244941</v>
      </c>
      <c r="T48" s="195">
        <f>ROUND(((B48/CE61)*T61),0)</f>
        <v>20868</v>
      </c>
      <c r="U48" s="195">
        <f>ROUND(((B48/CE61)*U61),0)</f>
        <v>1193352</v>
      </c>
      <c r="V48" s="195">
        <f>ROUND(((B48/CE61)*V61),0)</f>
        <v>648037</v>
      </c>
      <c r="W48" s="195">
        <f>ROUND(((B48/CE61)*W61),0)</f>
        <v>167202</v>
      </c>
      <c r="X48" s="195">
        <f>ROUND(((B48/CE61)*X61),0)</f>
        <v>190983</v>
      </c>
      <c r="Y48" s="195">
        <f>ROUND(((B48/CE61)*Y61),0)</f>
        <v>1216049</v>
      </c>
      <c r="Z48" s="195">
        <f>ROUND(((B48/CE61)*Z61),0)</f>
        <v>663396</v>
      </c>
      <c r="AA48" s="195">
        <f>ROUND(((B48/CE61)*AA61),0)</f>
        <v>24319</v>
      </c>
      <c r="AB48" s="195">
        <f>ROUND(((B48/CE61)*AB61),0)</f>
        <v>604484</v>
      </c>
      <c r="AC48" s="195">
        <f>ROUND(((B48/CE61)*AC61),0)</f>
        <v>222476</v>
      </c>
      <c r="AD48" s="195">
        <f>ROUND(((B48/CE61)*AD61),0)</f>
        <v>0</v>
      </c>
      <c r="AE48" s="195">
        <f>ROUND(((B48/CE61)*AE61),0)</f>
        <v>803177</v>
      </c>
      <c r="AF48" s="195">
        <f>ROUND(((B48/CE61)*AF61),0)</f>
        <v>0</v>
      </c>
      <c r="AG48" s="195">
        <f>ROUND(((B48/CE61)*AG61),0)</f>
        <v>1318218</v>
      </c>
      <c r="AH48" s="195">
        <f>ROUND(((B48/CE61)*AH61),0)</f>
        <v>0</v>
      </c>
      <c r="AI48" s="195">
        <f>ROUND(((B48/CE61)*AI61),0)</f>
        <v>545548</v>
      </c>
      <c r="AJ48" s="195">
        <f>ROUND(((B48/CE61)*AJ61),0)</f>
        <v>7559054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249803</v>
      </c>
      <c r="AQ48" s="195">
        <f>ROUND(((B48/CE61)*AQ61),0)</f>
        <v>0</v>
      </c>
      <c r="AR48" s="195">
        <f>ROUND(((B48/CE61)*AR61),0)</f>
        <v>1587771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928667</v>
      </c>
      <c r="AW48" s="195">
        <f>ROUND(((B48/CE61)*AW61),0)</f>
        <v>0</v>
      </c>
      <c r="AX48" s="195">
        <f>ROUND(((B48/CE61)*AX61),0)</f>
        <v>14227</v>
      </c>
      <c r="AY48" s="195">
        <f>ROUND(((B48/CE61)*AY61),0)</f>
        <v>398882</v>
      </c>
      <c r="AZ48" s="195">
        <f>ROUND(((B48/CE61)*AZ61),0)</f>
        <v>51527</v>
      </c>
      <c r="BA48" s="195">
        <f>ROUND(((B48/CE61)*BA61),0)</f>
        <v>91257</v>
      </c>
      <c r="BB48" s="195">
        <f>ROUND(((B48/CE61)*BB61),0)</f>
        <v>345618</v>
      </c>
      <c r="BC48" s="195">
        <f>ROUND(((B48/CE61)*BC61),0)</f>
        <v>0</v>
      </c>
      <c r="BD48" s="195">
        <f>ROUND(((B48/CE61)*BD61),0)</f>
        <v>169519</v>
      </c>
      <c r="BE48" s="195">
        <f>ROUND(((B48/CE61)*BE61),0)</f>
        <v>282880</v>
      </c>
      <c r="BF48" s="195">
        <f>ROUND(((B48/CE61)*BF61),0)</f>
        <v>406680</v>
      </c>
      <c r="BG48" s="195">
        <f>ROUND(((B48/CE61)*BG61),0)</f>
        <v>0</v>
      </c>
      <c r="BH48" s="195">
        <f>ROUND(((B48/CE61)*BH61),0)</f>
        <v>618846</v>
      </c>
      <c r="BI48" s="195">
        <f>ROUND(((B48/CE61)*BI61),0)</f>
        <v>217307</v>
      </c>
      <c r="BJ48" s="195">
        <f>ROUND(((B48/CE61)*BJ61),0)</f>
        <v>275582</v>
      </c>
      <c r="BK48" s="195">
        <f>ROUND(((B48/CE61)*BK61),0)</f>
        <v>425237</v>
      </c>
      <c r="BL48" s="195">
        <f>ROUND(((B48/CE61)*BL61),0)</f>
        <v>726494</v>
      </c>
      <c r="BM48" s="195">
        <f>ROUND(((B48/CE61)*BM61),0)</f>
        <v>0</v>
      </c>
      <c r="BN48" s="195">
        <f>ROUND(((B48/CE61)*BN61),0)</f>
        <v>187973</v>
      </c>
      <c r="BO48" s="195">
        <f>ROUND(((B48/CE61)*BO61),0)</f>
        <v>26736</v>
      </c>
      <c r="BP48" s="195">
        <f>ROUND(((B48/CE61)*BP61),0)</f>
        <v>65241</v>
      </c>
      <c r="BQ48" s="195">
        <f>ROUND(((B48/CE61)*BQ61),0)</f>
        <v>0</v>
      </c>
      <c r="BR48" s="195">
        <f>ROUND(((B48/CE61)*BR61),0)</f>
        <v>278059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251593</v>
      </c>
      <c r="BW48" s="195">
        <f>ROUND(((B48/CE61)*BW61),0)</f>
        <v>46305</v>
      </c>
      <c r="BX48" s="195">
        <f>ROUND(((B48/CE61)*BX61),0)</f>
        <v>0</v>
      </c>
      <c r="BY48" s="195">
        <f>ROUND(((B48/CE61)*BY61),0)</f>
        <v>240436</v>
      </c>
      <c r="BZ48" s="195">
        <f>ROUND(((B48/CE61)*BZ61),0)</f>
        <v>0</v>
      </c>
      <c r="CA48" s="195">
        <f>ROUND(((B48/CE61)*CA61),0)</f>
        <v>83729</v>
      </c>
      <c r="CB48" s="195">
        <f>ROUND(((B48/CE61)*CB61),0)</f>
        <v>0</v>
      </c>
      <c r="CC48" s="195">
        <f>ROUND(((B48/CE61)*CC61),0)</f>
        <v>491536</v>
      </c>
      <c r="CD48" s="195"/>
      <c r="CE48" s="195">
        <f>SUM(C48:CD48)</f>
        <v>28425546</v>
      </c>
    </row>
    <row r="49" spans="1:84" ht="12.6" customHeight="1" x14ac:dyDescent="0.25">
      <c r="A49" s="175" t="s">
        <v>206</v>
      </c>
      <c r="B49" s="195">
        <f>B47+B48</f>
        <v>28425545.239999998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10477115</v>
      </c>
      <c r="C52" s="195">
        <f>ROUND((B52/(CE76+CF76)*C76),0)</f>
        <v>193729</v>
      </c>
      <c r="D52" s="195">
        <f>ROUND((B52/(CE76+CF76)*D76),0)</f>
        <v>0</v>
      </c>
      <c r="E52" s="195">
        <f>ROUND((B52/(CE76+CF76)*E76),0)</f>
        <v>856929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25423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66854</v>
      </c>
      <c r="P52" s="195">
        <f>ROUND((B52/(CE76+CF76)*P76),0)</f>
        <v>415201</v>
      </c>
      <c r="Q52" s="195">
        <f>ROUND((B52/(CE76+CF76)*Q76),0)</f>
        <v>37709</v>
      </c>
      <c r="R52" s="195">
        <f>ROUND((B52/(CE76+CF76)*R76),0)</f>
        <v>15211</v>
      </c>
      <c r="S52" s="195">
        <f>ROUND((B52/(CE76+CF76)*S76),0)</f>
        <v>82385</v>
      </c>
      <c r="T52" s="195">
        <f>ROUND((B52/(CE76+CF76)*T76),0)</f>
        <v>0</v>
      </c>
      <c r="U52" s="195">
        <f>ROUND((B52/(CE76+CF76)*U76),0)</f>
        <v>271061</v>
      </c>
      <c r="V52" s="195">
        <f>ROUND((B52/(CE76+CF76)*V76),0)</f>
        <v>289596</v>
      </c>
      <c r="W52" s="195">
        <f>ROUND((B52/(CE76+CF76)*W76),0)</f>
        <v>0</v>
      </c>
      <c r="X52" s="195">
        <f>ROUND((B52/(CE76+CF76)*X76),0)</f>
        <v>25928</v>
      </c>
      <c r="Y52" s="195">
        <f>ROUND((B52/(CE76+CF76)*Y76),0)</f>
        <v>762444</v>
      </c>
      <c r="Z52" s="195">
        <f>ROUND((B52/(CE76+CF76)*Z76),0)</f>
        <v>276566</v>
      </c>
      <c r="AA52" s="195">
        <f>ROUND((B52/(CE76+CF76)*AA76),0)</f>
        <v>29305</v>
      </c>
      <c r="AB52" s="195">
        <f>ROUND((B52/(CE76+CF76)*AB76),0)</f>
        <v>61589</v>
      </c>
      <c r="AC52" s="195">
        <f>ROUND((B52/(CE76+CF76)*AC76),0)</f>
        <v>69335</v>
      </c>
      <c r="AD52" s="195">
        <f>ROUND((B52/(CE76+CF76)*AD76),0)</f>
        <v>0</v>
      </c>
      <c r="AE52" s="195">
        <f>ROUND((B52/(CE76+CF76)*AE76),0)</f>
        <v>143096</v>
      </c>
      <c r="AF52" s="195">
        <f>ROUND((B52/(CE76+CF76)*AF76),0)</f>
        <v>0</v>
      </c>
      <c r="AG52" s="195">
        <f>ROUND((B52/(CE76+CF76)*AG76),0)</f>
        <v>184422</v>
      </c>
      <c r="AH52" s="195">
        <f>ROUND((B52/(CE76+CF76)*AH76),0)</f>
        <v>0</v>
      </c>
      <c r="AI52" s="195">
        <f>ROUND((B52/(CE76+CF76)*AI76),0)</f>
        <v>336985</v>
      </c>
      <c r="AJ52" s="195">
        <f>ROUND((B52/(CE76+CF76)*AJ76),0)</f>
        <v>1604641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221013</v>
      </c>
      <c r="AQ52" s="195">
        <f>ROUND((B52/(CE76+CF76)*AQ76),0)</f>
        <v>0</v>
      </c>
      <c r="AR52" s="195">
        <f>ROUND((B52/(CE76+CF76)*AR76),0)</f>
        <v>154904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4255</v>
      </c>
      <c r="AY52" s="195">
        <f>ROUND((B52/(CE76+CF76)*AY76),0)</f>
        <v>74540</v>
      </c>
      <c r="AZ52" s="195">
        <f>ROUND((B52/(CE76+CF76)*AZ76),0)</f>
        <v>113924</v>
      </c>
      <c r="BA52" s="195">
        <f>ROUND((B52/(CE76+CF76)*BA76),0)</f>
        <v>108127</v>
      </c>
      <c r="BB52" s="195">
        <f>ROUND((B52/(CE76+CF76)*BB76),0)</f>
        <v>9467</v>
      </c>
      <c r="BC52" s="195">
        <f>ROUND((B52/(CE76+CF76)*BC76),0)</f>
        <v>0</v>
      </c>
      <c r="BD52" s="195">
        <f>ROUND((B52/(CE76+CF76)*BD76),0)</f>
        <v>153148</v>
      </c>
      <c r="BE52" s="195">
        <f>ROUND((B52/(CE76+CF76)*BE76),0)</f>
        <v>2033797</v>
      </c>
      <c r="BF52" s="195">
        <f>ROUND((B52/(CE76+CF76)*BF76),0)</f>
        <v>9440</v>
      </c>
      <c r="BG52" s="195">
        <f>ROUND((B52/(CE76+CF76)*BG76),0)</f>
        <v>0</v>
      </c>
      <c r="BH52" s="195">
        <f>ROUND((B52/(CE76+CF76)*BH76),0)</f>
        <v>54914</v>
      </c>
      <c r="BI52" s="195">
        <f>ROUND((B52/(CE76+CF76)*BI76),0)</f>
        <v>7446</v>
      </c>
      <c r="BJ52" s="195">
        <f>ROUND((B52/(CE76+CF76)*BJ76),0)</f>
        <v>30236</v>
      </c>
      <c r="BK52" s="195">
        <f>ROUND((B52/(CE76+CF76)*BK76),0)</f>
        <v>132964</v>
      </c>
      <c r="BL52" s="195">
        <f>ROUND((B52/(CE76+CF76)*BL76),0)</f>
        <v>332890</v>
      </c>
      <c r="BM52" s="195">
        <f>ROUND((B52/(CE76+CF76)*BM76),0)</f>
        <v>0</v>
      </c>
      <c r="BN52" s="195">
        <f>ROUND((B52/(CE76+CF76)*BN76),0)</f>
        <v>807892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32443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132512</v>
      </c>
      <c r="BW52" s="195">
        <f>ROUND((B52/(CE76+CF76)*BW76),0)</f>
        <v>3776</v>
      </c>
      <c r="BX52" s="195">
        <f>ROUND((B52/(CE76+CF76)*BX76),0)</f>
        <v>0</v>
      </c>
      <c r="BY52" s="195">
        <f>ROUND((B52/(CE76+CF76)*BY76),0)</f>
        <v>34225</v>
      </c>
      <c r="BZ52" s="195">
        <f>ROUND((B52/(CE76+CF76)*BZ76),0)</f>
        <v>0</v>
      </c>
      <c r="CA52" s="195">
        <f>ROUND((B52/(CE76+CF76)*CA76),0)</f>
        <v>19466</v>
      </c>
      <c r="CB52" s="195">
        <f>ROUND((B52/(CE76+CF76)*CB76),0)</f>
        <v>0</v>
      </c>
      <c r="CC52" s="195">
        <f>ROUND((B52/(CE76+CF76)*CC76),0)</f>
        <v>257313</v>
      </c>
      <c r="CD52" s="195"/>
      <c r="CE52" s="195">
        <f>SUM(C52:CD52)</f>
        <v>10477101</v>
      </c>
    </row>
    <row r="53" spans="1:84" ht="12.6" customHeight="1" x14ac:dyDescent="0.25">
      <c r="A53" s="175" t="s">
        <v>206</v>
      </c>
      <c r="B53" s="195">
        <f>B51+B52</f>
        <v>10477115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4191</v>
      </c>
      <c r="D59" s="184"/>
      <c r="E59" s="184">
        <v>10345</v>
      </c>
      <c r="F59" s="184"/>
      <c r="G59" s="184"/>
      <c r="H59" s="184"/>
      <c r="I59" s="184"/>
      <c r="J59" s="184">
        <v>994</v>
      </c>
      <c r="K59" s="184"/>
      <c r="L59" s="184"/>
      <c r="M59" s="184"/>
      <c r="N59" s="184"/>
      <c r="O59" s="184">
        <v>337</v>
      </c>
      <c r="P59" s="185">
        <v>313427</v>
      </c>
      <c r="Q59" s="185">
        <v>162108</v>
      </c>
      <c r="R59" s="185">
        <v>413100</v>
      </c>
      <c r="S59" s="247"/>
      <c r="T59" s="247"/>
      <c r="U59" s="224">
        <v>572041</v>
      </c>
      <c r="V59" s="185">
        <v>31588</v>
      </c>
      <c r="W59" s="185">
        <v>6491</v>
      </c>
      <c r="X59" s="185">
        <v>17396</v>
      </c>
      <c r="Y59" s="185">
        <v>69638</v>
      </c>
      <c r="Z59" s="185">
        <v>16535.349999999999</v>
      </c>
      <c r="AA59" s="185">
        <v>644</v>
      </c>
      <c r="AB59" s="247"/>
      <c r="AC59" s="185">
        <v>26371</v>
      </c>
      <c r="AD59" s="185"/>
      <c r="AE59" s="185">
        <v>79100</v>
      </c>
      <c r="AF59" s="185"/>
      <c r="AG59" s="185">
        <v>29463</v>
      </c>
      <c r="AH59" s="185"/>
      <c r="AI59" s="185">
        <v>13134</v>
      </c>
      <c r="AJ59" s="185">
        <v>157644</v>
      </c>
      <c r="AK59" s="185"/>
      <c r="AL59" s="185"/>
      <c r="AM59" s="185"/>
      <c r="AN59" s="185"/>
      <c r="AO59" s="185"/>
      <c r="AP59" s="185">
        <v>7123</v>
      </c>
      <c r="AQ59" s="185"/>
      <c r="AR59" s="185">
        <v>51477</v>
      </c>
      <c r="AS59" s="185"/>
      <c r="AT59" s="185"/>
      <c r="AU59" s="185"/>
      <c r="AV59" s="247"/>
      <c r="AW59" s="247"/>
      <c r="AX59" s="247"/>
      <c r="AY59" s="185">
        <v>46374</v>
      </c>
      <c r="AZ59" s="185"/>
      <c r="BA59" s="247"/>
      <c r="BB59" s="247"/>
      <c r="BC59" s="247"/>
      <c r="BD59" s="247"/>
      <c r="BE59" s="185">
        <v>393982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52.114644230000003</v>
      </c>
      <c r="D60" s="187"/>
      <c r="E60" s="187">
        <v>92.633949999999999</v>
      </c>
      <c r="F60" s="223"/>
      <c r="G60" s="187"/>
      <c r="H60" s="187"/>
      <c r="I60" s="187"/>
      <c r="J60" s="223">
        <v>5.7513209999999999</v>
      </c>
      <c r="K60" s="187"/>
      <c r="L60" s="187"/>
      <c r="M60" s="187"/>
      <c r="N60" s="187"/>
      <c r="O60" s="187">
        <v>3.4918740000000001</v>
      </c>
      <c r="P60" s="221">
        <v>34.791317309999997</v>
      </c>
      <c r="Q60" s="221">
        <v>5.7859855700000002</v>
      </c>
      <c r="R60" s="221">
        <v>1.1154807689999999</v>
      </c>
      <c r="S60" s="221">
        <v>19.248576920000001</v>
      </c>
      <c r="T60" s="221">
        <v>0.645403846</v>
      </c>
      <c r="U60" s="221">
        <v>68.978687500000007</v>
      </c>
      <c r="V60" s="221">
        <v>31.747937499999999</v>
      </c>
      <c r="W60" s="221">
        <v>7.6462019229999996</v>
      </c>
      <c r="X60" s="221">
        <v>8.8247884620000008</v>
      </c>
      <c r="Y60" s="221">
        <v>64.988798079999995</v>
      </c>
      <c r="Z60" s="221">
        <v>18.768408650000001</v>
      </c>
      <c r="AA60" s="221">
        <v>0.97015384599999999</v>
      </c>
      <c r="AB60" s="221">
        <v>21.68628846</v>
      </c>
      <c r="AC60" s="221">
        <v>11.082317310000001</v>
      </c>
      <c r="AD60" s="221"/>
      <c r="AE60" s="221">
        <v>36.345947119999998</v>
      </c>
      <c r="AF60" s="221"/>
      <c r="AG60" s="221">
        <v>54.796990379999997</v>
      </c>
      <c r="AH60" s="221"/>
      <c r="AI60" s="221">
        <v>22.31161058</v>
      </c>
      <c r="AJ60" s="221">
        <v>260.65209620000002</v>
      </c>
      <c r="AK60" s="221"/>
      <c r="AL60" s="221"/>
      <c r="AM60" s="221"/>
      <c r="AN60" s="221"/>
      <c r="AO60" s="221"/>
      <c r="AP60" s="221">
        <v>9.7875528850000002</v>
      </c>
      <c r="AQ60" s="221"/>
      <c r="AR60" s="221">
        <v>73.273052879999995</v>
      </c>
      <c r="AS60" s="221"/>
      <c r="AT60" s="221"/>
      <c r="AU60" s="221"/>
      <c r="AV60" s="221">
        <v>17.777995189999999</v>
      </c>
      <c r="AW60" s="221"/>
      <c r="AX60" s="221">
        <v>1.000600962</v>
      </c>
      <c r="AY60" s="221">
        <v>37.865600960000002</v>
      </c>
      <c r="AZ60" s="221">
        <v>3.4385625000000002</v>
      </c>
      <c r="BA60" s="221">
        <v>9.3808894229999993</v>
      </c>
      <c r="BB60" s="221">
        <v>15.35597596</v>
      </c>
      <c r="BC60" s="221"/>
      <c r="BD60" s="221">
        <v>11.14317308</v>
      </c>
      <c r="BE60" s="221">
        <v>18.584596149999999</v>
      </c>
      <c r="BF60" s="221">
        <v>38.355403850000002</v>
      </c>
      <c r="BG60" s="221"/>
      <c r="BH60" s="221">
        <v>28.300745190000001</v>
      </c>
      <c r="BI60" s="221">
        <v>18.49128365</v>
      </c>
      <c r="BJ60" s="221">
        <v>15.54142308</v>
      </c>
      <c r="BK60" s="221">
        <v>32.497778850000003</v>
      </c>
      <c r="BL60" s="221">
        <v>68.535730770000001</v>
      </c>
      <c r="BM60" s="221"/>
      <c r="BN60" s="221">
        <v>4.453990385</v>
      </c>
      <c r="BO60" s="221">
        <v>1.374086538</v>
      </c>
      <c r="BP60" s="221">
        <v>3</v>
      </c>
      <c r="BQ60" s="221"/>
      <c r="BR60" s="221">
        <v>14.04272596</v>
      </c>
      <c r="BS60" s="221"/>
      <c r="BT60" s="221"/>
      <c r="BU60" s="221"/>
      <c r="BV60" s="221">
        <v>18.29866827</v>
      </c>
      <c r="BW60" s="221">
        <v>2.0518605769999998</v>
      </c>
      <c r="BX60" s="221"/>
      <c r="BY60" s="221">
        <v>7.3907211540000004</v>
      </c>
      <c r="BZ60" s="221"/>
      <c r="CA60" s="221">
        <v>4.1898557690000002</v>
      </c>
      <c r="CB60" s="221"/>
      <c r="CC60" s="221">
        <v>25.235985580000001</v>
      </c>
      <c r="CD60" s="248" t="s">
        <v>221</v>
      </c>
      <c r="CE60" s="250">
        <f t="shared" ref="CE60:CE70" si="0">SUM(C60:CD60)</f>
        <v>1303.7470392690002</v>
      </c>
    </row>
    <row r="61" spans="1:84" ht="12.6" customHeight="1" x14ac:dyDescent="0.25">
      <c r="A61" s="171" t="s">
        <v>235</v>
      </c>
      <c r="B61" s="175"/>
      <c r="C61" s="184">
        <v>4316698.97</v>
      </c>
      <c r="D61" s="184"/>
      <c r="E61" s="184">
        <v>6844841.6200000001</v>
      </c>
      <c r="F61" s="185"/>
      <c r="G61" s="184"/>
      <c r="H61" s="184"/>
      <c r="I61" s="185"/>
      <c r="J61" s="185">
        <v>572609.6</v>
      </c>
      <c r="K61" s="185"/>
      <c r="L61" s="185"/>
      <c r="M61" s="184"/>
      <c r="N61" s="184"/>
      <c r="O61" s="184">
        <v>347655.8</v>
      </c>
      <c r="P61" s="185">
        <v>2672705.0299999998</v>
      </c>
      <c r="Q61" s="185">
        <v>629488.09</v>
      </c>
      <c r="R61" s="185">
        <v>39625.39</v>
      </c>
      <c r="S61" s="185">
        <v>831851.01</v>
      </c>
      <c r="T61" s="185">
        <v>70868.710000000006</v>
      </c>
      <c r="U61" s="185">
        <v>4052772.4</v>
      </c>
      <c r="V61" s="185">
        <v>2200814.63</v>
      </c>
      <c r="W61" s="185">
        <v>567837.68999999994</v>
      </c>
      <c r="X61" s="185">
        <v>648603.37</v>
      </c>
      <c r="Y61" s="185">
        <v>4129855.81</v>
      </c>
      <c r="Z61" s="185">
        <v>2252975.2000000002</v>
      </c>
      <c r="AA61" s="185">
        <v>82591.7</v>
      </c>
      <c r="AB61" s="185">
        <v>2052903.8</v>
      </c>
      <c r="AC61" s="185">
        <v>755557.57</v>
      </c>
      <c r="AD61" s="185"/>
      <c r="AE61" s="185">
        <v>2727689.29</v>
      </c>
      <c r="AF61" s="185"/>
      <c r="AG61" s="185">
        <v>4476832.07</v>
      </c>
      <c r="AH61" s="185"/>
      <c r="AI61" s="185">
        <v>1852748.41</v>
      </c>
      <c r="AJ61" s="185">
        <v>25671491.960000001</v>
      </c>
      <c r="AK61" s="185"/>
      <c r="AL61" s="185"/>
      <c r="AM61" s="185"/>
      <c r="AN61" s="185"/>
      <c r="AO61" s="185"/>
      <c r="AP61" s="185">
        <v>848362.91</v>
      </c>
      <c r="AQ61" s="185"/>
      <c r="AR61" s="185">
        <v>5392269.2199999997</v>
      </c>
      <c r="AS61" s="185"/>
      <c r="AT61" s="185"/>
      <c r="AU61" s="185"/>
      <c r="AV61" s="185">
        <v>3153870</v>
      </c>
      <c r="AW61" s="185"/>
      <c r="AX61" s="185">
        <v>48316.62</v>
      </c>
      <c r="AY61" s="185">
        <v>1354652.22</v>
      </c>
      <c r="AZ61" s="185">
        <v>174993.07</v>
      </c>
      <c r="BA61" s="185">
        <v>309918.8</v>
      </c>
      <c r="BB61" s="185">
        <v>1173761.33</v>
      </c>
      <c r="BC61" s="185"/>
      <c r="BD61" s="185">
        <v>575709.26</v>
      </c>
      <c r="BE61" s="185">
        <v>960695.27</v>
      </c>
      <c r="BF61" s="185">
        <v>1381135.38</v>
      </c>
      <c r="BG61" s="185"/>
      <c r="BH61" s="185">
        <v>2101678.9900000002</v>
      </c>
      <c r="BI61" s="185">
        <v>738003.16</v>
      </c>
      <c r="BJ61" s="185">
        <v>935911.26</v>
      </c>
      <c r="BK61" s="185">
        <v>1444157.88</v>
      </c>
      <c r="BL61" s="185">
        <v>2467265.35</v>
      </c>
      <c r="BM61" s="185"/>
      <c r="BN61" s="185">
        <v>638379.99</v>
      </c>
      <c r="BO61" s="185">
        <v>90797.28</v>
      </c>
      <c r="BP61" s="185">
        <v>221565.19</v>
      </c>
      <c r="BQ61" s="185"/>
      <c r="BR61" s="185">
        <v>944321.74</v>
      </c>
      <c r="BS61" s="185"/>
      <c r="BT61" s="185"/>
      <c r="BU61" s="185"/>
      <c r="BV61" s="185">
        <v>854441.58</v>
      </c>
      <c r="BW61" s="185">
        <v>157257.54999999999</v>
      </c>
      <c r="BX61" s="185"/>
      <c r="BY61" s="185">
        <v>816550.75</v>
      </c>
      <c r="BZ61" s="185"/>
      <c r="CA61" s="185">
        <v>284354.2</v>
      </c>
      <c r="CB61" s="185"/>
      <c r="CC61" s="185">
        <v>1669318.24</v>
      </c>
      <c r="CD61" s="248" t="s">
        <v>221</v>
      </c>
      <c r="CE61" s="195">
        <f t="shared" si="0"/>
        <v>96536705.359999955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1271066</v>
      </c>
      <c r="D62" s="195">
        <f t="shared" si="1"/>
        <v>0</v>
      </c>
      <c r="E62" s="195">
        <f t="shared" si="1"/>
        <v>2015486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168607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102368</v>
      </c>
      <c r="P62" s="195">
        <f t="shared" si="1"/>
        <v>786987</v>
      </c>
      <c r="Q62" s="195">
        <f t="shared" si="1"/>
        <v>185355</v>
      </c>
      <c r="R62" s="195">
        <f t="shared" si="1"/>
        <v>11668</v>
      </c>
      <c r="S62" s="195">
        <f t="shared" si="1"/>
        <v>244941</v>
      </c>
      <c r="T62" s="195">
        <f t="shared" si="1"/>
        <v>20868</v>
      </c>
      <c r="U62" s="195">
        <f t="shared" si="1"/>
        <v>1193352</v>
      </c>
      <c r="V62" s="195">
        <f t="shared" si="1"/>
        <v>648037</v>
      </c>
      <c r="W62" s="195">
        <f t="shared" si="1"/>
        <v>167202</v>
      </c>
      <c r="X62" s="195">
        <f t="shared" si="1"/>
        <v>190983</v>
      </c>
      <c r="Y62" s="195">
        <f t="shared" si="1"/>
        <v>1216049</v>
      </c>
      <c r="Z62" s="195">
        <f t="shared" si="1"/>
        <v>663396</v>
      </c>
      <c r="AA62" s="195">
        <f t="shared" si="1"/>
        <v>24319</v>
      </c>
      <c r="AB62" s="195">
        <f t="shared" si="1"/>
        <v>604484</v>
      </c>
      <c r="AC62" s="195">
        <f t="shared" si="1"/>
        <v>222476</v>
      </c>
      <c r="AD62" s="195">
        <f t="shared" si="1"/>
        <v>0</v>
      </c>
      <c r="AE62" s="195">
        <f t="shared" si="1"/>
        <v>803177</v>
      </c>
      <c r="AF62" s="195">
        <f t="shared" si="1"/>
        <v>0</v>
      </c>
      <c r="AG62" s="195">
        <f t="shared" si="1"/>
        <v>1318218</v>
      </c>
      <c r="AH62" s="195">
        <f t="shared" si="1"/>
        <v>0</v>
      </c>
      <c r="AI62" s="195">
        <f t="shared" si="1"/>
        <v>545548</v>
      </c>
      <c r="AJ62" s="195">
        <f t="shared" si="1"/>
        <v>7559054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249803</v>
      </c>
      <c r="AQ62" s="195">
        <f t="shared" si="1"/>
        <v>0</v>
      </c>
      <c r="AR62" s="195">
        <f t="shared" si="1"/>
        <v>1587771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928667</v>
      </c>
      <c r="AW62" s="195">
        <f t="shared" si="1"/>
        <v>0</v>
      </c>
      <c r="AX62" s="195">
        <f t="shared" si="1"/>
        <v>14227</v>
      </c>
      <c r="AY62" s="195">
        <f>ROUND(AY47+AY48,0)</f>
        <v>398882</v>
      </c>
      <c r="AZ62" s="195">
        <f>ROUND(AZ47+AZ48,0)</f>
        <v>51527</v>
      </c>
      <c r="BA62" s="195">
        <f>ROUND(BA47+BA48,0)</f>
        <v>91257</v>
      </c>
      <c r="BB62" s="195">
        <f t="shared" si="1"/>
        <v>345618</v>
      </c>
      <c r="BC62" s="195">
        <f t="shared" si="1"/>
        <v>0</v>
      </c>
      <c r="BD62" s="195">
        <f t="shared" si="1"/>
        <v>169519</v>
      </c>
      <c r="BE62" s="195">
        <f t="shared" si="1"/>
        <v>282880</v>
      </c>
      <c r="BF62" s="195">
        <f t="shared" si="1"/>
        <v>406680</v>
      </c>
      <c r="BG62" s="195">
        <f t="shared" si="1"/>
        <v>0</v>
      </c>
      <c r="BH62" s="195">
        <f t="shared" si="1"/>
        <v>618846</v>
      </c>
      <c r="BI62" s="195">
        <f t="shared" si="1"/>
        <v>217307</v>
      </c>
      <c r="BJ62" s="195">
        <f t="shared" si="1"/>
        <v>275582</v>
      </c>
      <c r="BK62" s="195">
        <f t="shared" si="1"/>
        <v>425237</v>
      </c>
      <c r="BL62" s="195">
        <f t="shared" si="1"/>
        <v>726494</v>
      </c>
      <c r="BM62" s="195">
        <f t="shared" si="1"/>
        <v>0</v>
      </c>
      <c r="BN62" s="195">
        <f t="shared" si="1"/>
        <v>187973</v>
      </c>
      <c r="BO62" s="195">
        <f t="shared" ref="BO62:CC62" si="2">ROUND(BO47+BO48,0)</f>
        <v>26736</v>
      </c>
      <c r="BP62" s="195">
        <f t="shared" si="2"/>
        <v>65241</v>
      </c>
      <c r="BQ62" s="195">
        <f t="shared" si="2"/>
        <v>0</v>
      </c>
      <c r="BR62" s="195">
        <f t="shared" si="2"/>
        <v>278059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251593</v>
      </c>
      <c r="BW62" s="195">
        <f t="shared" si="2"/>
        <v>46305</v>
      </c>
      <c r="BX62" s="195">
        <f t="shared" si="2"/>
        <v>0</v>
      </c>
      <c r="BY62" s="195">
        <f t="shared" si="2"/>
        <v>240436</v>
      </c>
      <c r="BZ62" s="195">
        <f t="shared" si="2"/>
        <v>0</v>
      </c>
      <c r="CA62" s="195">
        <f t="shared" si="2"/>
        <v>83729</v>
      </c>
      <c r="CB62" s="195">
        <f t="shared" si="2"/>
        <v>0</v>
      </c>
      <c r="CC62" s="195">
        <f t="shared" si="2"/>
        <v>491536</v>
      </c>
      <c r="CD62" s="248" t="s">
        <v>221</v>
      </c>
      <c r="CE62" s="195">
        <f t="shared" si="0"/>
        <v>28425546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21069.72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152352.07999999999</v>
      </c>
      <c r="Q63" s="185"/>
      <c r="R63" s="185">
        <v>817920.44</v>
      </c>
      <c r="S63" s="185"/>
      <c r="T63" s="185"/>
      <c r="U63" s="185">
        <v>44999.96</v>
      </c>
      <c r="V63" s="185">
        <v>162400</v>
      </c>
      <c r="W63" s="185"/>
      <c r="X63" s="185"/>
      <c r="Y63" s="185">
        <v>25800</v>
      </c>
      <c r="Z63" s="185">
        <v>52438.74</v>
      </c>
      <c r="AA63" s="185"/>
      <c r="AB63" s="185">
        <v>8914.36</v>
      </c>
      <c r="AC63" s="185"/>
      <c r="AD63" s="185"/>
      <c r="AE63" s="185"/>
      <c r="AF63" s="185"/>
      <c r="AG63" s="185">
        <v>4698175.96</v>
      </c>
      <c r="AH63" s="185"/>
      <c r="AI63" s="185">
        <v>125564.33</v>
      </c>
      <c r="AJ63" s="185">
        <v>2719122.4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288141.81</v>
      </c>
      <c r="AW63" s="185"/>
      <c r="AX63" s="185"/>
      <c r="AY63" s="185"/>
      <c r="AZ63" s="185"/>
      <c r="BA63" s="185"/>
      <c r="BB63" s="185">
        <v>1136.79</v>
      </c>
      <c r="BC63" s="185"/>
      <c r="BD63" s="185">
        <v>26736</v>
      </c>
      <c r="BE63" s="185">
        <v>11436.33</v>
      </c>
      <c r="BF63" s="185"/>
      <c r="BG63" s="185"/>
      <c r="BH63" s="185">
        <v>34550.910000000003</v>
      </c>
      <c r="BI63" s="185"/>
      <c r="BJ63" s="185">
        <v>202244.31</v>
      </c>
      <c r="BK63" s="185">
        <v>8500</v>
      </c>
      <c r="BL63" s="185"/>
      <c r="BM63" s="185"/>
      <c r="BN63" s="185">
        <v>133844.38</v>
      </c>
      <c r="BO63" s="185"/>
      <c r="BP63" s="185"/>
      <c r="BQ63" s="185"/>
      <c r="BR63" s="185">
        <v>68101.23</v>
      </c>
      <c r="BS63" s="185"/>
      <c r="BT63" s="185"/>
      <c r="BU63" s="185"/>
      <c r="BV63" s="185">
        <v>36375</v>
      </c>
      <c r="BW63" s="185">
        <v>18999.96</v>
      </c>
      <c r="BX63" s="185"/>
      <c r="BY63" s="185"/>
      <c r="BZ63" s="185"/>
      <c r="CA63" s="185"/>
      <c r="CB63" s="185"/>
      <c r="CC63" s="185">
        <v>5435</v>
      </c>
      <c r="CD63" s="248" t="s">
        <v>221</v>
      </c>
      <c r="CE63" s="195">
        <f t="shared" si="0"/>
        <v>9664259.7100000028</v>
      </c>
      <c r="CF63" s="251"/>
    </row>
    <row r="64" spans="1:84" ht="12.6" customHeight="1" x14ac:dyDescent="0.25">
      <c r="A64" s="171" t="s">
        <v>237</v>
      </c>
      <c r="B64" s="175"/>
      <c r="C64" s="184">
        <v>276899.33</v>
      </c>
      <c r="D64" s="184"/>
      <c r="E64" s="185">
        <v>402658.75</v>
      </c>
      <c r="F64" s="185"/>
      <c r="G64" s="184"/>
      <c r="H64" s="184"/>
      <c r="I64" s="185"/>
      <c r="J64" s="185">
        <v>44855.46</v>
      </c>
      <c r="K64" s="185"/>
      <c r="L64" s="185"/>
      <c r="M64" s="184"/>
      <c r="N64" s="184"/>
      <c r="O64" s="184">
        <v>27233.67</v>
      </c>
      <c r="P64" s="185">
        <v>5949145.3600000003</v>
      </c>
      <c r="Q64" s="185">
        <v>27834.26</v>
      </c>
      <c r="R64" s="185">
        <v>200309.74</v>
      </c>
      <c r="S64" s="185">
        <v>159919.57</v>
      </c>
      <c r="T64" s="185">
        <v>125262.1</v>
      </c>
      <c r="U64" s="185">
        <v>1666316</v>
      </c>
      <c r="V64" s="185">
        <v>484279.27</v>
      </c>
      <c r="W64" s="185">
        <v>36265.660000000003</v>
      </c>
      <c r="X64" s="185">
        <v>113924.03</v>
      </c>
      <c r="Y64" s="185">
        <v>287845.65000000002</v>
      </c>
      <c r="Z64" s="185">
        <v>76464.759999999995</v>
      </c>
      <c r="AA64" s="185">
        <v>483369.55</v>
      </c>
      <c r="AB64" s="185">
        <v>15446489.68</v>
      </c>
      <c r="AC64" s="185">
        <v>127466.6</v>
      </c>
      <c r="AD64" s="185"/>
      <c r="AE64" s="185">
        <v>41162.019999999997</v>
      </c>
      <c r="AF64" s="185"/>
      <c r="AG64" s="185">
        <v>525827.47</v>
      </c>
      <c r="AH64" s="185"/>
      <c r="AI64" s="185">
        <v>273412.59000000003</v>
      </c>
      <c r="AJ64" s="185">
        <v>1907485.65</v>
      </c>
      <c r="AK64" s="185"/>
      <c r="AL64" s="185"/>
      <c r="AM64" s="185"/>
      <c r="AN64" s="185"/>
      <c r="AO64" s="185"/>
      <c r="AP64" s="185">
        <v>194620.67</v>
      </c>
      <c r="AQ64" s="185"/>
      <c r="AR64" s="185">
        <v>237160.46</v>
      </c>
      <c r="AS64" s="185"/>
      <c r="AT64" s="185"/>
      <c r="AU64" s="185"/>
      <c r="AV64" s="185">
        <v>14294.91</v>
      </c>
      <c r="AW64" s="185"/>
      <c r="AX64" s="185">
        <v>51349.72</v>
      </c>
      <c r="AY64" s="185">
        <v>870354.37</v>
      </c>
      <c r="AZ64" s="185">
        <v>3257.76</v>
      </c>
      <c r="BA64" s="185">
        <v>186052.78</v>
      </c>
      <c r="BB64" s="185">
        <v>2992.78</v>
      </c>
      <c r="BC64" s="185"/>
      <c r="BD64" s="185">
        <v>137508.82</v>
      </c>
      <c r="BE64" s="185">
        <v>222665.77</v>
      </c>
      <c r="BF64" s="185">
        <v>251263.32</v>
      </c>
      <c r="BG64" s="185"/>
      <c r="BH64" s="185">
        <v>257529.26</v>
      </c>
      <c r="BI64" s="185">
        <v>5266.77</v>
      </c>
      <c r="BJ64" s="185">
        <v>14201.05</v>
      </c>
      <c r="BK64" s="185">
        <v>18954.13</v>
      </c>
      <c r="BL64" s="185">
        <v>59433.599999999999</v>
      </c>
      <c r="BM64" s="185"/>
      <c r="BN64" s="185">
        <v>49541.08</v>
      </c>
      <c r="BO64" s="185">
        <v>55061.31</v>
      </c>
      <c r="BP64" s="185">
        <v>39638.69</v>
      </c>
      <c r="BQ64" s="185"/>
      <c r="BR64" s="185">
        <v>38944.86</v>
      </c>
      <c r="BS64" s="185"/>
      <c r="BT64" s="185"/>
      <c r="BU64" s="185"/>
      <c r="BV64" s="185">
        <v>15155.02</v>
      </c>
      <c r="BW64" s="185">
        <v>23703.66</v>
      </c>
      <c r="BX64" s="185"/>
      <c r="BY64" s="185">
        <v>3770.49</v>
      </c>
      <c r="BZ64" s="185"/>
      <c r="CA64" s="185">
        <v>17780.09</v>
      </c>
      <c r="CB64" s="185"/>
      <c r="CC64" s="185">
        <v>43262.63</v>
      </c>
      <c r="CD64" s="248" t="s">
        <v>221</v>
      </c>
      <c r="CE64" s="195">
        <f t="shared" si="0"/>
        <v>31498191.170000002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536.9</v>
      </c>
      <c r="V65" s="185"/>
      <c r="W65" s="185"/>
      <c r="X65" s="185"/>
      <c r="Y65" s="185">
        <v>-4800</v>
      </c>
      <c r="Z65" s="185">
        <v>360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>
        <v>23280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/>
      <c r="BC65" s="185"/>
      <c r="BD65" s="185"/>
      <c r="BE65" s="185">
        <v>1783712.89</v>
      </c>
      <c r="BF65" s="185"/>
      <c r="BG65" s="185"/>
      <c r="BH65" s="185">
        <v>603754.68999999994</v>
      </c>
      <c r="BI65" s="185"/>
      <c r="BJ65" s="185"/>
      <c r="BK65" s="185"/>
      <c r="BL65" s="185"/>
      <c r="BM65" s="185"/>
      <c r="BN65" s="185">
        <v>960</v>
      </c>
      <c r="BO65" s="185"/>
      <c r="BP65" s="185"/>
      <c r="BQ65" s="185"/>
      <c r="BR65" s="185"/>
      <c r="BS65" s="185"/>
      <c r="BT65" s="185"/>
      <c r="BU65" s="185"/>
      <c r="BV65" s="185">
        <v>1025</v>
      </c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2409909.4799999995</v>
      </c>
      <c r="CF65" s="251"/>
    </row>
    <row r="66" spans="1:84" ht="12.6" customHeight="1" x14ac:dyDescent="0.25">
      <c r="A66" s="171" t="s">
        <v>239</v>
      </c>
      <c r="B66" s="175"/>
      <c r="C66" s="184">
        <v>152087.84</v>
      </c>
      <c r="D66" s="184"/>
      <c r="E66" s="184">
        <v>327425.68</v>
      </c>
      <c r="F66" s="184"/>
      <c r="G66" s="184"/>
      <c r="H66" s="184"/>
      <c r="I66" s="184"/>
      <c r="J66" s="184">
        <v>48111.89</v>
      </c>
      <c r="K66" s="185"/>
      <c r="L66" s="185"/>
      <c r="M66" s="184"/>
      <c r="N66" s="184"/>
      <c r="O66" s="185">
        <v>29210.79</v>
      </c>
      <c r="P66" s="185">
        <v>758161.03</v>
      </c>
      <c r="Q66" s="185">
        <v>79834.73</v>
      </c>
      <c r="R66" s="185"/>
      <c r="S66" s="184">
        <v>2076.16</v>
      </c>
      <c r="T66" s="184"/>
      <c r="U66" s="185">
        <v>2336618.42</v>
      </c>
      <c r="V66" s="185">
        <v>110797.25</v>
      </c>
      <c r="W66" s="185">
        <v>1821.81</v>
      </c>
      <c r="X66" s="185"/>
      <c r="Y66" s="185">
        <v>670610.03</v>
      </c>
      <c r="Z66" s="185">
        <v>532026.64</v>
      </c>
      <c r="AA66" s="185">
        <v>5020.67</v>
      </c>
      <c r="AB66" s="185">
        <v>37993.699999999997</v>
      </c>
      <c r="AC66" s="185">
        <v>206508.66</v>
      </c>
      <c r="AD66" s="185"/>
      <c r="AE66" s="185">
        <v>92172.26</v>
      </c>
      <c r="AF66" s="185"/>
      <c r="AG66" s="185">
        <v>280056.09999999998</v>
      </c>
      <c r="AH66" s="185">
        <v>3923.54</v>
      </c>
      <c r="AI66" s="185"/>
      <c r="AJ66" s="185">
        <v>211520.69</v>
      </c>
      <c r="AK66" s="185"/>
      <c r="AL66" s="185"/>
      <c r="AM66" s="185"/>
      <c r="AN66" s="185"/>
      <c r="AO66" s="185"/>
      <c r="AP66" s="185">
        <v>41613.019999999997</v>
      </c>
      <c r="AQ66" s="185"/>
      <c r="AR66" s="185">
        <v>170585.86</v>
      </c>
      <c r="AS66" s="185"/>
      <c r="AT66" s="185"/>
      <c r="AU66" s="185"/>
      <c r="AV66" s="185">
        <v>310.92</v>
      </c>
      <c r="AW66" s="185"/>
      <c r="AX66" s="185"/>
      <c r="AY66" s="185">
        <v>9958.7099999999991</v>
      </c>
      <c r="AZ66" s="185"/>
      <c r="BA66" s="185"/>
      <c r="BB66" s="185">
        <v>185841.54</v>
      </c>
      <c r="BC66" s="185"/>
      <c r="BD66" s="185">
        <v>29683.71</v>
      </c>
      <c r="BE66" s="185">
        <v>203710.28</v>
      </c>
      <c r="BF66" s="185">
        <v>6383.11</v>
      </c>
      <c r="BG66" s="185"/>
      <c r="BH66" s="185">
        <v>12434.35</v>
      </c>
      <c r="BI66" s="185">
        <v>144790.13</v>
      </c>
      <c r="BJ66" s="185">
        <v>2000</v>
      </c>
      <c r="BK66" s="185">
        <v>361421</v>
      </c>
      <c r="BL66" s="185">
        <v>30713.29</v>
      </c>
      <c r="BM66" s="185"/>
      <c r="BN66" s="185">
        <v>72365.100000000006</v>
      </c>
      <c r="BO66" s="185">
        <v>250</v>
      </c>
      <c r="BP66" s="185">
        <v>4417.6899999999996</v>
      </c>
      <c r="BQ66" s="185"/>
      <c r="BR66" s="185">
        <v>79335.350000000006</v>
      </c>
      <c r="BS66" s="185"/>
      <c r="BT66" s="185"/>
      <c r="BU66" s="185"/>
      <c r="BV66" s="185">
        <v>26620.080000000002</v>
      </c>
      <c r="BW66" s="185"/>
      <c r="BX66" s="185"/>
      <c r="BY66" s="185">
        <v>12595.98</v>
      </c>
      <c r="BZ66" s="185"/>
      <c r="CA66" s="185">
        <v>38217.83</v>
      </c>
      <c r="CB66" s="185"/>
      <c r="CC66" s="185">
        <v>230171.07</v>
      </c>
      <c r="CD66" s="248" t="s">
        <v>221</v>
      </c>
      <c r="CE66" s="195">
        <f t="shared" si="0"/>
        <v>7549396.9100000001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193729</v>
      </c>
      <c r="D67" s="195">
        <f>ROUND(D51+D52,0)</f>
        <v>0</v>
      </c>
      <c r="E67" s="195">
        <f t="shared" ref="E67:BP67" si="3">ROUND(E51+E52,0)</f>
        <v>856929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25423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66854</v>
      </c>
      <c r="P67" s="195">
        <f t="shared" si="3"/>
        <v>415201</v>
      </c>
      <c r="Q67" s="195">
        <f t="shared" si="3"/>
        <v>37709</v>
      </c>
      <c r="R67" s="195">
        <f t="shared" si="3"/>
        <v>15211</v>
      </c>
      <c r="S67" s="195">
        <f t="shared" si="3"/>
        <v>82385</v>
      </c>
      <c r="T67" s="195">
        <f t="shared" si="3"/>
        <v>0</v>
      </c>
      <c r="U67" s="195">
        <f t="shared" si="3"/>
        <v>271061</v>
      </c>
      <c r="V67" s="195">
        <f t="shared" si="3"/>
        <v>289596</v>
      </c>
      <c r="W67" s="195">
        <f t="shared" si="3"/>
        <v>0</v>
      </c>
      <c r="X67" s="195">
        <f t="shared" si="3"/>
        <v>25928</v>
      </c>
      <c r="Y67" s="195">
        <f t="shared" si="3"/>
        <v>762444</v>
      </c>
      <c r="Z67" s="195">
        <f t="shared" si="3"/>
        <v>276566</v>
      </c>
      <c r="AA67" s="195">
        <f t="shared" si="3"/>
        <v>29305</v>
      </c>
      <c r="AB67" s="195">
        <f t="shared" si="3"/>
        <v>61589</v>
      </c>
      <c r="AC67" s="195">
        <f t="shared" si="3"/>
        <v>69335</v>
      </c>
      <c r="AD67" s="195">
        <f t="shared" si="3"/>
        <v>0</v>
      </c>
      <c r="AE67" s="195">
        <f t="shared" si="3"/>
        <v>143096</v>
      </c>
      <c r="AF67" s="195">
        <f t="shared" si="3"/>
        <v>0</v>
      </c>
      <c r="AG67" s="195">
        <f t="shared" si="3"/>
        <v>184422</v>
      </c>
      <c r="AH67" s="195">
        <f t="shared" si="3"/>
        <v>0</v>
      </c>
      <c r="AI67" s="195">
        <f t="shared" si="3"/>
        <v>336985</v>
      </c>
      <c r="AJ67" s="195">
        <f t="shared" si="3"/>
        <v>1604641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221013</v>
      </c>
      <c r="AQ67" s="195">
        <f t="shared" si="3"/>
        <v>0</v>
      </c>
      <c r="AR67" s="195">
        <f t="shared" si="3"/>
        <v>154904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4255</v>
      </c>
      <c r="AY67" s="195">
        <f t="shared" si="3"/>
        <v>74540</v>
      </c>
      <c r="AZ67" s="195">
        <f>ROUND(AZ51+AZ52,0)</f>
        <v>113924</v>
      </c>
      <c r="BA67" s="195">
        <f>ROUND(BA51+BA52,0)</f>
        <v>108127</v>
      </c>
      <c r="BB67" s="195">
        <f t="shared" si="3"/>
        <v>9467</v>
      </c>
      <c r="BC67" s="195">
        <f t="shared" si="3"/>
        <v>0</v>
      </c>
      <c r="BD67" s="195">
        <f t="shared" si="3"/>
        <v>153148</v>
      </c>
      <c r="BE67" s="195">
        <f t="shared" si="3"/>
        <v>2033797</v>
      </c>
      <c r="BF67" s="195">
        <f t="shared" si="3"/>
        <v>9440</v>
      </c>
      <c r="BG67" s="195">
        <f t="shared" si="3"/>
        <v>0</v>
      </c>
      <c r="BH67" s="195">
        <f t="shared" si="3"/>
        <v>54914</v>
      </c>
      <c r="BI67" s="195">
        <f t="shared" si="3"/>
        <v>7446</v>
      </c>
      <c r="BJ67" s="195">
        <f t="shared" si="3"/>
        <v>30236</v>
      </c>
      <c r="BK67" s="195">
        <f t="shared" si="3"/>
        <v>132964</v>
      </c>
      <c r="BL67" s="195">
        <f t="shared" si="3"/>
        <v>332890</v>
      </c>
      <c r="BM67" s="195">
        <f t="shared" si="3"/>
        <v>0</v>
      </c>
      <c r="BN67" s="195">
        <f t="shared" si="3"/>
        <v>807892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32443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132512</v>
      </c>
      <c r="BW67" s="195">
        <f t="shared" si="4"/>
        <v>3776</v>
      </c>
      <c r="BX67" s="195">
        <f t="shared" si="4"/>
        <v>0</v>
      </c>
      <c r="BY67" s="195">
        <f t="shared" si="4"/>
        <v>34225</v>
      </c>
      <c r="BZ67" s="195">
        <f t="shared" si="4"/>
        <v>0</v>
      </c>
      <c r="CA67" s="195">
        <f t="shared" si="4"/>
        <v>19466</v>
      </c>
      <c r="CB67" s="195">
        <f t="shared" si="4"/>
        <v>0</v>
      </c>
      <c r="CC67" s="195">
        <f t="shared" si="4"/>
        <v>257313</v>
      </c>
      <c r="CD67" s="248" t="s">
        <v>221</v>
      </c>
      <c r="CE67" s="195">
        <f t="shared" si="0"/>
        <v>10477101</v>
      </c>
      <c r="CF67" s="251"/>
    </row>
    <row r="68" spans="1:84" ht="12.6" customHeight="1" x14ac:dyDescent="0.25">
      <c r="A68" s="171" t="s">
        <v>240</v>
      </c>
      <c r="B68" s="175"/>
      <c r="C68" s="184">
        <v>466.5</v>
      </c>
      <c r="D68" s="184"/>
      <c r="E68" s="184">
        <v>11565.39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1486.24</v>
      </c>
      <c r="Q68" s="185"/>
      <c r="R68" s="185"/>
      <c r="S68" s="185">
        <v>129.78</v>
      </c>
      <c r="T68" s="185"/>
      <c r="U68" s="185">
        <v>67013.759999999995</v>
      </c>
      <c r="V68" s="185">
        <v>111457.04</v>
      </c>
      <c r="W68" s="185"/>
      <c r="X68" s="185"/>
      <c r="Y68" s="185">
        <v>204343.02</v>
      </c>
      <c r="Z68" s="185">
        <v>129.78</v>
      </c>
      <c r="AA68" s="185"/>
      <c r="AB68" s="185">
        <v>129.78</v>
      </c>
      <c r="AC68" s="185">
        <v>45948.49</v>
      </c>
      <c r="AD68" s="185"/>
      <c r="AE68" s="185">
        <v>3251.29</v>
      </c>
      <c r="AF68" s="185"/>
      <c r="AG68" s="185">
        <v>129.78</v>
      </c>
      <c r="AH68" s="185"/>
      <c r="AI68" s="185">
        <v>442.76</v>
      </c>
      <c r="AJ68" s="185">
        <v>1185550.3700000001</v>
      </c>
      <c r="AK68" s="185"/>
      <c r="AL68" s="185"/>
      <c r="AM68" s="185"/>
      <c r="AN68" s="185"/>
      <c r="AO68" s="185"/>
      <c r="AP68" s="185">
        <v>99434.58</v>
      </c>
      <c r="AQ68" s="185"/>
      <c r="AR68" s="185">
        <v>90129.78</v>
      </c>
      <c r="AS68" s="185"/>
      <c r="AT68" s="185"/>
      <c r="AU68" s="185"/>
      <c r="AV68" s="185">
        <v>60259.56</v>
      </c>
      <c r="AW68" s="185"/>
      <c r="AX68" s="185">
        <v>129.78</v>
      </c>
      <c r="AY68" s="185"/>
      <c r="AZ68" s="185"/>
      <c r="BA68" s="185"/>
      <c r="BB68" s="185"/>
      <c r="BC68" s="185"/>
      <c r="BD68" s="185">
        <v>2122.4299999999998</v>
      </c>
      <c r="BE68" s="185">
        <v>356.08</v>
      </c>
      <c r="BF68" s="185">
        <v>129.79</v>
      </c>
      <c r="BG68" s="185"/>
      <c r="BH68" s="185">
        <v>389.22</v>
      </c>
      <c r="BI68" s="185"/>
      <c r="BJ68" s="185"/>
      <c r="BK68" s="185">
        <v>60492.85</v>
      </c>
      <c r="BL68" s="185">
        <v>98529.78</v>
      </c>
      <c r="BM68" s="185"/>
      <c r="BN68" s="185">
        <v>129.78</v>
      </c>
      <c r="BO68" s="185"/>
      <c r="BP68" s="185"/>
      <c r="BQ68" s="185"/>
      <c r="BR68" s="185"/>
      <c r="BS68" s="185"/>
      <c r="BT68" s="185"/>
      <c r="BU68" s="185"/>
      <c r="BV68" s="185">
        <v>129.78</v>
      </c>
      <c r="BW68" s="185"/>
      <c r="BX68" s="185"/>
      <c r="BY68" s="185"/>
      <c r="BZ68" s="185"/>
      <c r="CA68" s="185">
        <v>21.62</v>
      </c>
      <c r="CB68" s="185"/>
      <c r="CC68" s="185">
        <v>-1716411.84</v>
      </c>
      <c r="CD68" s="248" t="s">
        <v>221</v>
      </c>
      <c r="CE68" s="195">
        <f t="shared" si="0"/>
        <v>327887.17000000062</v>
      </c>
      <c r="CF68" s="251"/>
    </row>
    <row r="69" spans="1:84" ht="12.6" customHeight="1" x14ac:dyDescent="0.25">
      <c r="A69" s="171" t="s">
        <v>241</v>
      </c>
      <c r="B69" s="175"/>
      <c r="C69" s="184">
        <v>19475.43</v>
      </c>
      <c r="D69" s="184"/>
      <c r="E69" s="185">
        <v>44862.3</v>
      </c>
      <c r="F69" s="185"/>
      <c r="G69" s="184"/>
      <c r="H69" s="184"/>
      <c r="I69" s="185"/>
      <c r="J69" s="185">
        <v>19394.89</v>
      </c>
      <c r="K69" s="185"/>
      <c r="L69" s="185"/>
      <c r="M69" s="184"/>
      <c r="N69" s="184"/>
      <c r="O69" s="184">
        <v>11775.47</v>
      </c>
      <c r="P69" s="185">
        <v>283680.65999999997</v>
      </c>
      <c r="Q69" s="185">
        <v>976.84</v>
      </c>
      <c r="R69" s="224">
        <v>850.24</v>
      </c>
      <c r="S69" s="185">
        <v>61678.080000000002</v>
      </c>
      <c r="T69" s="184">
        <v>50</v>
      </c>
      <c r="U69" s="185">
        <v>303504.96000000002</v>
      </c>
      <c r="V69" s="185">
        <v>121938.71</v>
      </c>
      <c r="W69" s="184">
        <v>307184.06</v>
      </c>
      <c r="X69" s="185">
        <v>366918.54</v>
      </c>
      <c r="Y69" s="185">
        <v>710825.83</v>
      </c>
      <c r="Z69" s="185">
        <v>550837.94999999995</v>
      </c>
      <c r="AA69" s="185">
        <v>59855.89</v>
      </c>
      <c r="AB69" s="185">
        <v>1196079.6399999999</v>
      </c>
      <c r="AC69" s="185">
        <v>17298.38</v>
      </c>
      <c r="AD69" s="185"/>
      <c r="AE69" s="185">
        <v>22008.19</v>
      </c>
      <c r="AF69" s="185"/>
      <c r="AG69" s="185">
        <v>38768.9</v>
      </c>
      <c r="AH69" s="185"/>
      <c r="AI69" s="185">
        <v>8044.41</v>
      </c>
      <c r="AJ69" s="185">
        <v>305276.77</v>
      </c>
      <c r="AK69" s="185"/>
      <c r="AL69" s="185"/>
      <c r="AM69" s="185"/>
      <c r="AN69" s="185"/>
      <c r="AO69" s="184"/>
      <c r="AP69" s="185">
        <v>1503.99</v>
      </c>
      <c r="AQ69" s="184"/>
      <c r="AR69" s="184">
        <v>238673.31</v>
      </c>
      <c r="AS69" s="184"/>
      <c r="AT69" s="184"/>
      <c r="AU69" s="185"/>
      <c r="AV69" s="185">
        <v>15650.87</v>
      </c>
      <c r="AW69" s="185"/>
      <c r="AX69" s="185">
        <v>28.59</v>
      </c>
      <c r="AY69" s="185">
        <v>10698.58</v>
      </c>
      <c r="AZ69" s="185">
        <v>949.73</v>
      </c>
      <c r="BA69" s="185">
        <v>3258.73</v>
      </c>
      <c r="BB69" s="185">
        <v>11044.26</v>
      </c>
      <c r="BC69" s="185"/>
      <c r="BD69" s="185">
        <v>452144.79</v>
      </c>
      <c r="BE69" s="185">
        <v>236326.04</v>
      </c>
      <c r="BF69" s="185">
        <v>788.2</v>
      </c>
      <c r="BG69" s="185"/>
      <c r="BH69" s="224">
        <v>2686583.49</v>
      </c>
      <c r="BI69" s="185">
        <v>10532.79</v>
      </c>
      <c r="BJ69" s="185">
        <v>84563.59</v>
      </c>
      <c r="BK69" s="185">
        <v>310138.96999999997</v>
      </c>
      <c r="BL69" s="185">
        <v>35480.629999999997</v>
      </c>
      <c r="BM69" s="185"/>
      <c r="BN69" s="185">
        <v>327077.71000000002</v>
      </c>
      <c r="BO69" s="185">
        <v>127745.03</v>
      </c>
      <c r="BP69" s="185">
        <v>275581.90999999997</v>
      </c>
      <c r="BQ69" s="185"/>
      <c r="BR69" s="185">
        <v>1189449.6499999999</v>
      </c>
      <c r="BS69" s="185"/>
      <c r="BT69" s="185"/>
      <c r="BU69" s="185"/>
      <c r="BV69" s="185">
        <v>93765.21</v>
      </c>
      <c r="BW69" s="185">
        <v>13910.87</v>
      </c>
      <c r="BX69" s="185"/>
      <c r="BY69" s="185">
        <v>14779.63</v>
      </c>
      <c r="BZ69" s="185"/>
      <c r="CA69" s="185">
        <v>12411.45</v>
      </c>
      <c r="CB69" s="185"/>
      <c r="CC69" s="185">
        <v>2308751.91</v>
      </c>
      <c r="CD69" s="188"/>
      <c r="CE69" s="195">
        <f t="shared" si="0"/>
        <v>12913126.070000004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6000</v>
      </c>
      <c r="Q70" s="184"/>
      <c r="R70" s="184"/>
      <c r="S70" s="184">
        <v>179</v>
      </c>
      <c r="T70" s="184"/>
      <c r="U70" s="185"/>
      <c r="V70" s="184">
        <v>-125</v>
      </c>
      <c r="W70" s="184"/>
      <c r="X70" s="185"/>
      <c r="Y70" s="185">
        <v>7292.89</v>
      </c>
      <c r="Z70" s="185"/>
      <c r="AA70" s="185"/>
      <c r="AB70" s="185">
        <v>3171933.46</v>
      </c>
      <c r="AC70" s="185"/>
      <c r="AD70" s="185"/>
      <c r="AE70" s="185">
        <v>695</v>
      </c>
      <c r="AF70" s="185"/>
      <c r="AG70" s="185">
        <v>7666.65</v>
      </c>
      <c r="AH70" s="185"/>
      <c r="AI70" s="185"/>
      <c r="AJ70" s="185">
        <v>177097.95</v>
      </c>
      <c r="AK70" s="185"/>
      <c r="AL70" s="185"/>
      <c r="AM70" s="185"/>
      <c r="AN70" s="185"/>
      <c r="AO70" s="185"/>
      <c r="AP70" s="185">
        <v>4075.75</v>
      </c>
      <c r="AQ70" s="185"/>
      <c r="AR70" s="185">
        <v>187528.84</v>
      </c>
      <c r="AS70" s="185"/>
      <c r="AT70" s="185"/>
      <c r="AU70" s="185"/>
      <c r="AV70" s="185">
        <v>10262.280000000001</v>
      </c>
      <c r="AW70" s="185"/>
      <c r="AX70" s="185"/>
      <c r="AY70" s="185"/>
      <c r="AZ70" s="185">
        <v>1125773.23</v>
      </c>
      <c r="BA70" s="185"/>
      <c r="BB70" s="185"/>
      <c r="BC70" s="185"/>
      <c r="BD70" s="185"/>
      <c r="BE70" s="185">
        <v>323.69</v>
      </c>
      <c r="BF70" s="185"/>
      <c r="BG70" s="185"/>
      <c r="BH70" s="185">
        <v>4228.8</v>
      </c>
      <c r="BI70" s="185"/>
      <c r="BJ70" s="185">
        <v>6654.8</v>
      </c>
      <c r="BK70" s="185">
        <v>2.75</v>
      </c>
      <c r="BL70" s="185"/>
      <c r="BM70" s="185"/>
      <c r="BN70" s="185">
        <v>9291.66</v>
      </c>
      <c r="BO70" s="185"/>
      <c r="BP70" s="185"/>
      <c r="BQ70" s="185"/>
      <c r="BR70" s="185"/>
      <c r="BS70" s="185"/>
      <c r="BT70" s="185"/>
      <c r="BU70" s="185"/>
      <c r="BV70" s="185">
        <v>4223.3500000000004</v>
      </c>
      <c r="BW70" s="185"/>
      <c r="BX70" s="185"/>
      <c r="BY70" s="185"/>
      <c r="BZ70" s="185"/>
      <c r="CA70" s="185">
        <v>5015</v>
      </c>
      <c r="CB70" s="185"/>
      <c r="CC70" s="185">
        <v>779954.58</v>
      </c>
      <c r="CD70" s="188"/>
      <c r="CE70" s="195">
        <f t="shared" si="0"/>
        <v>5508074.6799999997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6230423.0699999994</v>
      </c>
      <c r="D71" s="195">
        <f t="shared" ref="D71:AI71" si="5">SUM(D61:D69)-D70</f>
        <v>0</v>
      </c>
      <c r="E71" s="195">
        <f t="shared" si="5"/>
        <v>10524838.460000003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879001.84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585097.73</v>
      </c>
      <c r="P71" s="195">
        <f t="shared" si="5"/>
        <v>11013718.4</v>
      </c>
      <c r="Q71" s="195">
        <f t="shared" si="5"/>
        <v>961197.91999999993</v>
      </c>
      <c r="R71" s="195">
        <f t="shared" si="5"/>
        <v>1085584.8099999998</v>
      </c>
      <c r="S71" s="195">
        <f t="shared" si="5"/>
        <v>1382801.6</v>
      </c>
      <c r="T71" s="195">
        <f t="shared" si="5"/>
        <v>217048.81</v>
      </c>
      <c r="U71" s="195">
        <f t="shared" si="5"/>
        <v>9936175.4000000004</v>
      </c>
      <c r="V71" s="195">
        <f t="shared" si="5"/>
        <v>4129444.9</v>
      </c>
      <c r="W71" s="195">
        <f t="shared" si="5"/>
        <v>1080311.22</v>
      </c>
      <c r="X71" s="195">
        <f t="shared" si="5"/>
        <v>1346356.94</v>
      </c>
      <c r="Y71" s="195">
        <f t="shared" si="5"/>
        <v>7995680.4500000011</v>
      </c>
      <c r="Z71" s="195">
        <f t="shared" si="5"/>
        <v>4405195.07</v>
      </c>
      <c r="AA71" s="195">
        <f t="shared" si="5"/>
        <v>684461.81</v>
      </c>
      <c r="AB71" s="195">
        <f t="shared" si="5"/>
        <v>16236650.5</v>
      </c>
      <c r="AC71" s="195">
        <f t="shared" si="5"/>
        <v>1444590.6999999997</v>
      </c>
      <c r="AD71" s="195">
        <f t="shared" si="5"/>
        <v>0</v>
      </c>
      <c r="AE71" s="195">
        <f t="shared" si="5"/>
        <v>3831861.05</v>
      </c>
      <c r="AF71" s="195">
        <f t="shared" si="5"/>
        <v>0</v>
      </c>
      <c r="AG71" s="195">
        <f t="shared" si="5"/>
        <v>11514763.630000001</v>
      </c>
      <c r="AH71" s="195">
        <f t="shared" si="5"/>
        <v>3923.54</v>
      </c>
      <c r="AI71" s="195">
        <f t="shared" si="5"/>
        <v>3142745.5</v>
      </c>
      <c r="AJ71" s="195">
        <f t="shared" ref="AJ71:BO71" si="6">SUM(AJ61:AJ69)-AJ70</f>
        <v>40987044.889999993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1652275.4200000002</v>
      </c>
      <c r="AQ71" s="195">
        <f t="shared" si="6"/>
        <v>0</v>
      </c>
      <c r="AR71" s="195">
        <f t="shared" si="6"/>
        <v>7707244.79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4452012.7899999991</v>
      </c>
      <c r="AW71" s="195">
        <f t="shared" si="6"/>
        <v>0</v>
      </c>
      <c r="AX71" s="195">
        <f t="shared" si="6"/>
        <v>118306.70999999999</v>
      </c>
      <c r="AY71" s="195">
        <f t="shared" si="6"/>
        <v>2719085.88</v>
      </c>
      <c r="AZ71" s="195">
        <f t="shared" si="6"/>
        <v>-781121.66999999993</v>
      </c>
      <c r="BA71" s="195">
        <f t="shared" si="6"/>
        <v>698614.30999999994</v>
      </c>
      <c r="BB71" s="195">
        <f t="shared" si="6"/>
        <v>1729861.7000000002</v>
      </c>
      <c r="BC71" s="195">
        <f t="shared" si="6"/>
        <v>0</v>
      </c>
      <c r="BD71" s="195">
        <f t="shared" si="6"/>
        <v>1546572.01</v>
      </c>
      <c r="BE71" s="195">
        <f t="shared" si="6"/>
        <v>5735255.9699999988</v>
      </c>
      <c r="BF71" s="195">
        <f t="shared" si="6"/>
        <v>2055819.8</v>
      </c>
      <c r="BG71" s="195">
        <f t="shared" si="6"/>
        <v>0</v>
      </c>
      <c r="BH71" s="195">
        <f t="shared" si="6"/>
        <v>6366452.1100000003</v>
      </c>
      <c r="BI71" s="195">
        <f t="shared" si="6"/>
        <v>1123345.8500000001</v>
      </c>
      <c r="BJ71" s="195">
        <f t="shared" si="6"/>
        <v>1538083.4100000001</v>
      </c>
      <c r="BK71" s="195">
        <f t="shared" si="6"/>
        <v>2761863.08</v>
      </c>
      <c r="BL71" s="195">
        <f t="shared" si="6"/>
        <v>3750806.65</v>
      </c>
      <c r="BM71" s="195">
        <f t="shared" si="6"/>
        <v>0</v>
      </c>
      <c r="BN71" s="195">
        <f t="shared" si="6"/>
        <v>2208871.38</v>
      </c>
      <c r="BO71" s="195">
        <f t="shared" si="6"/>
        <v>300589.62</v>
      </c>
      <c r="BP71" s="195">
        <f t="shared" ref="BP71:CC71" si="7">SUM(BP61:BP69)-BP70</f>
        <v>606444.48</v>
      </c>
      <c r="BQ71" s="195">
        <f t="shared" si="7"/>
        <v>0</v>
      </c>
      <c r="BR71" s="195">
        <f t="shared" si="7"/>
        <v>2630654.83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1407393.32</v>
      </c>
      <c r="BW71" s="195">
        <f t="shared" si="7"/>
        <v>263953.03999999998</v>
      </c>
      <c r="BX71" s="195">
        <f t="shared" si="7"/>
        <v>0</v>
      </c>
      <c r="BY71" s="195">
        <f t="shared" si="7"/>
        <v>1122357.8499999999</v>
      </c>
      <c r="BZ71" s="195">
        <f t="shared" si="7"/>
        <v>0</v>
      </c>
      <c r="CA71" s="195">
        <f t="shared" si="7"/>
        <v>450965.19000000006</v>
      </c>
      <c r="CB71" s="195">
        <f t="shared" si="7"/>
        <v>0</v>
      </c>
      <c r="CC71" s="195">
        <f t="shared" si="7"/>
        <v>2509421.4299999997</v>
      </c>
      <c r="CD71" s="244">
        <f>CD69-CD70</f>
        <v>0</v>
      </c>
      <c r="CE71" s="195">
        <f>SUM(CE61:CE69)-CE70</f>
        <v>194294048.18999991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4437120.95</v>
      </c>
      <c r="CF72" s="251"/>
    </row>
    <row r="73" spans="1:84" ht="12.6" customHeight="1" x14ac:dyDescent="0.25">
      <c r="A73" s="171" t="s">
        <v>245</v>
      </c>
      <c r="B73" s="175"/>
      <c r="C73" s="184">
        <v>13381751.9</v>
      </c>
      <c r="D73" s="184"/>
      <c r="E73" s="185">
        <v>21256770.16</v>
      </c>
      <c r="F73" s="185"/>
      <c r="G73" s="184"/>
      <c r="H73" s="184"/>
      <c r="I73" s="185"/>
      <c r="J73" s="185">
        <v>1703599.91</v>
      </c>
      <c r="K73" s="185"/>
      <c r="L73" s="185"/>
      <c r="M73" s="184"/>
      <c r="N73" s="184"/>
      <c r="O73" s="184">
        <v>1034328.52</v>
      </c>
      <c r="P73" s="185">
        <v>13623726.619999999</v>
      </c>
      <c r="Q73" s="185">
        <v>826081.3</v>
      </c>
      <c r="R73" s="185">
        <v>1073935.3</v>
      </c>
      <c r="S73" s="185"/>
      <c r="T73" s="185">
        <v>589916.75</v>
      </c>
      <c r="U73" s="185">
        <v>7236949.3600000003</v>
      </c>
      <c r="V73" s="185">
        <v>1540181.3</v>
      </c>
      <c r="W73" s="185">
        <v>1138315.8500000001</v>
      </c>
      <c r="X73" s="185">
        <v>5466066.1600000001</v>
      </c>
      <c r="Y73" s="185">
        <v>2401588.65</v>
      </c>
      <c r="Z73" s="185">
        <v>76767.95</v>
      </c>
      <c r="AA73" s="185">
        <v>115013.15</v>
      </c>
      <c r="AB73" s="185">
        <v>11083730.890000001</v>
      </c>
      <c r="AC73" s="185">
        <v>2293439.25</v>
      </c>
      <c r="AD73" s="185"/>
      <c r="AE73" s="185">
        <v>1117259.77</v>
      </c>
      <c r="AF73" s="185"/>
      <c r="AG73" s="185">
        <v>4766205.05</v>
      </c>
      <c r="AH73" s="185"/>
      <c r="AI73" s="185">
        <v>29143.200000000001</v>
      </c>
      <c r="AJ73" s="185">
        <v>69348.34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3478946.6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94303065.980000004</v>
      </c>
      <c r="CF73" s="251"/>
    </row>
    <row r="74" spans="1:84" ht="12.6" customHeight="1" x14ac:dyDescent="0.25">
      <c r="A74" s="171" t="s">
        <v>246</v>
      </c>
      <c r="B74" s="175"/>
      <c r="C74" s="184">
        <v>260086.95</v>
      </c>
      <c r="D74" s="184"/>
      <c r="E74" s="185">
        <v>2487314.84</v>
      </c>
      <c r="F74" s="185"/>
      <c r="G74" s="184"/>
      <c r="H74" s="184"/>
      <c r="I74" s="184"/>
      <c r="J74" s="185">
        <v>220806.14</v>
      </c>
      <c r="K74" s="185"/>
      <c r="L74" s="185"/>
      <c r="M74" s="184"/>
      <c r="N74" s="184"/>
      <c r="O74" s="184">
        <v>134060.87</v>
      </c>
      <c r="P74" s="185">
        <v>23362084.66</v>
      </c>
      <c r="Q74" s="185">
        <v>1195112.1000000001</v>
      </c>
      <c r="R74" s="185">
        <v>3069391.25</v>
      </c>
      <c r="S74" s="185"/>
      <c r="T74" s="185">
        <v>129605.25</v>
      </c>
      <c r="U74" s="185">
        <v>25857215.760000002</v>
      </c>
      <c r="V74" s="185">
        <v>15465182.5</v>
      </c>
      <c r="W74" s="185">
        <v>14924488.99</v>
      </c>
      <c r="X74" s="185">
        <v>25019513.789999999</v>
      </c>
      <c r="Y74" s="185">
        <v>25741688.18</v>
      </c>
      <c r="Z74" s="185">
        <v>15278764.6</v>
      </c>
      <c r="AA74" s="185">
        <v>1592254.5</v>
      </c>
      <c r="AB74" s="185">
        <v>43048747.75</v>
      </c>
      <c r="AC74" s="185">
        <v>1361446.9</v>
      </c>
      <c r="AD74" s="185"/>
      <c r="AE74" s="185">
        <v>6078828.71</v>
      </c>
      <c r="AF74" s="185"/>
      <c r="AG74" s="185">
        <v>25549376.75</v>
      </c>
      <c r="AH74" s="185"/>
      <c r="AI74" s="185">
        <v>3271741.78</v>
      </c>
      <c r="AJ74" s="185">
        <v>63487856.609999999</v>
      </c>
      <c r="AK74" s="185"/>
      <c r="AL74" s="185"/>
      <c r="AM74" s="185"/>
      <c r="AN74" s="185"/>
      <c r="AO74" s="185"/>
      <c r="AP74" s="185">
        <v>3174601.61</v>
      </c>
      <c r="AQ74" s="185"/>
      <c r="AR74" s="185">
        <v>8497298.9900000002</v>
      </c>
      <c r="AS74" s="185"/>
      <c r="AT74" s="185"/>
      <c r="AU74" s="185"/>
      <c r="AV74" s="185">
        <f>167223.05+46744.25+99947.05</f>
        <v>313914.34999999998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309521383.83000004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13641838.85</v>
      </c>
      <c r="D75" s="195">
        <f t="shared" si="9"/>
        <v>0</v>
      </c>
      <c r="E75" s="195">
        <f t="shared" si="9"/>
        <v>23744085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1924406.0499999998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1168389.3900000001</v>
      </c>
      <c r="P75" s="195">
        <f t="shared" si="9"/>
        <v>36985811.280000001</v>
      </c>
      <c r="Q75" s="195">
        <f t="shared" si="9"/>
        <v>2021193.4000000001</v>
      </c>
      <c r="R75" s="195">
        <f t="shared" si="9"/>
        <v>4143326.55</v>
      </c>
      <c r="S75" s="195">
        <f t="shared" si="9"/>
        <v>0</v>
      </c>
      <c r="T75" s="195">
        <f t="shared" si="9"/>
        <v>719522</v>
      </c>
      <c r="U75" s="195">
        <f t="shared" si="9"/>
        <v>33094165.120000001</v>
      </c>
      <c r="V75" s="195">
        <f t="shared" si="9"/>
        <v>17005363.800000001</v>
      </c>
      <c r="W75" s="195">
        <f t="shared" si="9"/>
        <v>16062804.84</v>
      </c>
      <c r="X75" s="195">
        <f t="shared" si="9"/>
        <v>30485579.949999999</v>
      </c>
      <c r="Y75" s="195">
        <f t="shared" si="9"/>
        <v>28143276.829999998</v>
      </c>
      <c r="Z75" s="195">
        <f t="shared" si="9"/>
        <v>15355532.549999999</v>
      </c>
      <c r="AA75" s="195">
        <f t="shared" si="9"/>
        <v>1707267.65</v>
      </c>
      <c r="AB75" s="195">
        <f t="shared" si="9"/>
        <v>54132478.640000001</v>
      </c>
      <c r="AC75" s="195">
        <f t="shared" si="9"/>
        <v>3654886.15</v>
      </c>
      <c r="AD75" s="195">
        <f t="shared" si="9"/>
        <v>0</v>
      </c>
      <c r="AE75" s="195">
        <f t="shared" si="9"/>
        <v>7196088.4800000004</v>
      </c>
      <c r="AF75" s="195">
        <f t="shared" si="9"/>
        <v>0</v>
      </c>
      <c r="AG75" s="195">
        <f t="shared" si="9"/>
        <v>30315581.800000001</v>
      </c>
      <c r="AH75" s="195">
        <f t="shared" si="9"/>
        <v>0</v>
      </c>
      <c r="AI75" s="195">
        <f t="shared" si="9"/>
        <v>3300884.98</v>
      </c>
      <c r="AJ75" s="195">
        <f t="shared" si="9"/>
        <v>63557204.950000003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3174601.61</v>
      </c>
      <c r="AQ75" s="195">
        <f t="shared" si="9"/>
        <v>0</v>
      </c>
      <c r="AR75" s="195">
        <f t="shared" si="9"/>
        <v>8497298.9900000002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3792860.95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403824449.81000006</v>
      </c>
      <c r="CF75" s="251"/>
    </row>
    <row r="76" spans="1:84" ht="12.6" customHeight="1" x14ac:dyDescent="0.25">
      <c r="A76" s="171" t="s">
        <v>248</v>
      </c>
      <c r="B76" s="175"/>
      <c r="C76" s="184">
        <v>7285</v>
      </c>
      <c r="D76" s="184"/>
      <c r="E76" s="185">
        <v>32224</v>
      </c>
      <c r="F76" s="185"/>
      <c r="G76" s="184"/>
      <c r="H76" s="184"/>
      <c r="I76" s="185"/>
      <c r="J76" s="185">
        <v>956</v>
      </c>
      <c r="K76" s="185"/>
      <c r="L76" s="185"/>
      <c r="M76" s="185"/>
      <c r="N76" s="185"/>
      <c r="O76" s="185">
        <v>2514</v>
      </c>
      <c r="P76" s="185">
        <v>15613.25</v>
      </c>
      <c r="Q76" s="185">
        <v>1418</v>
      </c>
      <c r="R76" s="185">
        <v>572</v>
      </c>
      <c r="S76" s="185">
        <v>3098</v>
      </c>
      <c r="T76" s="185"/>
      <c r="U76" s="185">
        <v>10193</v>
      </c>
      <c r="V76" s="185">
        <v>10890</v>
      </c>
      <c r="W76" s="185"/>
      <c r="X76" s="185">
        <v>975</v>
      </c>
      <c r="Y76" s="185">
        <v>28671</v>
      </c>
      <c r="Z76" s="185">
        <v>10400</v>
      </c>
      <c r="AA76" s="185">
        <v>1102</v>
      </c>
      <c r="AB76" s="185">
        <v>2316</v>
      </c>
      <c r="AC76" s="185">
        <v>2607.2800000000002</v>
      </c>
      <c r="AD76" s="185"/>
      <c r="AE76" s="185">
        <v>5381</v>
      </c>
      <c r="AF76" s="185"/>
      <c r="AG76" s="185">
        <v>6935</v>
      </c>
      <c r="AH76" s="185"/>
      <c r="AI76" s="185">
        <v>12672</v>
      </c>
      <c r="AJ76" s="185">
        <f>5625+54716</f>
        <v>60341</v>
      </c>
      <c r="AK76" s="185"/>
      <c r="AL76" s="185"/>
      <c r="AM76" s="185"/>
      <c r="AN76" s="185"/>
      <c r="AO76" s="185"/>
      <c r="AP76" s="185">
        <f>2400+5911</f>
        <v>8311</v>
      </c>
      <c r="AQ76" s="185"/>
      <c r="AR76" s="185">
        <v>5825</v>
      </c>
      <c r="AS76" s="185"/>
      <c r="AT76" s="185"/>
      <c r="AU76" s="185"/>
      <c r="AV76" s="185"/>
      <c r="AW76" s="185"/>
      <c r="AX76" s="185">
        <v>160</v>
      </c>
      <c r="AY76" s="185">
        <v>2803</v>
      </c>
      <c r="AZ76" s="185">
        <v>4284</v>
      </c>
      <c r="BA76" s="185">
        <v>4066</v>
      </c>
      <c r="BB76" s="185">
        <v>356</v>
      </c>
      <c r="BC76" s="185"/>
      <c r="BD76" s="185">
        <v>5759</v>
      </c>
      <c r="BE76" s="185">
        <v>76479</v>
      </c>
      <c r="BF76" s="185">
        <v>355</v>
      </c>
      <c r="BG76" s="185"/>
      <c r="BH76" s="185">
        <v>2065</v>
      </c>
      <c r="BI76" s="185">
        <v>280</v>
      </c>
      <c r="BJ76" s="185">
        <v>1137</v>
      </c>
      <c r="BK76" s="185">
        <v>5000</v>
      </c>
      <c r="BL76" s="185">
        <v>12518</v>
      </c>
      <c r="BM76" s="185"/>
      <c r="BN76" s="185">
        <v>30380</v>
      </c>
      <c r="BO76" s="185"/>
      <c r="BP76" s="185"/>
      <c r="BQ76" s="185"/>
      <c r="BR76" s="185">
        <v>1220</v>
      </c>
      <c r="BS76" s="185"/>
      <c r="BT76" s="185"/>
      <c r="BU76" s="185"/>
      <c r="BV76" s="185">
        <v>4983</v>
      </c>
      <c r="BW76" s="185">
        <v>142</v>
      </c>
      <c r="BX76" s="185"/>
      <c r="BY76" s="185">
        <v>1287</v>
      </c>
      <c r="BZ76" s="185"/>
      <c r="CA76" s="185">
        <v>732</v>
      </c>
      <c r="CB76" s="185"/>
      <c r="CC76" s="185">
        <f>2000+7676</f>
        <v>9676</v>
      </c>
      <c r="CD76" s="248" t="s">
        <v>221</v>
      </c>
      <c r="CE76" s="195">
        <f t="shared" si="8"/>
        <v>393981.53</v>
      </c>
      <c r="CF76" s="195">
        <f>BE59-CE76</f>
        <v>0.46999999997206032</v>
      </c>
    </row>
    <row r="77" spans="1:84" ht="12.6" customHeight="1" x14ac:dyDescent="0.25">
      <c r="A77" s="171" t="s">
        <v>249</v>
      </c>
      <c r="B77" s="175"/>
      <c r="C77" s="184">
        <v>10458</v>
      </c>
      <c r="D77" s="184"/>
      <c r="E77" s="184">
        <v>35916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46374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1606.6</v>
      </c>
      <c r="D78" s="184"/>
      <c r="E78" s="184">
        <v>7106.52</v>
      </c>
      <c r="F78" s="184"/>
      <c r="G78" s="184"/>
      <c r="H78" s="184"/>
      <c r="I78" s="184"/>
      <c r="J78" s="184">
        <v>210.83</v>
      </c>
      <c r="K78" s="184"/>
      <c r="L78" s="184"/>
      <c r="M78" s="184"/>
      <c r="N78" s="184"/>
      <c r="O78" s="184">
        <v>554.42999999999995</v>
      </c>
      <c r="P78" s="184">
        <v>2581.36</v>
      </c>
      <c r="Q78" s="184">
        <v>312.72000000000003</v>
      </c>
      <c r="R78" s="184">
        <v>126.15</v>
      </c>
      <c r="S78" s="184">
        <v>683.22</v>
      </c>
      <c r="T78" s="184"/>
      <c r="U78" s="184">
        <v>2247.91</v>
      </c>
      <c r="V78" s="184">
        <v>2401.63</v>
      </c>
      <c r="W78" s="184"/>
      <c r="X78" s="184">
        <v>215.02</v>
      </c>
      <c r="Y78" s="184">
        <v>6322.96</v>
      </c>
      <c r="Z78" s="184">
        <v>2293.5700000000002</v>
      </c>
      <c r="AA78" s="184">
        <v>243.03</v>
      </c>
      <c r="AB78" s="184">
        <v>510.76</v>
      </c>
      <c r="AC78" s="184">
        <v>575</v>
      </c>
      <c r="AD78" s="184"/>
      <c r="AE78" s="184">
        <v>1186.7</v>
      </c>
      <c r="AF78" s="184"/>
      <c r="AG78" s="184">
        <v>1529.41</v>
      </c>
      <c r="AH78" s="184"/>
      <c r="AI78" s="184">
        <v>2794.62</v>
      </c>
      <c r="AJ78" s="184">
        <f>1240.51+11728.5</f>
        <v>12969.01</v>
      </c>
      <c r="AK78" s="184"/>
      <c r="AL78" s="184"/>
      <c r="AM78" s="184"/>
      <c r="AN78" s="184"/>
      <c r="AO78" s="184"/>
      <c r="AP78" s="184">
        <v>529.28</v>
      </c>
      <c r="AQ78" s="184"/>
      <c r="AR78" s="184">
        <v>1284.6199999999999</v>
      </c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896.7</v>
      </c>
      <c r="BB78" s="184">
        <v>78.510000000000005</v>
      </c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455.41</v>
      </c>
      <c r="BI78" s="184">
        <v>25736.67</v>
      </c>
      <c r="BJ78" s="248" t="s">
        <v>221</v>
      </c>
      <c r="BK78" s="184"/>
      <c r="BL78" s="184">
        <v>2760.66</v>
      </c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1098.93</v>
      </c>
      <c r="BW78" s="184">
        <v>31.32</v>
      </c>
      <c r="BX78" s="184"/>
      <c r="BY78" s="184">
        <v>283.83</v>
      </c>
      <c r="BZ78" s="184"/>
      <c r="CA78" s="184">
        <v>161.43</v>
      </c>
      <c r="CB78" s="184"/>
      <c r="CC78" s="248" t="s">
        <v>221</v>
      </c>
      <c r="CD78" s="248" t="s">
        <v>221</v>
      </c>
      <c r="CE78" s="195">
        <f t="shared" si="8"/>
        <v>79788.81</v>
      </c>
      <c r="CF78" s="195"/>
    </row>
    <row r="79" spans="1:84" ht="12.6" customHeight="1" x14ac:dyDescent="0.25">
      <c r="A79" s="171" t="s">
        <v>251</v>
      </c>
      <c r="B79" s="175"/>
      <c r="C79" s="225">
        <v>141784</v>
      </c>
      <c r="D79" s="225"/>
      <c r="E79" s="184">
        <v>250089</v>
      </c>
      <c r="F79" s="184"/>
      <c r="G79" s="184"/>
      <c r="H79" s="184"/>
      <c r="I79" s="184"/>
      <c r="J79" s="184">
        <v>10676</v>
      </c>
      <c r="K79" s="184"/>
      <c r="L79" s="184"/>
      <c r="M79" s="184"/>
      <c r="N79" s="184"/>
      <c r="O79" s="184">
        <v>54269</v>
      </c>
      <c r="P79" s="184">
        <v>108597</v>
      </c>
      <c r="Q79" s="184">
        <v>22052</v>
      </c>
      <c r="R79" s="184"/>
      <c r="S79" s="184">
        <v>14965</v>
      </c>
      <c r="T79" s="184"/>
      <c r="U79" s="184">
        <v>1781</v>
      </c>
      <c r="V79" s="184"/>
      <c r="W79" s="184"/>
      <c r="X79" s="184"/>
      <c r="Y79" s="184">
        <v>106760</v>
      </c>
      <c r="Z79" s="184">
        <v>22694</v>
      </c>
      <c r="AA79" s="184"/>
      <c r="AB79" s="184">
        <v>208</v>
      </c>
      <c r="AC79" s="184">
        <v>15</v>
      </c>
      <c r="AD79" s="184"/>
      <c r="AE79" s="184">
        <v>20469</v>
      </c>
      <c r="AF79" s="184"/>
      <c r="AG79" s="184">
        <v>242186</v>
      </c>
      <c r="AH79" s="184"/>
      <c r="AI79" s="184">
        <v>80265</v>
      </c>
      <c r="AJ79" s="184">
        <v>47843</v>
      </c>
      <c r="AK79" s="184"/>
      <c r="AL79" s="184"/>
      <c r="AM79" s="184"/>
      <c r="AN79" s="184"/>
      <c r="AO79" s="184"/>
      <c r="AP79" s="184">
        <v>4982</v>
      </c>
      <c r="AQ79" s="184"/>
      <c r="AR79" s="184"/>
      <c r="AS79" s="184"/>
      <c r="AT79" s="184"/>
      <c r="AU79" s="184"/>
      <c r="AV79" s="184">
        <v>4652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>
        <v>59106</v>
      </c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1193393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36.798999999999999</v>
      </c>
      <c r="D80" s="187"/>
      <c r="E80" s="187">
        <v>55.57</v>
      </c>
      <c r="F80" s="187"/>
      <c r="G80" s="187"/>
      <c r="H80" s="187"/>
      <c r="I80" s="187"/>
      <c r="J80" s="187">
        <v>4.8600000000000003</v>
      </c>
      <c r="K80" s="187"/>
      <c r="L80" s="187"/>
      <c r="M80" s="187"/>
      <c r="N80" s="187"/>
      <c r="O80" s="187">
        <v>2.95</v>
      </c>
      <c r="P80" s="187">
        <v>14.98</v>
      </c>
      <c r="Q80" s="187">
        <v>5.79</v>
      </c>
      <c r="R80" s="187"/>
      <c r="S80" s="187"/>
      <c r="T80" s="187">
        <v>0.65</v>
      </c>
      <c r="U80" s="187"/>
      <c r="V80" s="187">
        <v>3.62</v>
      </c>
      <c r="W80" s="187"/>
      <c r="X80" s="187"/>
      <c r="Y80" s="187">
        <v>2.91</v>
      </c>
      <c r="Z80" s="187">
        <v>2.0099999999999998</v>
      </c>
      <c r="AA80" s="187"/>
      <c r="AB80" s="187"/>
      <c r="AC80" s="187"/>
      <c r="AD80" s="187"/>
      <c r="AE80" s="187"/>
      <c r="AF80" s="187"/>
      <c r="AG80" s="187">
        <v>39.07</v>
      </c>
      <c r="AH80" s="187"/>
      <c r="AI80" s="187">
        <v>17.16</v>
      </c>
      <c r="AJ80" s="187">
        <v>40.5</v>
      </c>
      <c r="AK80" s="187"/>
      <c r="AL80" s="187"/>
      <c r="AM80" s="187"/>
      <c r="AN80" s="187"/>
      <c r="AO80" s="187"/>
      <c r="AP80" s="187"/>
      <c r="AQ80" s="187"/>
      <c r="AR80" s="187">
        <v>26.81</v>
      </c>
      <c r="AS80" s="187"/>
      <c r="AT80" s="187"/>
      <c r="AU80" s="187"/>
      <c r="AV80" s="187">
        <v>2.16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255.839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1267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4217</v>
      </c>
      <c r="D111" s="174">
        <v>14536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481</v>
      </c>
      <c r="D114" s="174">
        <v>994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9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9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67</v>
      </c>
    </row>
    <row r="128" spans="1:5" ht="12.6" customHeight="1" x14ac:dyDescent="0.25">
      <c r="A128" s="173" t="s">
        <v>292</v>
      </c>
      <c r="B128" s="172" t="s">
        <v>256</v>
      </c>
      <c r="C128" s="189">
        <v>126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2529</v>
      </c>
      <c r="C138" s="189">
        <v>792</v>
      </c>
      <c r="D138" s="174">
        <f>6+180+641+69</f>
        <v>896</v>
      </c>
      <c r="E138" s="175">
        <f>SUM(B138:D138)</f>
        <v>4217</v>
      </c>
    </row>
    <row r="139" spans="1:6" ht="12.6" customHeight="1" x14ac:dyDescent="0.25">
      <c r="A139" s="173" t="s">
        <v>215</v>
      </c>
      <c r="B139" s="174">
        <v>9427</v>
      </c>
      <c r="C139" s="189">
        <v>2830</v>
      </c>
      <c r="D139" s="174">
        <v>2279</v>
      </c>
      <c r="E139" s="175">
        <f>SUM(B139:D139)</f>
        <v>14536</v>
      </c>
    </row>
    <row r="140" spans="1:6" ht="12.6" customHeight="1" x14ac:dyDescent="0.25">
      <c r="A140" s="173" t="s">
        <v>298</v>
      </c>
      <c r="B140" s="174">
        <v>271184</v>
      </c>
      <c r="C140" s="174">
        <v>76917</v>
      </c>
      <c r="D140" s="174">
        <v>130710</v>
      </c>
      <c r="E140" s="175">
        <f>SUM(B140:D140)</f>
        <v>478811</v>
      </c>
    </row>
    <row r="141" spans="1:6" ht="12.6" customHeight="1" x14ac:dyDescent="0.25">
      <c r="A141" s="173" t="s">
        <v>245</v>
      </c>
      <c r="B141" s="174">
        <v>61352541</v>
      </c>
      <c r="C141" s="189">
        <v>16762425</v>
      </c>
      <c r="D141" s="174">
        <v>16188100</v>
      </c>
      <c r="E141" s="175">
        <f>SUM(B141:D141)</f>
        <v>94303066</v>
      </c>
      <c r="F141" s="199"/>
    </row>
    <row r="142" spans="1:6" ht="12.6" customHeight="1" x14ac:dyDescent="0.25">
      <c r="A142" s="173" t="s">
        <v>246</v>
      </c>
      <c r="B142" s="174">
        <v>175303817</v>
      </c>
      <c r="C142" s="189">
        <v>49721798</v>
      </c>
      <c r="D142" s="174">
        <v>84495769</v>
      </c>
      <c r="E142" s="175">
        <f>SUM(B142:D142)</f>
        <v>309521384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6636692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90989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946790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2892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7677363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295746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32141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327887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1031199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7605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1038804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61067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1322890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1383957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1643810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1643810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9830130</v>
      </c>
      <c r="C195" s="189"/>
      <c r="D195" s="174"/>
      <c r="E195" s="175">
        <f t="shared" ref="E195:E203" si="10">SUM(B195:C195)-D195</f>
        <v>9830130</v>
      </c>
    </row>
    <row r="196" spans="1:8" ht="12.6" customHeight="1" x14ac:dyDescent="0.25">
      <c r="A196" s="173" t="s">
        <v>333</v>
      </c>
      <c r="B196" s="174">
        <v>9084382</v>
      </c>
      <c r="C196" s="189">
        <v>132515</v>
      </c>
      <c r="D196" s="174"/>
      <c r="E196" s="175">
        <f t="shared" si="10"/>
        <v>9216897</v>
      </c>
    </row>
    <row r="197" spans="1:8" ht="12.6" customHeight="1" x14ac:dyDescent="0.25">
      <c r="A197" s="173" t="s">
        <v>334</v>
      </c>
      <c r="B197" s="174">
        <v>107152872</v>
      </c>
      <c r="C197" s="189">
        <v>765049</v>
      </c>
      <c r="D197" s="174"/>
      <c r="E197" s="175">
        <f t="shared" si="10"/>
        <v>107917921</v>
      </c>
    </row>
    <row r="198" spans="1:8" ht="12.6" customHeight="1" x14ac:dyDescent="0.25">
      <c r="A198" s="173" t="s">
        <v>335</v>
      </c>
      <c r="B198" s="174">
        <v>33356917</v>
      </c>
      <c r="C198" s="189">
        <v>395143</v>
      </c>
      <c r="D198" s="174"/>
      <c r="E198" s="175">
        <f t="shared" si="10"/>
        <v>33752060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71069011</v>
      </c>
      <c r="C200" s="189">
        <v>4207542</v>
      </c>
      <c r="D200" s="174">
        <v>7484334</v>
      </c>
      <c r="E200" s="175">
        <f t="shared" si="10"/>
        <v>67792219</v>
      </c>
    </row>
    <row r="201" spans="1:8" ht="12.6" customHeight="1" x14ac:dyDescent="0.25">
      <c r="A201" s="173" t="s">
        <v>338</v>
      </c>
      <c r="B201" s="174">
        <v>2666711</v>
      </c>
      <c r="C201" s="189"/>
      <c r="D201" s="174">
        <v>129336</v>
      </c>
      <c r="E201" s="175">
        <f t="shared" si="10"/>
        <v>2537375</v>
      </c>
    </row>
    <row r="202" spans="1:8" ht="12.6" customHeight="1" x14ac:dyDescent="0.25">
      <c r="A202" s="173" t="s">
        <v>339</v>
      </c>
      <c r="B202" s="174">
        <v>362736</v>
      </c>
      <c r="C202" s="189"/>
      <c r="D202" s="174"/>
      <c r="E202" s="175">
        <f t="shared" si="10"/>
        <v>362736</v>
      </c>
    </row>
    <row r="203" spans="1:8" ht="12.6" customHeight="1" x14ac:dyDescent="0.25">
      <c r="A203" s="173" t="s">
        <v>340</v>
      </c>
      <c r="B203" s="174">
        <v>2373982</v>
      </c>
      <c r="C203" s="189">
        <v>1975867</v>
      </c>
      <c r="D203" s="174"/>
      <c r="E203" s="175">
        <f t="shared" si="10"/>
        <v>4349849</v>
      </c>
    </row>
    <row r="204" spans="1:8" ht="12.6" customHeight="1" x14ac:dyDescent="0.25">
      <c r="A204" s="173" t="s">
        <v>203</v>
      </c>
      <c r="B204" s="175">
        <f>SUM(B195:B203)</f>
        <v>235896741</v>
      </c>
      <c r="C204" s="191">
        <f>SUM(C195:C203)</f>
        <v>7476116</v>
      </c>
      <c r="D204" s="175">
        <f>SUM(D195:D203)</f>
        <v>7613670</v>
      </c>
      <c r="E204" s="175">
        <f>SUM(E195:E203)</f>
        <v>235759187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2815945</v>
      </c>
      <c r="C209" s="189">
        <v>504859</v>
      </c>
      <c r="D209" s="174"/>
      <c r="E209" s="175">
        <f t="shared" ref="E209:E216" si="11">SUM(B209:C209)-D209</f>
        <v>3320804</v>
      </c>
      <c r="H209" s="258"/>
    </row>
    <row r="210" spans="1:8" ht="12.6" customHeight="1" x14ac:dyDescent="0.25">
      <c r="A210" s="173" t="s">
        <v>334</v>
      </c>
      <c r="B210" s="174">
        <v>48361706</v>
      </c>
      <c r="C210" s="189">
        <v>3322447</v>
      </c>
      <c r="D210" s="174"/>
      <c r="E210" s="175">
        <f t="shared" si="11"/>
        <v>51684153</v>
      </c>
      <c r="H210" s="258"/>
    </row>
    <row r="211" spans="1:8" ht="12.6" customHeight="1" x14ac:dyDescent="0.25">
      <c r="A211" s="173" t="s">
        <v>335</v>
      </c>
      <c r="B211" s="174">
        <v>18072394</v>
      </c>
      <c r="C211" s="189">
        <v>1267702</v>
      </c>
      <c r="D211" s="174"/>
      <c r="E211" s="175">
        <f t="shared" si="11"/>
        <v>19340096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f>48959936-B214</f>
        <v>46766463</v>
      </c>
      <c r="C213" s="189">
        <v>5067831</v>
      </c>
      <c r="D213" s="174">
        <v>7336632</v>
      </c>
      <c r="E213" s="175">
        <f t="shared" si="11"/>
        <v>44497662</v>
      </c>
      <c r="H213" s="258"/>
    </row>
    <row r="214" spans="1:8" ht="12.6" customHeight="1" x14ac:dyDescent="0.25">
      <c r="A214" s="173" t="s">
        <v>338</v>
      </c>
      <c r="B214" s="174">
        <v>2193473</v>
      </c>
      <c r="C214" s="189">
        <v>182095</v>
      </c>
      <c r="D214" s="174">
        <v>112906</v>
      </c>
      <c r="E214" s="175">
        <f t="shared" si="11"/>
        <v>2262662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118209981</v>
      </c>
      <c r="C217" s="191">
        <f>SUM(C208:C216)</f>
        <v>10344934</v>
      </c>
      <c r="D217" s="175">
        <f>SUM(D208:D216)</f>
        <v>7449538</v>
      </c>
      <c r="E217" s="175">
        <f>SUM(E208:E216)</f>
        <v>121105377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4" t="s">
        <v>1255</v>
      </c>
      <c r="C220" s="284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2968728</v>
      </c>
      <c r="D221" s="172">
        <f>C221</f>
        <v>2968728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139160083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42233092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1861042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12729364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10856556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15000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206855137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596604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2052574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2649178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535200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535200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213008243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7058182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360064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36755884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20029279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962890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2280390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2191209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29579340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25523599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30481870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56005469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9830130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9216897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108280657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33752060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70329594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4349849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235759187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121105376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114653811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2235448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170818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2406266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202644886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5869920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10074553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2327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1126901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489610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2295815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19859126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57495956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1064513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58560469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2295815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56264654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126521106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202644886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202644886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94303066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309521384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403824450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2968728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207390338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2649178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213008244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190816206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5508075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4437120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9945195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200761401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96536705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28425545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9664260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31498191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2409909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7549397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10477115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327887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1038804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1383958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10490365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199802136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959265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-278376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680889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680889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Olympic Medical Center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4217</v>
      </c>
      <c r="C414" s="194">
        <f>E138</f>
        <v>4217</v>
      </c>
      <c r="D414" s="179"/>
    </row>
    <row r="415" spans="1:5" ht="12.6" customHeight="1" x14ac:dyDescent="0.25">
      <c r="A415" s="179" t="s">
        <v>464</v>
      </c>
      <c r="B415" s="179">
        <f>D111</f>
        <v>14536</v>
      </c>
      <c r="C415" s="179">
        <f>E139</f>
        <v>14536</v>
      </c>
      <c r="D415" s="194">
        <f>SUM(C59:H59)+N59</f>
        <v>14536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481</v>
      </c>
    </row>
    <row r="424" spans="1:7" ht="12.6" customHeight="1" x14ac:dyDescent="0.25">
      <c r="A424" s="179" t="s">
        <v>1244</v>
      </c>
      <c r="B424" s="179">
        <f>D114</f>
        <v>994</v>
      </c>
      <c r="D424" s="179">
        <f>J59</f>
        <v>994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96536705</v>
      </c>
      <c r="C427" s="179">
        <f t="shared" ref="C427:C434" si="13">CE61</f>
        <v>96536705.359999955</v>
      </c>
      <c r="D427" s="179"/>
    </row>
    <row r="428" spans="1:7" ht="12.6" customHeight="1" x14ac:dyDescent="0.25">
      <c r="A428" s="179" t="s">
        <v>3</v>
      </c>
      <c r="B428" s="179">
        <f t="shared" si="12"/>
        <v>28425545</v>
      </c>
      <c r="C428" s="179">
        <f t="shared" si="13"/>
        <v>28425546</v>
      </c>
      <c r="D428" s="179">
        <f>D173</f>
        <v>7677363</v>
      </c>
    </row>
    <row r="429" spans="1:7" ht="12.6" customHeight="1" x14ac:dyDescent="0.25">
      <c r="A429" s="179" t="s">
        <v>236</v>
      </c>
      <c r="B429" s="179">
        <f t="shared" si="12"/>
        <v>9664260</v>
      </c>
      <c r="C429" s="179">
        <f t="shared" si="13"/>
        <v>9664259.7100000028</v>
      </c>
      <c r="D429" s="179"/>
    </row>
    <row r="430" spans="1:7" ht="12.6" customHeight="1" x14ac:dyDescent="0.25">
      <c r="A430" s="179" t="s">
        <v>237</v>
      </c>
      <c r="B430" s="179">
        <f t="shared" si="12"/>
        <v>31498191</v>
      </c>
      <c r="C430" s="179">
        <f t="shared" si="13"/>
        <v>31498191.170000002</v>
      </c>
      <c r="D430" s="179"/>
    </row>
    <row r="431" spans="1:7" ht="12.6" customHeight="1" x14ac:dyDescent="0.25">
      <c r="A431" s="179" t="s">
        <v>444</v>
      </c>
      <c r="B431" s="179">
        <f t="shared" si="12"/>
        <v>2409909</v>
      </c>
      <c r="C431" s="179">
        <f t="shared" si="13"/>
        <v>2409909.4799999995</v>
      </c>
      <c r="D431" s="179"/>
    </row>
    <row r="432" spans="1:7" ht="12.6" customHeight="1" x14ac:dyDescent="0.25">
      <c r="A432" s="179" t="s">
        <v>445</v>
      </c>
      <c r="B432" s="179">
        <f t="shared" si="12"/>
        <v>7549397</v>
      </c>
      <c r="C432" s="179">
        <f t="shared" si="13"/>
        <v>7549396.9100000001</v>
      </c>
      <c r="D432" s="179"/>
    </row>
    <row r="433" spans="1:7" ht="12.6" customHeight="1" x14ac:dyDescent="0.25">
      <c r="A433" s="179" t="s">
        <v>6</v>
      </c>
      <c r="B433" s="179">
        <f t="shared" si="12"/>
        <v>10477115</v>
      </c>
      <c r="C433" s="179">
        <f t="shared" si="13"/>
        <v>10477101</v>
      </c>
      <c r="D433" s="179">
        <f>C217</f>
        <v>10344934</v>
      </c>
    </row>
    <row r="434" spans="1:7" ht="12.6" customHeight="1" x14ac:dyDescent="0.25">
      <c r="A434" s="179" t="s">
        <v>474</v>
      </c>
      <c r="B434" s="179">
        <f t="shared" si="12"/>
        <v>327887</v>
      </c>
      <c r="C434" s="179">
        <f t="shared" si="13"/>
        <v>327887.17000000062</v>
      </c>
      <c r="D434" s="179">
        <f>D177</f>
        <v>327887</v>
      </c>
    </row>
    <row r="435" spans="1:7" ht="12.6" customHeight="1" x14ac:dyDescent="0.25">
      <c r="A435" s="179" t="s">
        <v>447</v>
      </c>
      <c r="B435" s="179">
        <f t="shared" si="12"/>
        <v>1038804</v>
      </c>
      <c r="C435" s="179"/>
      <c r="D435" s="179">
        <f>D181</f>
        <v>1038804</v>
      </c>
    </row>
    <row r="436" spans="1:7" ht="12.6" customHeight="1" x14ac:dyDescent="0.25">
      <c r="A436" s="179" t="s">
        <v>475</v>
      </c>
      <c r="B436" s="179">
        <f t="shared" si="12"/>
        <v>1383958</v>
      </c>
      <c r="C436" s="179"/>
      <c r="D436" s="179">
        <f>D186</f>
        <v>1383957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1643810</v>
      </c>
    </row>
    <row r="438" spans="1:7" ht="12.6" customHeight="1" x14ac:dyDescent="0.25">
      <c r="A438" s="194" t="s">
        <v>476</v>
      </c>
      <c r="B438" s="194">
        <f>C386+C387+C388</f>
        <v>2422762</v>
      </c>
      <c r="C438" s="194">
        <f>CD69</f>
        <v>0</v>
      </c>
      <c r="D438" s="194">
        <f>D181+D186+D190</f>
        <v>4066571</v>
      </c>
    </row>
    <row r="439" spans="1:7" ht="12.6" customHeight="1" x14ac:dyDescent="0.25">
      <c r="A439" s="179" t="s">
        <v>451</v>
      </c>
      <c r="B439" s="194">
        <f>C389</f>
        <v>10490365</v>
      </c>
      <c r="C439" s="194">
        <f>SUM(C69:CC69)</f>
        <v>12913126.070000004</v>
      </c>
      <c r="D439" s="179"/>
    </row>
    <row r="440" spans="1:7" ht="12.6" customHeight="1" x14ac:dyDescent="0.25">
      <c r="A440" s="179" t="s">
        <v>477</v>
      </c>
      <c r="B440" s="194">
        <f>B438+B439</f>
        <v>12913127</v>
      </c>
      <c r="C440" s="194">
        <f>CE69</f>
        <v>12913126.070000004</v>
      </c>
      <c r="D440" s="179"/>
    </row>
    <row r="441" spans="1:7" ht="12.6" customHeight="1" x14ac:dyDescent="0.25">
      <c r="A441" s="179" t="s">
        <v>478</v>
      </c>
      <c r="B441" s="179">
        <f>D390</f>
        <v>199802136</v>
      </c>
      <c r="C441" s="179">
        <f>SUM(C427:C437)+C440</f>
        <v>199802122.86999992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2968728</v>
      </c>
      <c r="C444" s="179">
        <f>C363</f>
        <v>2968728</v>
      </c>
      <c r="D444" s="179"/>
    </row>
    <row r="445" spans="1:7" ht="12.6" customHeight="1" x14ac:dyDescent="0.25">
      <c r="A445" s="179" t="s">
        <v>343</v>
      </c>
      <c r="B445" s="179">
        <f>D229</f>
        <v>206855137</v>
      </c>
      <c r="C445" s="179">
        <f>C364</f>
        <v>207390338</v>
      </c>
      <c r="D445" s="179"/>
    </row>
    <row r="446" spans="1:7" ht="12.6" customHeight="1" x14ac:dyDescent="0.25">
      <c r="A446" s="179" t="s">
        <v>351</v>
      </c>
      <c r="B446" s="179">
        <f>D236</f>
        <v>2649178</v>
      </c>
      <c r="C446" s="179">
        <f>C365</f>
        <v>2649178</v>
      </c>
      <c r="D446" s="179"/>
    </row>
    <row r="447" spans="1:7" ht="12.6" customHeight="1" x14ac:dyDescent="0.25">
      <c r="A447" s="179" t="s">
        <v>356</v>
      </c>
      <c r="B447" s="179">
        <f>D240</f>
        <v>535200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213008243</v>
      </c>
      <c r="C448" s="179">
        <f>D367</f>
        <v>213008244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596604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2052574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5508075</v>
      </c>
      <c r="C458" s="194">
        <f>CE70</f>
        <v>5508074.6799999997</v>
      </c>
      <c r="D458" s="194"/>
    </row>
    <row r="459" spans="1:7" ht="12.6" customHeight="1" x14ac:dyDescent="0.25">
      <c r="A459" s="179" t="s">
        <v>244</v>
      </c>
      <c r="B459" s="194">
        <f>C371</f>
        <v>4437120</v>
      </c>
      <c r="C459" s="194">
        <f>CE72</f>
        <v>4437120.95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94303066</v>
      </c>
      <c r="C463" s="194">
        <f>CE73</f>
        <v>94303065.980000004</v>
      </c>
      <c r="D463" s="194">
        <f>E141+E147+E153</f>
        <v>94303066</v>
      </c>
    </row>
    <row r="464" spans="1:7" ht="12.6" customHeight="1" x14ac:dyDescent="0.25">
      <c r="A464" s="179" t="s">
        <v>246</v>
      </c>
      <c r="B464" s="194">
        <f>C360</f>
        <v>309521384</v>
      </c>
      <c r="C464" s="194">
        <f>CE74</f>
        <v>309521383.83000004</v>
      </c>
      <c r="D464" s="194">
        <f>E142+E148+E154</f>
        <v>309521384</v>
      </c>
    </row>
    <row r="465" spans="1:7" ht="12.6" customHeight="1" x14ac:dyDescent="0.25">
      <c r="A465" s="179" t="s">
        <v>247</v>
      </c>
      <c r="B465" s="194">
        <f>D361</f>
        <v>403824450</v>
      </c>
      <c r="C465" s="194">
        <f>CE75</f>
        <v>403824449.81000006</v>
      </c>
      <c r="D465" s="194">
        <f>D463+D464</f>
        <v>403824450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9830130</v>
      </c>
      <c r="C468" s="179">
        <f>E195</f>
        <v>9830130</v>
      </c>
      <c r="D468" s="179"/>
    </row>
    <row r="469" spans="1:7" ht="12.6" customHeight="1" x14ac:dyDescent="0.25">
      <c r="A469" s="179" t="s">
        <v>333</v>
      </c>
      <c r="B469" s="179">
        <f t="shared" si="14"/>
        <v>9216897</v>
      </c>
      <c r="C469" s="179">
        <f>E196</f>
        <v>9216897</v>
      </c>
      <c r="D469" s="179"/>
    </row>
    <row r="470" spans="1:7" ht="12.6" customHeight="1" x14ac:dyDescent="0.25">
      <c r="A470" s="179" t="s">
        <v>334</v>
      </c>
      <c r="B470" s="179">
        <f t="shared" si="14"/>
        <v>108280657</v>
      </c>
      <c r="C470" s="179">
        <f>E197</f>
        <v>107917921</v>
      </c>
      <c r="D470" s="179"/>
    </row>
    <row r="471" spans="1:7" ht="12.6" customHeight="1" x14ac:dyDescent="0.25">
      <c r="A471" s="179" t="s">
        <v>494</v>
      </c>
      <c r="B471" s="179">
        <f t="shared" si="14"/>
        <v>33752060</v>
      </c>
      <c r="C471" s="179">
        <f>E198</f>
        <v>33752060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70329594</v>
      </c>
      <c r="C473" s="179">
        <f>SUM(E200:E201)</f>
        <v>70329594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362736</v>
      </c>
      <c r="D474" s="179"/>
    </row>
    <row r="475" spans="1:7" ht="12.6" customHeight="1" x14ac:dyDescent="0.25">
      <c r="A475" s="179" t="s">
        <v>340</v>
      </c>
      <c r="B475" s="179">
        <f t="shared" si="14"/>
        <v>4349849</v>
      </c>
      <c r="C475" s="179">
        <f>E203</f>
        <v>4349849</v>
      </c>
      <c r="D475" s="179"/>
    </row>
    <row r="476" spans="1:7" ht="12.6" customHeight="1" x14ac:dyDescent="0.25">
      <c r="A476" s="179" t="s">
        <v>203</v>
      </c>
      <c r="B476" s="179">
        <f>D275</f>
        <v>235759187</v>
      </c>
      <c r="C476" s="179">
        <f>E204</f>
        <v>235759187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121105376</v>
      </c>
      <c r="C478" s="179">
        <f>E217</f>
        <v>121105377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202644886</v>
      </c>
    </row>
    <row r="482" spans="1:12" ht="12.6" customHeight="1" x14ac:dyDescent="0.25">
      <c r="A482" s="180" t="s">
        <v>499</v>
      </c>
      <c r="C482" s="180">
        <f>D339</f>
        <v>202644886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038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5835826.1699999999</v>
      </c>
      <c r="C496" s="239">
        <f>C71</f>
        <v>6230423.0699999994</v>
      </c>
      <c r="D496" s="239">
        <f>'Prior Year'!C59</f>
        <v>4159</v>
      </c>
      <c r="E496" s="180">
        <f>C59</f>
        <v>4191</v>
      </c>
      <c r="F496" s="262">
        <f t="shared" ref="F496:G511" si="15">IF(B496=0,"",IF(D496=0,"",B496/D496))</f>
        <v>1403.1801322433278</v>
      </c>
      <c r="G496" s="263">
        <f t="shared" si="15"/>
        <v>1486.6196778811739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10061722.0165</v>
      </c>
      <c r="C498" s="239">
        <f>E71</f>
        <v>10524838.460000003</v>
      </c>
      <c r="D498" s="239">
        <f>'Prior Year'!E59</f>
        <v>10255</v>
      </c>
      <c r="E498" s="180">
        <f>E59</f>
        <v>10345</v>
      </c>
      <c r="F498" s="262">
        <f t="shared" si="15"/>
        <v>981.15280511945389</v>
      </c>
      <c r="G498" s="262">
        <f t="shared" si="15"/>
        <v>1017.3840947317548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795643.75919999997</v>
      </c>
      <c r="C503" s="239">
        <f>J71</f>
        <v>879001.84</v>
      </c>
      <c r="D503" s="239">
        <f>'Prior Year'!J59</f>
        <v>954</v>
      </c>
      <c r="E503" s="180">
        <f>J59</f>
        <v>994</v>
      </c>
      <c r="F503" s="262">
        <f t="shared" si="15"/>
        <v>834.00813333333326</v>
      </c>
      <c r="G503" s="262">
        <f t="shared" si="15"/>
        <v>884.30768611670021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535925.92379999987</v>
      </c>
      <c r="C508" s="239">
        <f>O71</f>
        <v>585097.73</v>
      </c>
      <c r="D508" s="239">
        <f>'Prior Year'!O59</f>
        <v>389</v>
      </c>
      <c r="E508" s="180">
        <f>O59</f>
        <v>337</v>
      </c>
      <c r="F508" s="262">
        <f t="shared" si="15"/>
        <v>1377.7016035989714</v>
      </c>
      <c r="G508" s="262">
        <f t="shared" si="15"/>
        <v>1736.1950445103857</v>
      </c>
      <c r="H508" s="264">
        <f t="shared" si="16"/>
        <v>0.26021123875803109</v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9636511.7799999993</v>
      </c>
      <c r="C509" s="239">
        <f>P71</f>
        <v>11013718.4</v>
      </c>
      <c r="D509" s="239">
        <f>'Prior Year'!P59</f>
        <v>420815</v>
      </c>
      <c r="E509" s="180">
        <f>P59</f>
        <v>313427</v>
      </c>
      <c r="F509" s="262">
        <f t="shared" si="15"/>
        <v>22.899639461521094</v>
      </c>
      <c r="G509" s="262">
        <f t="shared" si="15"/>
        <v>35.139660590823382</v>
      </c>
      <c r="H509" s="264">
        <f t="shared" si="16"/>
        <v>0.53450715457199838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739710.21000000008</v>
      </c>
      <c r="C510" s="239">
        <f>Q71</f>
        <v>961197.91999999993</v>
      </c>
      <c r="D510" s="239">
        <f>'Prior Year'!Q59</f>
        <v>151766</v>
      </c>
      <c r="E510" s="180">
        <f>Q59</f>
        <v>162108</v>
      </c>
      <c r="F510" s="262">
        <f t="shared" si="15"/>
        <v>4.8740179618623412</v>
      </c>
      <c r="G510" s="262">
        <f t="shared" si="15"/>
        <v>5.9293675821057565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812618.06</v>
      </c>
      <c r="C511" s="239">
        <f>R71</f>
        <v>1085584.8099999998</v>
      </c>
      <c r="D511" s="239">
        <f>'Prior Year'!R59</f>
        <v>378159</v>
      </c>
      <c r="E511" s="180">
        <f>R59</f>
        <v>413100</v>
      </c>
      <c r="F511" s="262">
        <f t="shared" si="15"/>
        <v>2.1488793338251901</v>
      </c>
      <c r="G511" s="262">
        <f t="shared" si="15"/>
        <v>2.6278983539094645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1229469.19</v>
      </c>
      <c r="C512" s="239">
        <f>S71</f>
        <v>1382801.6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217748.34</v>
      </c>
      <c r="C513" s="239">
        <f>T71</f>
        <v>217048.81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9438820.3800000008</v>
      </c>
      <c r="C514" s="239">
        <f>U71</f>
        <v>9936175.4000000004</v>
      </c>
      <c r="D514" s="239">
        <f>'Prior Year'!U59</f>
        <v>554874</v>
      </c>
      <c r="E514" s="180">
        <f>U59</f>
        <v>572041</v>
      </c>
      <c r="F514" s="262">
        <f t="shared" si="17"/>
        <v>17.010745466538349</v>
      </c>
      <c r="G514" s="262">
        <f t="shared" si="17"/>
        <v>17.369690983688233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3931721.1800000006</v>
      </c>
      <c r="C515" s="239">
        <f>V71</f>
        <v>4129444.9</v>
      </c>
      <c r="D515" s="239">
        <f>'Prior Year'!V59</f>
        <v>29629</v>
      </c>
      <c r="E515" s="180">
        <f>V59</f>
        <v>31588</v>
      </c>
      <c r="F515" s="262">
        <f t="shared" si="17"/>
        <v>132.69840966620544</v>
      </c>
      <c r="G515" s="262">
        <f t="shared" si="17"/>
        <v>130.72827972647841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953082.71</v>
      </c>
      <c r="C516" s="239">
        <f>W71</f>
        <v>1080311.22</v>
      </c>
      <c r="D516" s="239">
        <f>'Prior Year'!W59</f>
        <v>6159</v>
      </c>
      <c r="E516" s="180">
        <f>W59</f>
        <v>6491</v>
      </c>
      <c r="F516" s="262">
        <f t="shared" si="17"/>
        <v>154.74634031498618</v>
      </c>
      <c r="G516" s="262">
        <f t="shared" si="17"/>
        <v>166.43217069788938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1282584.17</v>
      </c>
      <c r="C517" s="239">
        <f>X71</f>
        <v>1346356.94</v>
      </c>
      <c r="D517" s="239">
        <f>'Prior Year'!X59</f>
        <v>15509</v>
      </c>
      <c r="E517" s="180">
        <f>X59</f>
        <v>17396</v>
      </c>
      <c r="F517" s="262">
        <f t="shared" si="17"/>
        <v>82.699346830872386</v>
      </c>
      <c r="G517" s="262">
        <f t="shared" si="17"/>
        <v>77.394627500574842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7695947.6799999997</v>
      </c>
      <c r="C518" s="239">
        <f>Y71</f>
        <v>7995680.4500000011</v>
      </c>
      <c r="D518" s="239">
        <f>'Prior Year'!Y59</f>
        <v>68073</v>
      </c>
      <c r="E518" s="180">
        <f>Y59</f>
        <v>69638</v>
      </c>
      <c r="F518" s="262">
        <f t="shared" si="17"/>
        <v>113.0543340237686</v>
      </c>
      <c r="G518" s="262">
        <f t="shared" si="17"/>
        <v>114.81777836813235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4322917.6099999994</v>
      </c>
      <c r="C519" s="239">
        <f>Z71</f>
        <v>4405195.07</v>
      </c>
      <c r="D519" s="239">
        <f>'Prior Year'!Z59</f>
        <v>14143.2</v>
      </c>
      <c r="E519" s="180">
        <f>Z59</f>
        <v>16535.349999999999</v>
      </c>
      <c r="F519" s="262">
        <f t="shared" si="17"/>
        <v>305.65343133095757</v>
      </c>
      <c r="G519" s="262">
        <f t="shared" si="17"/>
        <v>266.41075453498115</v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593585.40999999992</v>
      </c>
      <c r="C520" s="239">
        <f>AA71</f>
        <v>684461.81</v>
      </c>
      <c r="D520" s="239">
        <f>'Prior Year'!AA59</f>
        <v>691</v>
      </c>
      <c r="E520" s="180">
        <f>AA59</f>
        <v>644</v>
      </c>
      <c r="F520" s="262">
        <f t="shared" si="17"/>
        <v>859.02374819102738</v>
      </c>
      <c r="G520" s="262">
        <f t="shared" si="17"/>
        <v>1062.8288975155281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14801232.790000001</v>
      </c>
      <c r="C521" s="239">
        <f>AB71</f>
        <v>16236650.5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1346938.83</v>
      </c>
      <c r="C522" s="239">
        <f>AC71</f>
        <v>1444590.6999999997</v>
      </c>
      <c r="D522" s="239">
        <f>'Prior Year'!AC59</f>
        <v>28536</v>
      </c>
      <c r="E522" s="180">
        <f>AC59</f>
        <v>26371</v>
      </c>
      <c r="F522" s="262">
        <f t="shared" si="17"/>
        <v>47.201388772077379</v>
      </c>
      <c r="G522" s="262">
        <f t="shared" si="17"/>
        <v>54.779519168783878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3805193.1799999992</v>
      </c>
      <c r="C524" s="239">
        <f>AE71</f>
        <v>3831861.05</v>
      </c>
      <c r="D524" s="239">
        <f>'Prior Year'!AE59</f>
        <v>77539</v>
      </c>
      <c r="E524" s="180">
        <f>AE59</f>
        <v>79100</v>
      </c>
      <c r="F524" s="262">
        <f t="shared" si="17"/>
        <v>49.074571248017115</v>
      </c>
      <c r="G524" s="262">
        <f t="shared" si="17"/>
        <v>48.443249683944373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11060590.370000001</v>
      </c>
      <c r="C526" s="239">
        <f>AG71</f>
        <v>11514763.630000001</v>
      </c>
      <c r="D526" s="239">
        <f>'Prior Year'!AG59</f>
        <v>29865</v>
      </c>
      <c r="E526" s="180">
        <f>AG59</f>
        <v>29463</v>
      </c>
      <c r="F526" s="262">
        <f t="shared" si="17"/>
        <v>370.35293386907756</v>
      </c>
      <c r="G526" s="262">
        <f t="shared" si="17"/>
        <v>390.82115297152365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-1538.8600000000001</v>
      </c>
      <c r="C527" s="239">
        <f>AH71</f>
        <v>3923.54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2965069.5100000002</v>
      </c>
      <c r="C528" s="239">
        <f>AI71</f>
        <v>3142745.5</v>
      </c>
      <c r="D528" s="239">
        <f>'Prior Year'!AI59</f>
        <v>15895</v>
      </c>
      <c r="E528" s="180">
        <f>AI59</f>
        <v>13134</v>
      </c>
      <c r="F528" s="262">
        <f t="shared" ref="F528:G540" si="18">IF(B528=0,"",IF(D528=0,"",B528/D528))</f>
        <v>186.54101981755269</v>
      </c>
      <c r="G528" s="262">
        <f t="shared" si="18"/>
        <v>239.28319628445257</v>
      </c>
      <c r="H528" s="264">
        <f t="shared" si="16"/>
        <v>0.28273768696281709</v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39098945.88000001</v>
      </c>
      <c r="C529" s="239">
        <f>AJ71</f>
        <v>40987044.889999993</v>
      </c>
      <c r="D529" s="239">
        <f>'Prior Year'!AJ59</f>
        <v>143066</v>
      </c>
      <c r="E529" s="180">
        <f>AJ59</f>
        <v>157644</v>
      </c>
      <c r="F529" s="262">
        <f t="shared" si="18"/>
        <v>273.2930666964898</v>
      </c>
      <c r="G529" s="262">
        <f t="shared" si="18"/>
        <v>259.99749365659329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1693336.1600000001</v>
      </c>
      <c r="C535" s="239">
        <f>AP71</f>
        <v>1652275.4200000002</v>
      </c>
      <c r="D535" s="239">
        <f>'Prior Year'!AP59</f>
        <v>6402</v>
      </c>
      <c r="E535" s="180">
        <f>AP59</f>
        <v>7123</v>
      </c>
      <c r="F535" s="262">
        <f t="shared" si="18"/>
        <v>264.50111840049988</v>
      </c>
      <c r="G535" s="262">
        <f t="shared" si="18"/>
        <v>231.96341709953674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6844123.0200000005</v>
      </c>
      <c r="C537" s="239">
        <f>AR71</f>
        <v>7707244.79</v>
      </c>
      <c r="D537" s="239">
        <f>'Prior Year'!AR59</f>
        <v>47938</v>
      </c>
      <c r="E537" s="180">
        <f>AR59</f>
        <v>51477</v>
      </c>
      <c r="F537" s="262">
        <f t="shared" si="18"/>
        <v>142.7703078977012</v>
      </c>
      <c r="G537" s="262">
        <f t="shared" si="18"/>
        <v>149.7221048235134</v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4230308.88</v>
      </c>
      <c r="C541" s="239">
        <f>AV71</f>
        <v>4452012.7899999991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104668.49000000002</v>
      </c>
      <c r="C543" s="239">
        <f>AX71</f>
        <v>118306.70999999999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2541958.31</v>
      </c>
      <c r="C544" s="239">
        <f>AY71</f>
        <v>2719085.88</v>
      </c>
      <c r="D544" s="239">
        <f>'Prior Year'!AY59</f>
        <v>45180</v>
      </c>
      <c r="E544" s="180">
        <f>AY59</f>
        <v>46374</v>
      </c>
      <c r="F544" s="262">
        <f t="shared" ref="F544:G550" si="19">IF(B544=0,"",IF(D544=0,"",B544/D544))</f>
        <v>56.262910801239485</v>
      </c>
      <c r="G544" s="262">
        <f t="shared" si="19"/>
        <v>58.633843964290335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-634017.81000000006</v>
      </c>
      <c r="C545" s="239">
        <f>AZ71</f>
        <v>-781121.66999999993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616268.31999999995</v>
      </c>
      <c r="C546" s="239">
        <f>BA71</f>
        <v>698614.30999999994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1698750.0200000003</v>
      </c>
      <c r="C547" s="239">
        <f>BB71</f>
        <v>1729861.7000000002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1390730.1700000002</v>
      </c>
      <c r="C549" s="239">
        <f>BD71</f>
        <v>1546572.01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5827143.1699999999</v>
      </c>
      <c r="C550" s="239">
        <f>BE71</f>
        <v>5735255.9699999988</v>
      </c>
      <c r="D550" s="239">
        <f>'Prior Year'!BE59</f>
        <v>389799</v>
      </c>
      <c r="E550" s="180">
        <f>BE59</f>
        <v>393982</v>
      </c>
      <c r="F550" s="262">
        <f t="shared" si="19"/>
        <v>14.949097278340888</v>
      </c>
      <c r="G550" s="262">
        <f t="shared" si="19"/>
        <v>14.557152281068674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1895778.36</v>
      </c>
      <c r="C551" s="239">
        <f>BF71</f>
        <v>2055819.8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6362180.0099999998</v>
      </c>
      <c r="C553" s="239">
        <f>BH71</f>
        <v>6366452.1100000003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1061985.1000000001</v>
      </c>
      <c r="C554" s="239">
        <f>BI71</f>
        <v>1123345.8500000001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1510526.0499999998</v>
      </c>
      <c r="C555" s="239">
        <f>BJ71</f>
        <v>1538083.4100000001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2637329.16</v>
      </c>
      <c r="C556" s="239">
        <f>BK71</f>
        <v>2761863.08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3675397.0300000003</v>
      </c>
      <c r="C557" s="239">
        <f>BL71</f>
        <v>3750806.65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2281796.7199999997</v>
      </c>
      <c r="C559" s="239">
        <f>BN71</f>
        <v>2208871.38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410746.67</v>
      </c>
      <c r="C560" s="239">
        <f>BO71</f>
        <v>300589.62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638137.29</v>
      </c>
      <c r="C561" s="239">
        <f>BP71</f>
        <v>606444.48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2332700.67</v>
      </c>
      <c r="C563" s="239">
        <f>BR71</f>
        <v>2630654.83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1153684.45</v>
      </c>
      <c r="C567" s="239">
        <f>BV71</f>
        <v>1407393.32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378265.87999999995</v>
      </c>
      <c r="C568" s="239">
        <f>BW71</f>
        <v>263953.03999999998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1103296.4400000002</v>
      </c>
      <c r="C570" s="239">
        <f>BY71</f>
        <v>1122357.8499999999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441243.21</v>
      </c>
      <c r="C572" s="239">
        <f>CA71</f>
        <v>450965.19000000006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-5918703.04</v>
      </c>
      <c r="C574" s="239">
        <f>CC71</f>
        <v>2509421.4299999997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0</v>
      </c>
      <c r="C575" s="239">
        <f>CD71</f>
        <v>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317502.53000000003</v>
      </c>
      <c r="E612" s="180">
        <f>SUM(C624:D647)+SUM(C668:D713)</f>
        <v>186565934.47999349</v>
      </c>
      <c r="F612" s="180">
        <f>CE64-(AX64+BD64+BE64+BG64+BJ64+BN64+BP64+BQ64+CB64+CC64+CD64)</f>
        <v>30940023.41</v>
      </c>
      <c r="G612" s="180">
        <f>CE77-(AX77+AY77+BD77+BE77+BG77+BJ77+BN77+BP77+BQ77+CB77+CC77+CD77)</f>
        <v>46374</v>
      </c>
      <c r="H612" s="197">
        <f>CE60-(AX60+AY60+AZ60+BD60+BE60+BG60+BJ60+BN60+BO60+BP60+BQ60+BR60+CB60+CC60+CD60)</f>
        <v>1168.0662940740003</v>
      </c>
      <c r="I612" s="180">
        <f>CE78-(AX78+AY78+AZ78+BD78+BE78+BF78+BG78+BJ78+BN78+BO78+BP78+BQ78+BR78+CB78+CC78+CD78)</f>
        <v>79788.81</v>
      </c>
      <c r="J612" s="180">
        <f>CE79-(AX79+AY79+AZ79+BA79+BD79+BE79+BF79+BG79+BJ79+BN79+BO79+BP79+BQ79+BR79+CB79+CC79+CD79)</f>
        <v>1193393</v>
      </c>
      <c r="K612" s="180">
        <f>CE75-(AW75+AX75+AY75+AZ75+BA75+BB75+BC75+BD75+BE75+BF75+BG75+BH75+BI75+BJ75+BK75+BL75+BM75+BN75+BO75+BP75+BQ75+BR75+BS75+BT75+BU75+BV75+BW75+BX75+CB75+CC75+CD75)</f>
        <v>403824449.81000006</v>
      </c>
      <c r="L612" s="197">
        <f>CE80-(AW80+AX80+AY80+AZ80+BA80+BB80+BC80+BD80+BE80+BF80+BG80+BH80+BI80+BJ80+BK80+BL80+BM80+BN80+BO80+BP80+BQ80+BR80+BS80+BT80+BU80+BV80+BW80+BX80+BY80+BZ80+CA80+CB80+CC80+CD80)</f>
        <v>255.839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5735255.9699999988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0</v>
      </c>
      <c r="D615" s="265">
        <f>SUM(C614:C615)</f>
        <v>5735255.9699999988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118306.70999999999</v>
      </c>
      <c r="D616" s="180">
        <f>(D615/D612)*AX76</f>
        <v>2890.1847024652043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1538083.4100000001</v>
      </c>
      <c r="D617" s="180">
        <f>(D615/D612)*BJ76</f>
        <v>20538.37504189336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2208871.38</v>
      </c>
      <c r="D619" s="180">
        <f>(D615/D612)*BN76</f>
        <v>548773.82038058073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2509421.4299999997</v>
      </c>
      <c r="D620" s="180">
        <f>(D615/D612)*CC76</f>
        <v>174783.91988158325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606444.48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7728113.710006522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1546572.01</v>
      </c>
      <c r="D624" s="180">
        <f>(D615/D612)*BD76</f>
        <v>104028.58563435696</v>
      </c>
      <c r="E624" s="180">
        <f>(E623/E612)*SUM(C624:D624)</f>
        <v>68372.76659547248</v>
      </c>
      <c r="F624" s="180">
        <f>SUM(C624:E624)</f>
        <v>1718973.3622298297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2719085.88</v>
      </c>
      <c r="D625" s="180">
        <f>(D615/D612)*AY76</f>
        <v>50632.423256312301</v>
      </c>
      <c r="E625" s="180">
        <f>(E623/E612)*SUM(C625:D625)</f>
        <v>114729.93744496511</v>
      </c>
      <c r="F625" s="180">
        <f>(F624/F612)*AY64</f>
        <v>48355.360236953522</v>
      </c>
      <c r="G625" s="180">
        <f>SUM(C625:F625)</f>
        <v>2932803.6009382308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2630654.83</v>
      </c>
      <c r="D626" s="180">
        <f>(D615/D612)*BR76</f>
        <v>22037.658356297183</v>
      </c>
      <c r="E626" s="180">
        <f>(E623/E612)*SUM(C626:D626)</f>
        <v>109882.38150140953</v>
      </c>
      <c r="F626" s="180">
        <f>(F624/F612)*BR64</f>
        <v>2163.7080246724349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300589.62</v>
      </c>
      <c r="D627" s="180">
        <f>(D615/D612)*BO76</f>
        <v>0</v>
      </c>
      <c r="E627" s="180">
        <f>(E623/E612)*SUM(C627:D627)</f>
        <v>12451.312560797416</v>
      </c>
      <c r="F627" s="180">
        <f>(F624/F612)*BO64</f>
        <v>3059.1096821500087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-781121.66999999993</v>
      </c>
      <c r="D628" s="180">
        <f>(D615/D612)*AZ76</f>
        <v>77384.695408505853</v>
      </c>
      <c r="E628" s="180">
        <f>(E623/E612)*SUM(C628:D628)</f>
        <v>-29150.870316907956</v>
      </c>
      <c r="F628" s="180">
        <f>(F624/F612)*AZ64</f>
        <v>180.99542415756207</v>
      </c>
      <c r="G628" s="180">
        <f>(G625/G612)*AZ77</f>
        <v>0</v>
      </c>
      <c r="H628" s="180">
        <f>SUM(C626:G628)</f>
        <v>2348131.7706410824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2055819.8</v>
      </c>
      <c r="D629" s="180">
        <f>(D615/D612)*BF76</f>
        <v>6412.5973085946725</v>
      </c>
      <c r="E629" s="180">
        <f>(E623/E612)*SUM(C629:D629)</f>
        <v>85423.775285027717</v>
      </c>
      <c r="F629" s="180">
        <f>(F624/F612)*BF64</f>
        <v>13959.748777883346</v>
      </c>
      <c r="G629" s="180">
        <f>(G625/G612)*BF77</f>
        <v>0</v>
      </c>
      <c r="H629" s="180">
        <f>(H628/H612)*BF60</f>
        <v>77104.82085895077</v>
      </c>
      <c r="I629" s="180">
        <f>SUM(C629:H629)</f>
        <v>2238720.7422304563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698614.30999999994</v>
      </c>
      <c r="D630" s="180">
        <f>(D615/D612)*BA76</f>
        <v>73446.818751397004</v>
      </c>
      <c r="E630" s="180">
        <f>(E623/E612)*SUM(C630:D630)</f>
        <v>31981.05919334706</v>
      </c>
      <c r="F630" s="180">
        <f>(F624/F612)*BA64</f>
        <v>10336.765701523003</v>
      </c>
      <c r="G630" s="180">
        <f>(G625/G612)*BA77</f>
        <v>0</v>
      </c>
      <c r="H630" s="180">
        <f>(H628/H612)*BA60</f>
        <v>18858.145811389779</v>
      </c>
      <c r="I630" s="180">
        <f>(I629/I612)*BA78</f>
        <v>25159.67952847085</v>
      </c>
      <c r="J630" s="180">
        <f>SUM(C630:I630)</f>
        <v>858396.7789861277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1729861.7000000002</v>
      </c>
      <c r="D632" s="180">
        <f>(D615/D612)*BB76</f>
        <v>6430.66096298508</v>
      </c>
      <c r="E632" s="180">
        <f>(E623/E612)*SUM(C632:D632)</f>
        <v>71922.373378279066</v>
      </c>
      <c r="F632" s="180">
        <f>(F624/F612)*BB64</f>
        <v>166.27360072880404</v>
      </c>
      <c r="G632" s="180">
        <f>(G625/G612)*BB77</f>
        <v>0</v>
      </c>
      <c r="H632" s="180">
        <f>(H628/H612)*BB60</f>
        <v>30869.699094829226</v>
      </c>
      <c r="I632" s="180">
        <f>(I629/I612)*BB78</f>
        <v>2202.8397900972973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1123345.8500000001</v>
      </c>
      <c r="D634" s="180">
        <f>(D615/D612)*BI76</f>
        <v>5057.8232293141082</v>
      </c>
      <c r="E634" s="180">
        <f>(E623/E612)*SUM(C634:D634)</f>
        <v>46741.823054735236</v>
      </c>
      <c r="F634" s="180">
        <f>(F624/F612)*BI64</f>
        <v>292.61249143286284</v>
      </c>
      <c r="G634" s="180">
        <f>(G625/G612)*BI77</f>
        <v>0</v>
      </c>
      <c r="H634" s="180">
        <f>(H628/H612)*BI60</f>
        <v>37172.522517587706</v>
      </c>
      <c r="I634" s="180">
        <f>(I629/I612)*BI78</f>
        <v>722121.52261627058</v>
      </c>
      <c r="J634" s="180">
        <f>(J630/J612)*BI79</f>
        <v>42514.410608034457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2761863.08</v>
      </c>
      <c r="D635" s="180">
        <f>(D615/D612)*BK76</f>
        <v>90318.271952037641</v>
      </c>
      <c r="E635" s="180">
        <f>(E623/E612)*SUM(C635:D635)</f>
        <v>118145.80121972464</v>
      </c>
      <c r="F635" s="180">
        <f>(F624/F612)*BK64</f>
        <v>1053.0581746008213</v>
      </c>
      <c r="G635" s="180">
        <f>(G625/G612)*BK77</f>
        <v>0</v>
      </c>
      <c r="H635" s="180">
        <f>(H628/H612)*BK60</f>
        <v>65329.397295423056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6366452.1100000003</v>
      </c>
      <c r="D636" s="180">
        <f>(D615/D612)*BH76</f>
        <v>37301.446316191548</v>
      </c>
      <c r="E636" s="180">
        <f>(E623/E612)*SUM(C636:D636)</f>
        <v>265262.44350024773</v>
      </c>
      <c r="F636" s="180">
        <f>(F624/F612)*BH64</f>
        <v>14307.873399723454</v>
      </c>
      <c r="G636" s="180">
        <f>(G625/G612)*BH77</f>
        <v>0</v>
      </c>
      <c r="H636" s="180">
        <f>(H628/H612)*BH60</f>
        <v>56892.215151314653</v>
      </c>
      <c r="I636" s="180">
        <f>(I629/I612)*BH78</f>
        <v>12777.929802677496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3750806.65</v>
      </c>
      <c r="D637" s="180">
        <f>(D615/D612)*BL76</f>
        <v>226120.82565912144</v>
      </c>
      <c r="E637" s="180">
        <f>(E623/E612)*SUM(C637:D637)</f>
        <v>164736.11773771423</v>
      </c>
      <c r="F637" s="180">
        <f>(F624/F612)*BL64</f>
        <v>3302.0264357137667</v>
      </c>
      <c r="G637" s="180">
        <f>(G625/G612)*BL77</f>
        <v>0</v>
      </c>
      <c r="H637" s="180">
        <f>(H628/H612)*BL60</f>
        <v>137775.50782999067</v>
      </c>
      <c r="I637" s="180">
        <f>(I629/I612)*BL78</f>
        <v>77458.816646669264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1407393.32</v>
      </c>
      <c r="D642" s="180">
        <f>(D615/D612)*BV76</f>
        <v>90011.189827400711</v>
      </c>
      <c r="E642" s="180">
        <f>(E623/E612)*SUM(C642:D642)</f>
        <v>62026.930876084858</v>
      </c>
      <c r="F642" s="180">
        <f>(F624/F612)*BV64</f>
        <v>841.98629518943574</v>
      </c>
      <c r="G642" s="180">
        <f>(G625/G612)*BV77</f>
        <v>0</v>
      </c>
      <c r="H642" s="180">
        <f>(H628/H612)*BV60</f>
        <v>36785.313079573178</v>
      </c>
      <c r="I642" s="180">
        <f>(I629/I612)*BV78</f>
        <v>30833.864864751278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263953.03999999998</v>
      </c>
      <c r="D643" s="180">
        <f>(D615/D612)*BW76</f>
        <v>2565.038923437869</v>
      </c>
      <c r="E643" s="180">
        <f>(E623/E612)*SUM(C643:D643)</f>
        <v>11039.968392052257</v>
      </c>
      <c r="F643" s="180">
        <f>(F624/F612)*BW64</f>
        <v>1316.9337200366624</v>
      </c>
      <c r="G643" s="180">
        <f>(G625/G612)*BW77</f>
        <v>0</v>
      </c>
      <c r="H643" s="180">
        <f>(H628/H612)*BW60</f>
        <v>4124.7992808483577</v>
      </c>
      <c r="I643" s="180">
        <f>(I629/I612)*BW78</f>
        <v>878.77903739456565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19880374.846762214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1122357.8499999999</v>
      </c>
      <c r="D645" s="180">
        <f>(D615/D612)*BY76</f>
        <v>23247.92320045449</v>
      </c>
      <c r="E645" s="180">
        <f>(E623/E612)*SUM(C645:D645)</f>
        <v>47454.384996969806</v>
      </c>
      <c r="F645" s="180">
        <f>(F624/F612)*BY64</f>
        <v>209.48180247527324</v>
      </c>
      <c r="G645" s="180">
        <f>(G625/G612)*BY77</f>
        <v>0</v>
      </c>
      <c r="H645" s="180">
        <f>(H628/H612)*BY60</f>
        <v>14857.364892473368</v>
      </c>
      <c r="I645" s="180">
        <f>(I629/I612)*BY78</f>
        <v>7963.7245907950046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450965.19000000006</v>
      </c>
      <c r="D647" s="180">
        <f>(D615/D612)*CA76</f>
        <v>13222.595013778311</v>
      </c>
      <c r="E647" s="180">
        <f>(E623/E612)*SUM(C647:D647)</f>
        <v>19228.033217217511</v>
      </c>
      <c r="F647" s="180">
        <f>(F624/F612)*CA64</f>
        <v>987.83057410908953</v>
      </c>
      <c r="G647" s="180">
        <f>(G625/G612)*CA77</f>
        <v>0</v>
      </c>
      <c r="H647" s="180">
        <f>(H628/H612)*CA60</f>
        <v>8422.7526258620364</v>
      </c>
      <c r="I647" s="180">
        <f>(I629/I612)*CA78</f>
        <v>4529.4157090231402</v>
      </c>
      <c r="J647" s="180">
        <f>(J630/J612)*CA79</f>
        <v>0</v>
      </c>
      <c r="K647" s="180">
        <v>0</v>
      </c>
      <c r="L647" s="180">
        <f>SUM(C645:K647)</f>
        <v>1713446.5466231583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40863596.950000003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6230423.0699999994</v>
      </c>
      <c r="D668" s="180">
        <f>(D615/D612)*C76</f>
        <v>131593.72223411885</v>
      </c>
      <c r="E668" s="180">
        <f>(E623/E612)*SUM(C668:D668)</f>
        <v>263533.58308629808</v>
      </c>
      <c r="F668" s="180">
        <f>(F624/F612)*C64</f>
        <v>15384.040470229467</v>
      </c>
      <c r="G668" s="180">
        <f>(G625/G612)*C77</f>
        <v>661389.14173053904</v>
      </c>
      <c r="H668" s="180">
        <f>(H628/H612)*C60</f>
        <v>104764.64602476353</v>
      </c>
      <c r="I668" s="180">
        <f>(I629/I612)*C78</f>
        <v>45078.109881165678</v>
      </c>
      <c r="J668" s="180">
        <f>(J630/J612)*C79</f>
        <v>101983.94737673936</v>
      </c>
      <c r="K668" s="180">
        <f>(K644/K612)*C75</f>
        <v>671591.00957043539</v>
      </c>
      <c r="L668" s="180">
        <f>(L647/L612)*C80</f>
        <v>246456.24579984133</v>
      </c>
      <c r="M668" s="180">
        <f t="shared" ref="M668:M713" si="20">ROUND(SUM(D668:L668),0)</f>
        <v>2241774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10524838.460000003</v>
      </c>
      <c r="D670" s="180">
        <f>(D615/D612)*E76</f>
        <v>582083.19907649222</v>
      </c>
      <c r="E670" s="180">
        <f>(E623/E612)*SUM(C670:D670)</f>
        <v>460081.59950916487</v>
      </c>
      <c r="F670" s="180">
        <f>(F624/F612)*E64</f>
        <v>22371.012980392581</v>
      </c>
      <c r="G670" s="180">
        <f>(G625/G612)*E77</f>
        <v>2271414.4592076917</v>
      </c>
      <c r="H670" s="180">
        <f>(H628/H612)*E60</f>
        <v>186219.49981650373</v>
      </c>
      <c r="I670" s="180">
        <f>(I629/I612)*E78</f>
        <v>199395.30028177614</v>
      </c>
      <c r="J670" s="180">
        <f>(J630/J612)*E79</f>
        <v>179886.75319853702</v>
      </c>
      <c r="K670" s="180">
        <f>(K644/K612)*E75</f>
        <v>1168927.0186970602</v>
      </c>
      <c r="L670" s="180">
        <f>(L647/L612)*E80</f>
        <v>372172.43890043703</v>
      </c>
      <c r="M670" s="180">
        <f t="shared" si="20"/>
        <v>5442551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879001.84</v>
      </c>
      <c r="D675" s="180">
        <f>(D615/D612)*J76</f>
        <v>17268.853597229598</v>
      </c>
      <c r="E675" s="180">
        <f>(E623/E612)*SUM(C675:D675)</f>
        <v>37126.187341604797</v>
      </c>
      <c r="F675" s="180">
        <f>(F624/F612)*J64</f>
        <v>2492.0905801785761</v>
      </c>
      <c r="G675" s="180">
        <f>(G625/G612)*J77</f>
        <v>0</v>
      </c>
      <c r="H675" s="180">
        <f>(H628/H612)*J60</f>
        <v>11561.723535530484</v>
      </c>
      <c r="I675" s="180">
        <f>(I629/I612)*J78</f>
        <v>5915.4848165356416</v>
      </c>
      <c r="J675" s="180">
        <f>(J630/J612)*J79</f>
        <v>7679.1501311436377</v>
      </c>
      <c r="K675" s="180">
        <f>(K644/K612)*J75</f>
        <v>94738.972960595682</v>
      </c>
      <c r="L675" s="180">
        <f>(L647/L612)*J80</f>
        <v>32549.182167646646</v>
      </c>
      <c r="M675" s="180">
        <f t="shared" si="20"/>
        <v>209332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585097.73</v>
      </c>
      <c r="D680" s="180">
        <f>(D615/D612)*O76</f>
        <v>45412.027137484525</v>
      </c>
      <c r="E680" s="180">
        <f>(E623/E612)*SUM(C680:D680)</f>
        <v>26117.582033442435</v>
      </c>
      <c r="F680" s="180">
        <f>(F624/F612)*O64</f>
        <v>1513.0548760550416</v>
      </c>
      <c r="G680" s="180">
        <f>(G625/G612)*O77</f>
        <v>0</v>
      </c>
      <c r="H680" s="180">
        <f>(H628/H612)*O60</f>
        <v>7019.6189377895926</v>
      </c>
      <c r="I680" s="180">
        <f>(I629/I612)*O78</f>
        <v>15556.240795104373</v>
      </c>
      <c r="J680" s="180">
        <f>(J630/J612)*O79</f>
        <v>39035.200306016683</v>
      </c>
      <c r="K680" s="180">
        <f>(K644/K612)*O75</f>
        <v>57520.090849151566</v>
      </c>
      <c r="L680" s="180">
        <f>(L647/L612)*O80</f>
        <v>19757.219628509796</v>
      </c>
      <c r="M680" s="180">
        <f t="shared" si="20"/>
        <v>211931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11013718.4</v>
      </c>
      <c r="D681" s="180">
        <f>(D615/D612)*P76</f>
        <v>282032.35191103036</v>
      </c>
      <c r="E681" s="180">
        <f>(E623/E612)*SUM(C681:D681)</f>
        <v>467903.45994285058</v>
      </c>
      <c r="F681" s="180">
        <f>(F624/F612)*P64</f>
        <v>330524.06801243563</v>
      </c>
      <c r="G681" s="180">
        <f>(G625/G612)*P77</f>
        <v>0</v>
      </c>
      <c r="H681" s="180">
        <f>(H628/H612)*P60</f>
        <v>69940.035024151162</v>
      </c>
      <c r="I681" s="180">
        <f>(I629/I612)*P78</f>
        <v>72428.003064139077</v>
      </c>
      <c r="J681" s="180">
        <f>(J630/J612)*P79</f>
        <v>78112.838777801197</v>
      </c>
      <c r="K681" s="180">
        <f>(K644/K612)*P75</f>
        <v>1820820.3901570644</v>
      </c>
      <c r="L681" s="180">
        <f>(L647/L612)*P80</f>
        <v>100326.49153731414</v>
      </c>
      <c r="M681" s="180">
        <f t="shared" si="20"/>
        <v>3222088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961197.91999999993</v>
      </c>
      <c r="D682" s="180">
        <f>(D615/D612)*Q76</f>
        <v>25614.261925597875</v>
      </c>
      <c r="E682" s="180">
        <f>(E623/E612)*SUM(C682:D682)</f>
        <v>40876.684018423861</v>
      </c>
      <c r="F682" s="180">
        <f>(F624/F612)*Q64</f>
        <v>1546.4226016685891</v>
      </c>
      <c r="G682" s="180">
        <f>(G625/G612)*Q77</f>
        <v>0</v>
      </c>
      <c r="H682" s="180">
        <f>(H628/H612)*Q60</f>
        <v>11631.40877389886</v>
      </c>
      <c r="I682" s="180">
        <f>(I629/I612)*Q78</f>
        <v>8774.3224959779236</v>
      </c>
      <c r="J682" s="180">
        <f>(J630/J612)*Q79</f>
        <v>15861.803923939631</v>
      </c>
      <c r="K682" s="180">
        <f>(K644/K612)*Q75</f>
        <v>99503.837493513638</v>
      </c>
      <c r="L682" s="180">
        <f>(L647/L612)*Q80</f>
        <v>38777.729372566682</v>
      </c>
      <c r="M682" s="180">
        <f t="shared" si="20"/>
        <v>242586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1085584.8099999998</v>
      </c>
      <c r="D683" s="180">
        <f>(D615/D612)*R76</f>
        <v>10332.410311313106</v>
      </c>
      <c r="E683" s="180">
        <f>(E623/E612)*SUM(C683:D683)</f>
        <v>45396.137933360573</v>
      </c>
      <c r="F683" s="180">
        <f>(F624/F612)*R64</f>
        <v>11128.85736033071</v>
      </c>
      <c r="G683" s="180">
        <f>(G625/G612)*R77</f>
        <v>0</v>
      </c>
      <c r="H683" s="180">
        <f>(H628/H612)*R60</f>
        <v>2242.4205257155604</v>
      </c>
      <c r="I683" s="180">
        <f>(I629/I612)*R78</f>
        <v>3539.5266783947782</v>
      </c>
      <c r="J683" s="180">
        <f>(J630/J612)*R79</f>
        <v>0</v>
      </c>
      <c r="K683" s="180">
        <f>(K644/K612)*R75</f>
        <v>203976.96317124352</v>
      </c>
      <c r="L683" s="180">
        <f>(L647/L612)*R80</f>
        <v>0</v>
      </c>
      <c r="M683" s="180">
        <f t="shared" si="20"/>
        <v>276616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1382801.6</v>
      </c>
      <c r="D684" s="180">
        <f>(D615/D612)*S76</f>
        <v>55961.201301482521</v>
      </c>
      <c r="E684" s="180">
        <f>(E623/E612)*SUM(C684:D684)</f>
        <v>59597.8175821681</v>
      </c>
      <c r="F684" s="180">
        <f>(F624/F612)*S64</f>
        <v>8884.8504503846016</v>
      </c>
      <c r="G684" s="180">
        <f>(G625/G612)*S77</f>
        <v>0</v>
      </c>
      <c r="H684" s="180">
        <f>(H628/H612)*S60</f>
        <v>38694.888496300744</v>
      </c>
      <c r="I684" s="180">
        <f>(I629/I612)*S78</f>
        <v>19169.840802321683</v>
      </c>
      <c r="J684" s="180">
        <f>(J630/J612)*S79</f>
        <v>10764.188995182141</v>
      </c>
      <c r="K684" s="180">
        <f>(K644/K612)*S75</f>
        <v>0</v>
      </c>
      <c r="L684" s="180">
        <f>(L647/L612)*S80</f>
        <v>0</v>
      </c>
      <c r="M684" s="180">
        <f t="shared" si="20"/>
        <v>193073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217048.81</v>
      </c>
      <c r="D685" s="180">
        <f>(D615/D612)*T76</f>
        <v>0</v>
      </c>
      <c r="E685" s="180">
        <f>(E623/E612)*SUM(C685:D685)</f>
        <v>8990.8047199338816</v>
      </c>
      <c r="F685" s="180">
        <f>(F624/F612)*T64</f>
        <v>6959.3422843815861</v>
      </c>
      <c r="G685" s="180">
        <f>(G625/G612)*T77</f>
        <v>0</v>
      </c>
      <c r="H685" s="180">
        <f>(H628/H612)*T60</f>
        <v>1297.4377253886703</v>
      </c>
      <c r="I685" s="180">
        <f>(I629/I612)*T78</f>
        <v>0</v>
      </c>
      <c r="J685" s="180">
        <f>(J630/J612)*T79</f>
        <v>0</v>
      </c>
      <c r="K685" s="180">
        <f>(K644/K612)*T75</f>
        <v>35422.241216999777</v>
      </c>
      <c r="L685" s="180">
        <f>(L647/L612)*T80</f>
        <v>4353.28568085809</v>
      </c>
      <c r="M685" s="180">
        <f t="shared" si="20"/>
        <v>57023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9936175.4000000004</v>
      </c>
      <c r="D686" s="180">
        <f>(D615/D612)*U76</f>
        <v>184122.82920142394</v>
      </c>
      <c r="E686" s="180">
        <f>(E623/E612)*SUM(C686:D686)</f>
        <v>419212.73415985407</v>
      </c>
      <c r="F686" s="180">
        <f>(F624/F612)*U64</f>
        <v>92577.59049178951</v>
      </c>
      <c r="G686" s="180">
        <f>(G625/G612)*U77</f>
        <v>0</v>
      </c>
      <c r="H686" s="180">
        <f>(H628/H612)*U60</f>
        <v>138665.97164699249</v>
      </c>
      <c r="I686" s="180">
        <f>(I629/I612)*U78</f>
        <v>63072.036588429692</v>
      </c>
      <c r="J686" s="180">
        <f>(J630/J612)*U79</f>
        <v>1281.0571734326356</v>
      </c>
      <c r="K686" s="180">
        <f>(K644/K612)*U75</f>
        <v>1629233.7131538165</v>
      </c>
      <c r="L686" s="180">
        <f>(L647/L612)*U80</f>
        <v>0</v>
      </c>
      <c r="M686" s="180">
        <f t="shared" si="20"/>
        <v>2528166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4129444.9</v>
      </c>
      <c r="D687" s="180">
        <f>(D615/D612)*V76</f>
        <v>196713.19631153799</v>
      </c>
      <c r="E687" s="180">
        <f>(E623/E612)*SUM(C687:D687)</f>
        <v>179202.2846450895</v>
      </c>
      <c r="F687" s="180">
        <f>(F624/F612)*V64</f>
        <v>26905.705725518306</v>
      </c>
      <c r="G687" s="180">
        <f>(G625/G612)*V77</f>
        <v>0</v>
      </c>
      <c r="H687" s="180">
        <f>(H628/H612)*V60</f>
        <v>63822.011707971236</v>
      </c>
      <c r="I687" s="180">
        <f>(I629/I612)*V78</f>
        <v>67385.124507596134</v>
      </c>
      <c r="J687" s="180">
        <f>(J630/J612)*V79</f>
        <v>0</v>
      </c>
      <c r="K687" s="180">
        <f>(K644/K612)*V75</f>
        <v>837178.1523100558</v>
      </c>
      <c r="L687" s="180">
        <f>(L647/L612)*V80</f>
        <v>24244.452561086597</v>
      </c>
      <c r="M687" s="180">
        <f t="shared" si="20"/>
        <v>1395451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1080311.22</v>
      </c>
      <c r="D688" s="180">
        <f>(D615/D612)*W76</f>
        <v>0</v>
      </c>
      <c r="E688" s="180">
        <f>(E623/E612)*SUM(C688:D688)</f>
        <v>44749.691167500663</v>
      </c>
      <c r="F688" s="180">
        <f>(F624/F612)*W64</f>
        <v>2014.856378018618</v>
      </c>
      <c r="G688" s="180">
        <f>(G625/G612)*W77</f>
        <v>0</v>
      </c>
      <c r="H688" s="180">
        <f>(H628/H612)*W60</f>
        <v>15370.95090511685</v>
      </c>
      <c r="I688" s="180">
        <f>(I629/I612)*W78</f>
        <v>0</v>
      </c>
      <c r="J688" s="180">
        <f>(J630/J612)*W79</f>
        <v>0</v>
      </c>
      <c r="K688" s="180">
        <f>(K644/K612)*W75</f>
        <v>790775.74787716218</v>
      </c>
      <c r="L688" s="180">
        <f>(L647/L612)*W80</f>
        <v>0</v>
      </c>
      <c r="M688" s="180">
        <f t="shared" si="20"/>
        <v>852911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1346356.94</v>
      </c>
      <c r="D689" s="180">
        <f>(D615/D612)*X76</f>
        <v>17612.063030647339</v>
      </c>
      <c r="E689" s="180">
        <f>(E623/E612)*SUM(C689:D689)</f>
        <v>56499.636880254977</v>
      </c>
      <c r="F689" s="180">
        <f>(F624/F612)*X64</f>
        <v>6329.4190276720274</v>
      </c>
      <c r="G689" s="180">
        <f>(G625/G612)*X77</f>
        <v>0</v>
      </c>
      <c r="H689" s="180">
        <f>(H628/H612)*X60</f>
        <v>17740.231236820771</v>
      </c>
      <c r="I689" s="180">
        <f>(I629/I612)*X78</f>
        <v>6033.048167962309</v>
      </c>
      <c r="J689" s="180">
        <f>(J630/J612)*X79</f>
        <v>0</v>
      </c>
      <c r="K689" s="180">
        <f>(K644/K612)*X75</f>
        <v>1500812.4374640831</v>
      </c>
      <c r="L689" s="180">
        <f>(L647/L612)*X80</f>
        <v>0</v>
      </c>
      <c r="M689" s="180">
        <f t="shared" si="20"/>
        <v>1605027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7995680.4500000011</v>
      </c>
      <c r="D690" s="180">
        <f>(D615/D612)*Y76</f>
        <v>517903.03502737422</v>
      </c>
      <c r="E690" s="180">
        <f>(E623/E612)*SUM(C690:D690)</f>
        <v>352657.8495442351</v>
      </c>
      <c r="F690" s="180">
        <f>(F624/F612)*Y64</f>
        <v>15992.198784950137</v>
      </c>
      <c r="G690" s="180">
        <f>(G625/G612)*Y77</f>
        <v>0</v>
      </c>
      <c r="H690" s="180">
        <f>(H628/H612)*Y60</f>
        <v>130645.20591136788</v>
      </c>
      <c r="I690" s="180">
        <f>(I629/I612)*Y78</f>
        <v>177410.11182261631</v>
      </c>
      <c r="J690" s="180">
        <f>(J630/J612)*Y79</f>
        <v>76791.501311436383</v>
      </c>
      <c r="K690" s="180">
        <f>(K644/K612)*Y75</f>
        <v>1385500.2911781166</v>
      </c>
      <c r="L690" s="180">
        <f>(L647/L612)*Y80</f>
        <v>19489.325125072373</v>
      </c>
      <c r="M690" s="180">
        <f t="shared" si="20"/>
        <v>2676390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4405195.07</v>
      </c>
      <c r="D691" s="180">
        <f>(D615/D612)*Z76</f>
        <v>187862.0056602383</v>
      </c>
      <c r="E691" s="180">
        <f>(E623/E612)*SUM(C691:D691)</f>
        <v>190258.03106117831</v>
      </c>
      <c r="F691" s="180">
        <f>(F624/F612)*Z64</f>
        <v>4248.2477743314985</v>
      </c>
      <c r="G691" s="180">
        <f>(G625/G612)*Z77</f>
        <v>0</v>
      </c>
      <c r="H691" s="180">
        <f>(H628/H612)*Z60</f>
        <v>37729.619336698292</v>
      </c>
      <c r="I691" s="180">
        <f>(I629/I612)*Z78</f>
        <v>64353.168480110282</v>
      </c>
      <c r="J691" s="180">
        <f>(J630/J612)*Z79</f>
        <v>16323.588710769362</v>
      </c>
      <c r="K691" s="180">
        <f>(K644/K612)*Z75</f>
        <v>755956.56283142371</v>
      </c>
      <c r="L691" s="180">
        <f>(L647/L612)*Z80</f>
        <v>13461.6987977304</v>
      </c>
      <c r="M691" s="180">
        <f t="shared" si="20"/>
        <v>1270193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684461.81</v>
      </c>
      <c r="D692" s="180">
        <f>(D615/D612)*AA76</f>
        <v>19906.147138229095</v>
      </c>
      <c r="E692" s="180">
        <f>(E623/E612)*SUM(C692:D692)</f>
        <v>29177.007483287176</v>
      </c>
      <c r="F692" s="180">
        <f>(F624/F612)*AA64</f>
        <v>26855.163280014458</v>
      </c>
      <c r="G692" s="180">
        <f>(G625/G612)*AA77</f>
        <v>0</v>
      </c>
      <c r="H692" s="180">
        <f>(H628/H612)*AA60</f>
        <v>1950.2737813423414</v>
      </c>
      <c r="I692" s="180">
        <f>(I629/I612)*AA78</f>
        <v>6818.954963537717</v>
      </c>
      <c r="J692" s="180">
        <f>(J630/J612)*AA79</f>
        <v>0</v>
      </c>
      <c r="K692" s="180">
        <f>(K644/K612)*AA75</f>
        <v>84049.197273023397</v>
      </c>
      <c r="L692" s="180">
        <f>(L647/L612)*AA80</f>
        <v>0</v>
      </c>
      <c r="M692" s="180">
        <f t="shared" si="20"/>
        <v>168757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16236650.5</v>
      </c>
      <c r="D693" s="180">
        <f>(D615/D612)*AB76</f>
        <v>41835.423568183833</v>
      </c>
      <c r="E693" s="180">
        <f>(E623/E612)*SUM(C693:D693)</f>
        <v>674303.11216630985</v>
      </c>
      <c r="F693" s="180">
        <f>(F624/F612)*AB64</f>
        <v>858179.83871648158</v>
      </c>
      <c r="G693" s="180">
        <f>(G625/G612)*AB77</f>
        <v>0</v>
      </c>
      <c r="H693" s="180">
        <f>(H628/H612)*AB60</f>
        <v>43595.353430331073</v>
      </c>
      <c r="I693" s="180">
        <f>(I629/I612)*AB78</f>
        <v>14330.944480831684</v>
      </c>
      <c r="J693" s="180">
        <f>(J630/J612)*AB79</f>
        <v>149.61251660527131</v>
      </c>
      <c r="K693" s="180">
        <f>(K644/K612)*AB75</f>
        <v>2664954.9507314134</v>
      </c>
      <c r="L693" s="180">
        <f>(L647/L612)*AB80</f>
        <v>0</v>
      </c>
      <c r="M693" s="180">
        <f t="shared" si="20"/>
        <v>4297349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1444590.6999999997</v>
      </c>
      <c r="D694" s="180">
        <f>(D615/D612)*AC76</f>
        <v>47097.004819021742</v>
      </c>
      <c r="E694" s="180">
        <f>(E623/E612)*SUM(C694:D694)</f>
        <v>61790.123876533566</v>
      </c>
      <c r="F694" s="180">
        <f>(F624/F612)*AC64</f>
        <v>7081.820432727488</v>
      </c>
      <c r="G694" s="180">
        <f>(G625/G612)*AC77</f>
        <v>0</v>
      </c>
      <c r="H694" s="180">
        <f>(H628/H612)*AC60</f>
        <v>22278.479825981525</v>
      </c>
      <c r="I694" s="180">
        <f>(I629/I612)*AC78</f>
        <v>16133.395482179925</v>
      </c>
      <c r="J694" s="180">
        <f>(J630/J612)*AC79</f>
        <v>10.789364178264758</v>
      </c>
      <c r="K694" s="180">
        <f>(K644/K612)*AC75</f>
        <v>179930.9247333252</v>
      </c>
      <c r="L694" s="180">
        <f>(L647/L612)*AC80</f>
        <v>0</v>
      </c>
      <c r="M694" s="180">
        <f t="shared" si="20"/>
        <v>334323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3831861.05</v>
      </c>
      <c r="D696" s="180">
        <f>(D615/D612)*AE76</f>
        <v>97200.524274782903</v>
      </c>
      <c r="E696" s="180">
        <f>(E623/E612)*SUM(C696:D696)</f>
        <v>162753.37029906112</v>
      </c>
      <c r="F696" s="180">
        <f>(F624/F612)*AE64</f>
        <v>2286.8895403842062</v>
      </c>
      <c r="G696" s="180">
        <f>(G625/G612)*AE77</f>
        <v>0</v>
      </c>
      <c r="H696" s="180">
        <f>(H628/H612)*AE60</f>
        <v>73065.264873661261</v>
      </c>
      <c r="I696" s="180">
        <f>(I629/I612)*AE78</f>
        <v>33296.52246730942</v>
      </c>
      <c r="J696" s="180">
        <f>(J630/J612)*AE79</f>
        <v>14723.166357660089</v>
      </c>
      <c r="K696" s="180">
        <f>(K644/K612)*AE75</f>
        <v>354265.16764940234</v>
      </c>
      <c r="L696" s="180">
        <f>(L647/L612)*AE80</f>
        <v>0</v>
      </c>
      <c r="M696" s="180">
        <f t="shared" si="20"/>
        <v>737591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11514763.630000001</v>
      </c>
      <c r="D698" s="180">
        <f>(D615/D612)*AG76</f>
        <v>125271.44319747621</v>
      </c>
      <c r="E698" s="180">
        <f>(E623/E612)*SUM(C698:D698)</f>
        <v>482164.73647701548</v>
      </c>
      <c r="F698" s="180">
        <f>(F624/F612)*AG64</f>
        <v>29214.050748473717</v>
      </c>
      <c r="G698" s="180">
        <f>(G625/G612)*AG77</f>
        <v>0</v>
      </c>
      <c r="H698" s="180">
        <f>(H628/H612)*AG60</f>
        <v>110156.89323421236</v>
      </c>
      <c r="I698" s="180">
        <f>(I629/I612)*AG78</f>
        <v>42912.306755479651</v>
      </c>
      <c r="J698" s="180">
        <f>(J630/J612)*AG79</f>
        <v>174202.19685848191</v>
      </c>
      <c r="K698" s="180">
        <f>(K644/K612)*AG75</f>
        <v>1492443.387628576</v>
      </c>
      <c r="L698" s="180">
        <f>(L647/L612)*AG80</f>
        <v>261665.9562325009</v>
      </c>
      <c r="M698" s="180">
        <f t="shared" si="20"/>
        <v>2718031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3923.54</v>
      </c>
      <c r="D699" s="180">
        <f>(D615/D612)*AH76</f>
        <v>0</v>
      </c>
      <c r="E699" s="180">
        <f>(E623/E612)*SUM(C699:D699)</f>
        <v>162.52465033486882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163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3142745.5</v>
      </c>
      <c r="D700" s="180">
        <f>(D615/D612)*AI76</f>
        <v>228902.6284352442</v>
      </c>
      <c r="E700" s="180">
        <f>(E623/E612)*SUM(C700:D700)</f>
        <v>139663.65402828899</v>
      </c>
      <c r="F700" s="180">
        <f>(F624/F612)*AI64</f>
        <v>15190.323319418132</v>
      </c>
      <c r="G700" s="180">
        <f>(G625/G612)*AI77</f>
        <v>0</v>
      </c>
      <c r="H700" s="180">
        <f>(H628/H612)*AI60</f>
        <v>44852.421410381539</v>
      </c>
      <c r="I700" s="180">
        <f>(I629/I612)*AI78</f>
        <v>78411.66901288637</v>
      </c>
      <c r="J700" s="180">
        <f>(J630/J612)*AI79</f>
        <v>57733.887717894722</v>
      </c>
      <c r="K700" s="180">
        <f>(K644/K612)*AI75</f>
        <v>162503.36194186067</v>
      </c>
      <c r="L700" s="180">
        <f>(L647/L612)*AI80</f>
        <v>114926.74197465359</v>
      </c>
      <c r="M700" s="180">
        <f t="shared" si="20"/>
        <v>842185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40987044.889999993</v>
      </c>
      <c r="D701" s="180">
        <f>(D615/D612)*AJ76</f>
        <v>1089978.9695715806</v>
      </c>
      <c r="E701" s="180">
        <f>(E623/E612)*SUM(C701:D701)</f>
        <v>1742954.981957315</v>
      </c>
      <c r="F701" s="180">
        <f>(F624/F612)*AJ64</f>
        <v>105976.55269148524</v>
      </c>
      <c r="G701" s="180">
        <f>(G625/G612)*AJ77</f>
        <v>0</v>
      </c>
      <c r="H701" s="180">
        <f>(H628/H612)*AJ60</f>
        <v>523981.79048272496</v>
      </c>
      <c r="I701" s="180">
        <f>(I629/I612)*AJ78</f>
        <v>363885.50842147175</v>
      </c>
      <c r="J701" s="180">
        <f>(J630/J612)*AJ79</f>
        <v>34413.036692048059</v>
      </c>
      <c r="K701" s="180">
        <f>(K644/K612)*AJ75</f>
        <v>3128936.4950858937</v>
      </c>
      <c r="L701" s="180">
        <f>(L647/L612)*AJ80</f>
        <v>271243.18473038869</v>
      </c>
      <c r="M701" s="180">
        <f t="shared" si="20"/>
        <v>7261371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1652275.4200000002</v>
      </c>
      <c r="D707" s="180">
        <f>(D615/D612)*AP76</f>
        <v>150127.03163867697</v>
      </c>
      <c r="E707" s="180">
        <f>(E623/E612)*SUM(C707:D707)</f>
        <v>74660.849186012201</v>
      </c>
      <c r="F707" s="180">
        <f>(F624/F612)*AP64</f>
        <v>10812.78262256241</v>
      </c>
      <c r="G707" s="180">
        <f>(G625/G612)*AP77</f>
        <v>0</v>
      </c>
      <c r="H707" s="180">
        <f>(H628/H612)*AP60</f>
        <v>19675.650262914172</v>
      </c>
      <c r="I707" s="180">
        <f>(I629/I612)*AP78</f>
        <v>14850.580105753374</v>
      </c>
      <c r="J707" s="180">
        <f>(J630/J612)*AP79</f>
        <v>3583.5074890743354</v>
      </c>
      <c r="K707" s="180">
        <f>(K644/K612)*AP75</f>
        <v>156286.4012459603</v>
      </c>
      <c r="L707" s="180">
        <f>(L647/L612)*AP80</f>
        <v>0</v>
      </c>
      <c r="M707" s="180">
        <f t="shared" si="20"/>
        <v>429997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7707244.79</v>
      </c>
      <c r="D709" s="180">
        <f>(D615/D612)*AR76</f>
        <v>105220.78682412385</v>
      </c>
      <c r="E709" s="180">
        <f>(E623/E612)*SUM(C709:D709)</f>
        <v>323615.4687161441</v>
      </c>
      <c r="F709" s="180">
        <f>(F624/F612)*AR64</f>
        <v>13176.218644437444</v>
      </c>
      <c r="G709" s="180">
        <f>(G625/G612)*AR77</f>
        <v>0</v>
      </c>
      <c r="H709" s="180">
        <f>(H628/H612)*AR60</f>
        <v>147298.81708965046</v>
      </c>
      <c r="I709" s="180">
        <f>(I629/I612)*AR78</f>
        <v>36043.969572726906</v>
      </c>
      <c r="J709" s="180">
        <f>(J630/J612)*AR79</f>
        <v>0</v>
      </c>
      <c r="K709" s="180">
        <f>(K644/K612)*AR75</f>
        <v>418324.07420030044</v>
      </c>
      <c r="L709" s="180">
        <f>(L647/L612)*AR80</f>
        <v>179556.29092893138</v>
      </c>
      <c r="M709" s="180">
        <f t="shared" si="20"/>
        <v>1223236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4452012.7899999991</v>
      </c>
      <c r="D713" s="180">
        <f>(D615/D612)*AV76</f>
        <v>0</v>
      </c>
      <c r="E713" s="180">
        <f>(E623/E612)*SUM(C713:D713)</f>
        <v>184415.55890372308</v>
      </c>
      <c r="F713" s="180">
        <f>(F624/F612)*AV64</f>
        <v>794.20009415800291</v>
      </c>
      <c r="G713" s="180">
        <f>(G625/G612)*AV77</f>
        <v>0</v>
      </c>
      <c r="H713" s="180">
        <f>(H628/H612)*AV60</f>
        <v>35738.618206629522</v>
      </c>
      <c r="I713" s="180">
        <f>(I629/I612)*AV78</f>
        <v>0</v>
      </c>
      <c r="J713" s="180">
        <f>(J630/J612)*AV79</f>
        <v>3346.1414771525106</v>
      </c>
      <c r="K713" s="180">
        <f>(K644/K612)*AV75</f>
        <v>186723.45734173374</v>
      </c>
      <c r="L713" s="180">
        <f>(L647/L612)*AV80</f>
        <v>14466.303185620731</v>
      </c>
      <c r="M713" s="180">
        <f t="shared" si="20"/>
        <v>425484</v>
      </c>
      <c r="N713" s="199" t="s">
        <v>741</v>
      </c>
    </row>
    <row r="715" spans="1:15" ht="12.6" customHeight="1" x14ac:dyDescent="0.25">
      <c r="C715" s="180">
        <f>SUM(C614:C647)+SUM(C668:C713)</f>
        <v>194294048.19</v>
      </c>
      <c r="D715" s="180">
        <f>SUM(D616:D647)+SUM(D668:D713)</f>
        <v>5735255.9699999979</v>
      </c>
      <c r="E715" s="180">
        <f>SUM(E624:E647)+SUM(E668:E713)</f>
        <v>7728113.7100065211</v>
      </c>
      <c r="F715" s="180">
        <f>SUM(F625:F648)+SUM(F668:F713)</f>
        <v>1718973.3622298294</v>
      </c>
      <c r="G715" s="180">
        <f>SUM(G626:G647)+SUM(G668:G713)</f>
        <v>2932803.6009382308</v>
      </c>
      <c r="H715" s="180">
        <f>SUM(H629:H647)+SUM(H668:H713)</f>
        <v>2348131.770641082</v>
      </c>
      <c r="I715" s="180">
        <f>SUM(I630:I647)+SUM(I668:I713)</f>
        <v>2238720.7422304563</v>
      </c>
      <c r="J715" s="180">
        <f>SUM(J631:J647)+SUM(J668:J713)</f>
        <v>858396.7789861277</v>
      </c>
      <c r="K715" s="180">
        <f>SUM(K668:K713)</f>
        <v>19880374.84676221</v>
      </c>
      <c r="L715" s="180">
        <f>SUM(L668:L713)</f>
        <v>1713446.5466231585</v>
      </c>
      <c r="M715" s="180">
        <f>SUM(M668:M713)</f>
        <v>40863599</v>
      </c>
      <c r="N715" s="198" t="s">
        <v>742</v>
      </c>
    </row>
    <row r="716" spans="1:15" ht="12.6" customHeight="1" x14ac:dyDescent="0.25">
      <c r="C716" s="180">
        <f>CE71</f>
        <v>194294048.18999991</v>
      </c>
      <c r="D716" s="180">
        <f>D615</f>
        <v>5735255.9699999988</v>
      </c>
      <c r="E716" s="180">
        <f>E623</f>
        <v>7728113.710006522</v>
      </c>
      <c r="F716" s="180">
        <f>F624</f>
        <v>1718973.3622298297</v>
      </c>
      <c r="G716" s="180">
        <f>G625</f>
        <v>2932803.6009382308</v>
      </c>
      <c r="H716" s="180">
        <f>H628</f>
        <v>2348131.7706410824</v>
      </c>
      <c r="I716" s="180">
        <f>I629</f>
        <v>2238720.7422304563</v>
      </c>
      <c r="J716" s="180">
        <f>J630</f>
        <v>858396.7789861277</v>
      </c>
      <c r="K716" s="180">
        <f>K644</f>
        <v>19880374.846762214</v>
      </c>
      <c r="L716" s="180">
        <f>L647</f>
        <v>1713446.5466231583</v>
      </c>
      <c r="M716" s="180">
        <f>C648</f>
        <v>40863596.950000003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J28" transitionEvaluation="1" transitionEntry="1" codeName="Sheet10">
    <pageSetUpPr autoPageBreaks="0" fitToPage="1"/>
  </sheetPr>
  <dimension ref="A1:CF817"/>
  <sheetViews>
    <sheetView showGridLines="0" topLeftCell="BJ28" zoomScale="75" workbookViewId="0">
      <selection activeCell="CC68" sqref="CC6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7" width="11.75" style="180"/>
    <col min="18" max="18" width="15.33203125" style="180" bestFit="1" customWidth="1"/>
    <col min="19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26348655.120000001</v>
      </c>
      <c r="C48" s="244">
        <f>ROUND(((B48/CE61)*C61),0)</f>
        <v>1136565</v>
      </c>
      <c r="D48" s="244">
        <f>ROUND(((B48/CE61)*D61),0)</f>
        <v>0</v>
      </c>
      <c r="E48" s="195">
        <f>ROUND(((B48/CE61)*E61),0)</f>
        <v>1922997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152801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92772</v>
      </c>
      <c r="P48" s="195">
        <f>ROUND(((B48/CE61)*P61),0)</f>
        <v>669498</v>
      </c>
      <c r="Q48" s="195">
        <f>ROUND(((B48/CE61)*Q61),0)</f>
        <v>128580</v>
      </c>
      <c r="R48" s="195">
        <f>ROUND(((B48/CE61)*R61),0)</f>
        <v>12200</v>
      </c>
      <c r="S48" s="195">
        <f>ROUND(((B48/CE61)*S61),0)</f>
        <v>191495</v>
      </c>
      <c r="T48" s="195">
        <f>ROUND(((B48/CE61)*T61),0)</f>
        <v>21241</v>
      </c>
      <c r="U48" s="195">
        <f>ROUND(((B48/CE61)*U61),0)</f>
        <v>1143018</v>
      </c>
      <c r="V48" s="195">
        <f>ROUND(((B48/CE61)*V61),0)</f>
        <v>583571</v>
      </c>
      <c r="W48" s="195">
        <f>ROUND(((B48/CE61)*W61),0)</f>
        <v>147082</v>
      </c>
      <c r="X48" s="195">
        <f>ROUND(((B48/CE61)*X61),0)</f>
        <v>177433</v>
      </c>
      <c r="Y48" s="195">
        <f>ROUND(((B48/CE61)*Y61),0)</f>
        <v>1173779</v>
      </c>
      <c r="Z48" s="195">
        <f>ROUND(((B48/CE61)*Z61),0)</f>
        <v>569344</v>
      </c>
      <c r="AA48" s="195">
        <f>ROUND(((B48/CE61)*AA61),0)</f>
        <v>28016</v>
      </c>
      <c r="AB48" s="195">
        <f>ROUND(((B48/CE61)*AB61),0)</f>
        <v>521123</v>
      </c>
      <c r="AC48" s="195">
        <f>ROUND(((B48/CE61)*AC61),0)</f>
        <v>245722</v>
      </c>
      <c r="AD48" s="195">
        <f>ROUND(((B48/CE61)*AD61),0)</f>
        <v>0</v>
      </c>
      <c r="AE48" s="195">
        <f>ROUND(((B48/CE61)*AE61),0)</f>
        <v>784192</v>
      </c>
      <c r="AF48" s="195">
        <f>ROUND(((B48/CE61)*AF61),0)</f>
        <v>0</v>
      </c>
      <c r="AG48" s="195">
        <f>ROUND(((B48/CE61)*AG61),0)</f>
        <v>1197147</v>
      </c>
      <c r="AH48" s="195">
        <f>ROUND(((B48/CE61)*AH61),0)</f>
        <v>0</v>
      </c>
      <c r="AI48" s="195">
        <f>ROUND(((B48/CE61)*AI61),0)</f>
        <v>516105</v>
      </c>
      <c r="AJ48" s="195">
        <f>ROUND(((B48/CE61)*AJ61),0)</f>
        <v>6969947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261298</v>
      </c>
      <c r="AQ48" s="195">
        <f>ROUND(((B48/CE61)*AQ61),0)</f>
        <v>0</v>
      </c>
      <c r="AR48" s="195">
        <f>ROUND(((B48/CE61)*AR61),0)</f>
        <v>1382079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876529</v>
      </c>
      <c r="AW48" s="195">
        <f>ROUND(((B48/CE61)*AW61),0)</f>
        <v>0</v>
      </c>
      <c r="AX48" s="195">
        <f>ROUND(((B48/CE61)*AX61),0)</f>
        <v>13932</v>
      </c>
      <c r="AY48" s="195">
        <f>ROUND(((B48/CE61)*AY61),0)</f>
        <v>361564</v>
      </c>
      <c r="AZ48" s="195">
        <f>ROUND(((B48/CE61)*AZ61),0)</f>
        <v>63705</v>
      </c>
      <c r="BA48" s="195">
        <f>ROUND(((B48/CE61)*BA61),0)</f>
        <v>78635</v>
      </c>
      <c r="BB48" s="195">
        <f>ROUND(((B48/CE61)*BB61),0)</f>
        <v>332623</v>
      </c>
      <c r="BC48" s="195">
        <f>ROUND(((B48/CE61)*BC61),0)</f>
        <v>0</v>
      </c>
      <c r="BD48" s="195">
        <f>ROUND(((B48/CE61)*BD61),0)</f>
        <v>162598</v>
      </c>
      <c r="BE48" s="195">
        <f>ROUND(((B48/CE61)*BE61),0)</f>
        <v>284366</v>
      </c>
      <c r="BF48" s="195">
        <f>ROUND(((B48/CE61)*BF61),0)</f>
        <v>375619</v>
      </c>
      <c r="BG48" s="195">
        <f>ROUND(((B48/CE61)*BG61),0)</f>
        <v>0</v>
      </c>
      <c r="BH48" s="195">
        <f>ROUND(((B48/CE61)*BH61),0)</f>
        <v>616156</v>
      </c>
      <c r="BI48" s="195">
        <f>ROUND(((B48/CE61)*BI61),0)</f>
        <v>207499</v>
      </c>
      <c r="BJ48" s="195">
        <f>ROUND(((B48/CE61)*BJ61),0)</f>
        <v>270090</v>
      </c>
      <c r="BK48" s="195">
        <f>ROUND(((B48/CE61)*BK61),0)</f>
        <v>410727</v>
      </c>
      <c r="BL48" s="195">
        <f>ROUND(((B48/CE61)*BL61),0)</f>
        <v>709066</v>
      </c>
      <c r="BM48" s="195">
        <f>ROUND(((B48/CE61)*BM61),0)</f>
        <v>0</v>
      </c>
      <c r="BN48" s="195">
        <f>ROUND(((B48/CE61)*BN61),0)</f>
        <v>182696</v>
      </c>
      <c r="BO48" s="195">
        <f>ROUND(((B48/CE61)*BO61),0)</f>
        <v>27074</v>
      </c>
      <c r="BP48" s="195">
        <f>ROUND(((B48/CE61)*BP61),0)</f>
        <v>61735</v>
      </c>
      <c r="BQ48" s="195">
        <f>ROUND(((B48/CE61)*BQ61),0)</f>
        <v>0</v>
      </c>
      <c r="BR48" s="195">
        <f>ROUND(((B48/CE61)*BR61),0)</f>
        <v>272137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228085</v>
      </c>
      <c r="BW48" s="195">
        <f>ROUND(((B48/CE61)*BW61),0)</f>
        <v>68357</v>
      </c>
      <c r="BX48" s="195">
        <f>ROUND(((B48/CE61)*BX61),0)</f>
        <v>0</v>
      </c>
      <c r="BY48" s="195">
        <f>ROUND(((B48/CE61)*BY61),0)</f>
        <v>228307</v>
      </c>
      <c r="BZ48" s="195">
        <f>ROUND(((B48/CE61)*BZ61),0)</f>
        <v>0</v>
      </c>
      <c r="CA48" s="195">
        <f>ROUND(((B48/CE61)*CA61),0)</f>
        <v>80601</v>
      </c>
      <c r="CB48" s="195">
        <f>ROUND(((B48/CE61)*CB61),0)</f>
        <v>0</v>
      </c>
      <c r="CC48" s="195">
        <f>ROUND(((B48/CE61)*CC61),0)</f>
        <v>408549</v>
      </c>
      <c r="CD48" s="195"/>
      <c r="CE48" s="195">
        <f>SUM(C48:CD48)</f>
        <v>26348655</v>
      </c>
    </row>
    <row r="49" spans="1:84" ht="12.6" customHeight="1" x14ac:dyDescent="0.25">
      <c r="A49" s="175" t="s">
        <v>206</v>
      </c>
      <c r="B49" s="195">
        <f>B47+B48</f>
        <v>26348655.120000001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f>C384</f>
        <v>10655598</v>
      </c>
      <c r="C52" s="195">
        <f>ROUND((B52/(CE76+CF76)*C76),0)</f>
        <v>199144</v>
      </c>
      <c r="D52" s="195">
        <f>ROUND((B52/(CE76+CF76)*D76),0)</f>
        <v>0</v>
      </c>
      <c r="E52" s="195">
        <f>ROUND((B52/(CE76+CF76)*E76),0)</f>
        <v>880880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26133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68723</v>
      </c>
      <c r="P52" s="195">
        <f>ROUND((B52/(CE76+CF76)*P76),0)</f>
        <v>319969</v>
      </c>
      <c r="Q52" s="195">
        <f>ROUND((B52/(CE76+CF76)*Q76),0)</f>
        <v>38763</v>
      </c>
      <c r="R52" s="195">
        <f>ROUND((B52/(CE76+CF76)*R76),0)</f>
        <v>15636</v>
      </c>
      <c r="S52" s="195">
        <f>ROUND((B52/(CE76+CF76)*S76),0)</f>
        <v>84687</v>
      </c>
      <c r="T52" s="195">
        <f>ROUND((B52/(CE76+CF76)*T76),0)</f>
        <v>0</v>
      </c>
      <c r="U52" s="195">
        <f>ROUND((B52/(CE76+CF76)*U76),0)</f>
        <v>278637</v>
      </c>
      <c r="V52" s="195">
        <f>ROUND((B52/(CE76+CF76)*V76),0)</f>
        <v>297691</v>
      </c>
      <c r="W52" s="195">
        <f>ROUND((B52/(CE76+CF76)*W76),0)</f>
        <v>0</v>
      </c>
      <c r="X52" s="195">
        <f>ROUND((B52/(CE76+CF76)*X76),0)</f>
        <v>26653</v>
      </c>
      <c r="Y52" s="195">
        <f>ROUND((B52/(CE76+CF76)*Y76),0)</f>
        <v>783754</v>
      </c>
      <c r="Z52" s="195">
        <f>ROUND((B52/(CE76+CF76)*Z76),0)</f>
        <v>284296</v>
      </c>
      <c r="AA52" s="195">
        <f>ROUND((B52/(CE76+CF76)*AA76),0)</f>
        <v>30124</v>
      </c>
      <c r="AB52" s="195">
        <f>ROUND((B52/(CE76+CF76)*AB76),0)</f>
        <v>63310</v>
      </c>
      <c r="AC52" s="195">
        <f>ROUND((B52/(CE76+CF76)*AC76),0)</f>
        <v>65525</v>
      </c>
      <c r="AD52" s="195">
        <f>ROUND((B52/(CE76+CF76)*AD76),0)</f>
        <v>0</v>
      </c>
      <c r="AE52" s="195">
        <f>ROUND((B52/(CE76+CF76)*AE76),0)</f>
        <v>147096</v>
      </c>
      <c r="AF52" s="195">
        <f>ROUND((B52/(CE76+CF76)*AF76),0)</f>
        <v>0</v>
      </c>
      <c r="AG52" s="195">
        <f>ROUND((B52/(CE76+CF76)*AG76),0)</f>
        <v>189576</v>
      </c>
      <c r="AH52" s="195">
        <f>ROUND((B52/(CE76+CF76)*AH76),0)</f>
        <v>0</v>
      </c>
      <c r="AI52" s="195">
        <f>ROUND((B52/(CE76+CF76)*AI76),0)</f>
        <v>346403</v>
      </c>
      <c r="AJ52" s="195">
        <f>ROUND((B52/(CE76+CF76)*AJ76),0)</f>
        <v>1649490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227191</v>
      </c>
      <c r="AQ52" s="195">
        <f>ROUND((B52/(CE76+CF76)*AQ76),0)</f>
        <v>0</v>
      </c>
      <c r="AR52" s="195">
        <f>ROUND((B52/(CE76+CF76)*AR76),0)</f>
        <v>159233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4374</v>
      </c>
      <c r="AY52" s="195">
        <f>ROUND((B52/(CE76+CF76)*AY76),0)</f>
        <v>76623</v>
      </c>
      <c r="AZ52" s="195">
        <f>ROUND((B52/(CE76+CF76)*AZ76),0)</f>
        <v>117108</v>
      </c>
      <c r="BA52" s="195">
        <f>ROUND((B52/(CE76+CF76)*BA76),0)</f>
        <v>111149</v>
      </c>
      <c r="BB52" s="195">
        <f>ROUND((B52/(CE76+CF76)*BB76),0)</f>
        <v>9732</v>
      </c>
      <c r="BC52" s="195">
        <f>ROUND((B52/(CE76+CF76)*BC76),0)</f>
        <v>0</v>
      </c>
      <c r="BD52" s="195">
        <f>ROUND((B52/(CE76+CF76)*BD76),0)</f>
        <v>157429</v>
      </c>
      <c r="BE52" s="195">
        <f>ROUND((B52/(CE76+CF76)*BE76),0)</f>
        <v>2090640</v>
      </c>
      <c r="BF52" s="195">
        <f>ROUND((B52/(CE76+CF76)*BF76),0)</f>
        <v>9704</v>
      </c>
      <c r="BG52" s="195">
        <f>ROUND((B52/(CE76+CF76)*BG76),0)</f>
        <v>0</v>
      </c>
      <c r="BH52" s="195">
        <f>ROUND((B52/(CE76+CF76)*BH76),0)</f>
        <v>56449</v>
      </c>
      <c r="BI52" s="195">
        <f>ROUND((B52/(CE76+CF76)*BI76),0)</f>
        <v>7654</v>
      </c>
      <c r="BJ52" s="195">
        <f>ROUND((B52/(CE76+CF76)*BJ76),0)</f>
        <v>31081</v>
      </c>
      <c r="BK52" s="195">
        <f>ROUND((B52/(CE76+CF76)*BK76),0)</f>
        <v>136681</v>
      </c>
      <c r="BL52" s="195">
        <f>ROUND((B52/(CE76+CF76)*BL76),0)</f>
        <v>342194</v>
      </c>
      <c r="BM52" s="195">
        <f>ROUND((B52/(CE76+CF76)*BM76),0)</f>
        <v>0</v>
      </c>
      <c r="BN52" s="195">
        <f>ROUND((B52/(CE76+CF76)*BN76),0)</f>
        <v>830472</v>
      </c>
      <c r="BO52" s="195">
        <f>ROUND((B52/(CE76+CF76)*BO76),0)</f>
        <v>136216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33350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3882</v>
      </c>
      <c r="BX52" s="195">
        <f>ROUND((B52/(CE76+CF76)*BX76),0)</f>
        <v>0</v>
      </c>
      <c r="BY52" s="195">
        <f>ROUND((B52/(CE76+CF76)*BY76),0)</f>
        <v>35182</v>
      </c>
      <c r="BZ52" s="195">
        <f>ROUND((B52/(CE76+CF76)*BZ76),0)</f>
        <v>0</v>
      </c>
      <c r="CA52" s="195">
        <f>ROUND((B52/(CE76+CF76)*CA76),0)</f>
        <v>20010</v>
      </c>
      <c r="CB52" s="195">
        <f>ROUND((B52/(CE76+CF76)*CB76),0)</f>
        <v>0</v>
      </c>
      <c r="CC52" s="195">
        <f>ROUND((B52/(CE76+CF76)*CC76),0)</f>
        <v>262755</v>
      </c>
      <c r="CD52" s="195"/>
      <c r="CE52" s="195">
        <f>SUM(C52:CD52)</f>
        <v>10655599</v>
      </c>
    </row>
    <row r="53" spans="1:84" ht="12.6" customHeight="1" x14ac:dyDescent="0.25">
      <c r="A53" s="175" t="s">
        <v>206</v>
      </c>
      <c r="B53" s="195">
        <f>B51+B52</f>
        <v>10655598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4159</v>
      </c>
      <c r="D59" s="184"/>
      <c r="E59" s="184">
        <f>9159+1096</f>
        <v>10255</v>
      </c>
      <c r="F59" s="184"/>
      <c r="G59" s="184"/>
      <c r="H59" s="184"/>
      <c r="I59" s="184"/>
      <c r="J59" s="184">
        <f>954</f>
        <v>954</v>
      </c>
      <c r="K59" s="184"/>
      <c r="L59" s="184"/>
      <c r="M59" s="184"/>
      <c r="N59" s="184"/>
      <c r="O59" s="184">
        <f>389</f>
        <v>389</v>
      </c>
      <c r="P59" s="185">
        <f>420815</f>
        <v>420815</v>
      </c>
      <c r="Q59" s="185">
        <f>151766</f>
        <v>151766</v>
      </c>
      <c r="R59" s="185">
        <f>378159</f>
        <v>378159</v>
      </c>
      <c r="S59" s="247"/>
      <c r="T59" s="247"/>
      <c r="U59" s="224">
        <f>554874</f>
        <v>554874</v>
      </c>
      <c r="V59" s="185">
        <f>24050+3184+2395</f>
        <v>29629</v>
      </c>
      <c r="W59" s="185">
        <f>6159</f>
        <v>6159</v>
      </c>
      <c r="X59" s="185">
        <v>15509</v>
      </c>
      <c r="Y59" s="185">
        <f>68073</f>
        <v>68073</v>
      </c>
      <c r="Z59" s="185">
        <v>14143.2</v>
      </c>
      <c r="AA59" s="185">
        <f>691</f>
        <v>691</v>
      </c>
      <c r="AB59" s="247"/>
      <c r="AC59" s="185">
        <v>28536</v>
      </c>
      <c r="AD59" s="185"/>
      <c r="AE59" s="185">
        <f>34355+23064+9906+1723+4103+1850+2538</f>
        <v>77539</v>
      </c>
      <c r="AF59" s="185"/>
      <c r="AG59" s="185">
        <f>29865</f>
        <v>29865</v>
      </c>
      <c r="AH59" s="185"/>
      <c r="AI59" s="185">
        <f>14546+1349</f>
        <v>15895</v>
      </c>
      <c r="AJ59" s="185">
        <v>143066</v>
      </c>
      <c r="AK59" s="185"/>
      <c r="AL59" s="185"/>
      <c r="AM59" s="185"/>
      <c r="AN59" s="185"/>
      <c r="AO59" s="185"/>
      <c r="AP59" s="185">
        <v>6402</v>
      </c>
      <c r="AQ59" s="185"/>
      <c r="AR59" s="185">
        <f>47938</f>
        <v>47938</v>
      </c>
      <c r="AS59" s="185"/>
      <c r="AT59" s="185"/>
      <c r="AU59" s="185"/>
      <c r="AV59" s="247"/>
      <c r="AW59" s="247"/>
      <c r="AX59" s="247"/>
      <c r="AY59" s="185">
        <f>34997+10183</f>
        <v>45180</v>
      </c>
      <c r="AZ59" s="185"/>
      <c r="BA59" s="247"/>
      <c r="BB59" s="247"/>
      <c r="BC59" s="247"/>
      <c r="BD59" s="247"/>
      <c r="BE59" s="185">
        <v>389799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46.910865384615391</v>
      </c>
      <c r="D60" s="187"/>
      <c r="E60" s="187">
        <v>87.819230000000005</v>
      </c>
      <c r="F60" s="223"/>
      <c r="G60" s="187"/>
      <c r="H60" s="187"/>
      <c r="I60" s="187"/>
      <c r="J60" s="223">
        <v>5.3061350000000003</v>
      </c>
      <c r="K60" s="187"/>
      <c r="L60" s="187"/>
      <c r="M60" s="187"/>
      <c r="N60" s="187"/>
      <c r="O60" s="187">
        <v>3.2215820000000002</v>
      </c>
      <c r="P60" s="221">
        <v>30.341528846153846</v>
      </c>
      <c r="Q60" s="221">
        <v>4.5249615384615387</v>
      </c>
      <c r="R60" s="221">
        <v>1.042485576923077</v>
      </c>
      <c r="S60" s="221">
        <v>14.831624999999999</v>
      </c>
      <c r="T60" s="221">
        <v>0.60844230769230767</v>
      </c>
      <c r="U60" s="221">
        <v>68.137144230769223</v>
      </c>
      <c r="V60" s="221">
        <v>31.268605769230767</v>
      </c>
      <c r="W60" s="221">
        <v>6.4482884615384615</v>
      </c>
      <c r="X60" s="221">
        <v>9.1995961538461533</v>
      </c>
      <c r="Y60" s="221">
        <v>64.765836538461542</v>
      </c>
      <c r="Z60" s="221">
        <v>16.119538461538461</v>
      </c>
      <c r="AA60" s="221">
        <v>1.1651346153846154</v>
      </c>
      <c r="AB60" s="221">
        <v>19.621826923076924</v>
      </c>
      <c r="AC60" s="221">
        <v>12.214927884615385</v>
      </c>
      <c r="AD60" s="221"/>
      <c r="AE60" s="221">
        <v>37.652528846153857</v>
      </c>
      <c r="AF60" s="221"/>
      <c r="AG60" s="221">
        <v>51.818552884615379</v>
      </c>
      <c r="AH60" s="221"/>
      <c r="AI60" s="221">
        <v>21.058350961538466</v>
      </c>
      <c r="AJ60" s="221">
        <v>237.20172596153844</v>
      </c>
      <c r="AK60" s="221"/>
      <c r="AL60" s="221"/>
      <c r="AM60" s="221"/>
      <c r="AN60" s="221"/>
      <c r="AO60" s="221"/>
      <c r="AP60" s="221">
        <v>8.4686490384615389</v>
      </c>
      <c r="AQ60" s="221"/>
      <c r="AR60" s="221">
        <v>64.955500000000001</v>
      </c>
      <c r="AS60" s="221"/>
      <c r="AT60" s="221"/>
      <c r="AU60" s="221"/>
      <c r="AV60" s="221">
        <v>16.02571153846154</v>
      </c>
      <c r="AW60" s="221"/>
      <c r="AX60" s="221">
        <v>1.0341105769230767</v>
      </c>
      <c r="AY60" s="221">
        <v>36.413403846153848</v>
      </c>
      <c r="AZ60" s="221">
        <v>3.9634615384615386</v>
      </c>
      <c r="BA60" s="221">
        <v>8.3855384615384612</v>
      </c>
      <c r="BB60" s="221">
        <v>15.927264423076922</v>
      </c>
      <c r="BC60" s="221"/>
      <c r="BD60" s="221">
        <v>10.821682692307691</v>
      </c>
      <c r="BE60" s="221">
        <v>18.261490384615385</v>
      </c>
      <c r="BF60" s="221">
        <v>36.178427884615402</v>
      </c>
      <c r="BG60" s="221"/>
      <c r="BH60" s="221">
        <v>29.080081730769226</v>
      </c>
      <c r="BI60" s="221">
        <v>17.607456730769233</v>
      </c>
      <c r="BJ60" s="221">
        <v>14.985158653846153</v>
      </c>
      <c r="BK60" s="221">
        <v>32.691668269230767</v>
      </c>
      <c r="BL60" s="221">
        <v>66.884173076923076</v>
      </c>
      <c r="BM60" s="221"/>
      <c r="BN60" s="221">
        <v>4.2725961538461537</v>
      </c>
      <c r="BO60" s="221">
        <v>1.0890480769230768</v>
      </c>
      <c r="BP60" s="221">
        <v>3</v>
      </c>
      <c r="BQ60" s="221"/>
      <c r="BR60" s="221">
        <v>12.270225961538461</v>
      </c>
      <c r="BS60" s="221"/>
      <c r="BT60" s="221"/>
      <c r="BU60" s="221"/>
      <c r="BV60" s="221">
        <v>16.349014423076923</v>
      </c>
      <c r="BW60" s="221">
        <v>3.026153846153846</v>
      </c>
      <c r="BX60" s="221"/>
      <c r="BY60" s="221">
        <v>7.3127548076923077</v>
      </c>
      <c r="BZ60" s="221"/>
      <c r="CA60" s="221">
        <v>4.0646394230769225</v>
      </c>
      <c r="CB60" s="221"/>
      <c r="CC60" s="221">
        <v>18.623913461538464</v>
      </c>
      <c r="CD60" s="248" t="s">
        <v>221</v>
      </c>
      <c r="CE60" s="250">
        <f t="shared" ref="CE60:CE70" si="0">SUM(C60:CD60)</f>
        <v>1222.971038346154</v>
      </c>
    </row>
    <row r="61" spans="1:84" ht="12.6" customHeight="1" x14ac:dyDescent="0.25">
      <c r="A61" s="171" t="s">
        <v>235</v>
      </c>
      <c r="B61" s="175"/>
      <c r="C61" s="184">
        <v>3843499.04</v>
      </c>
      <c r="D61" s="184"/>
      <c r="E61" s="184">
        <v>6502962.4095000001</v>
      </c>
      <c r="F61" s="185"/>
      <c r="G61" s="184"/>
      <c r="H61" s="184"/>
      <c r="I61" s="185"/>
      <c r="J61" s="185">
        <v>516723.9</v>
      </c>
      <c r="K61" s="185"/>
      <c r="L61" s="185"/>
      <c r="M61" s="184"/>
      <c r="N61" s="184"/>
      <c r="O61" s="184">
        <v>313725.21999999997</v>
      </c>
      <c r="P61" s="185">
        <v>2264029.8199999998</v>
      </c>
      <c r="Q61" s="185">
        <v>434817.38</v>
      </c>
      <c r="R61" s="185">
        <v>41256.300000000003</v>
      </c>
      <c r="S61" s="185">
        <v>647574.74</v>
      </c>
      <c r="T61" s="185">
        <v>71829.039999999994</v>
      </c>
      <c r="U61" s="185">
        <v>3865322.46</v>
      </c>
      <c r="V61" s="185">
        <v>1973450.7400000002</v>
      </c>
      <c r="W61" s="185">
        <v>497383.7</v>
      </c>
      <c r="X61" s="185">
        <v>600023.12</v>
      </c>
      <c r="Y61" s="185">
        <v>3969345.9199999995</v>
      </c>
      <c r="Z61" s="185">
        <v>1925340.1600000001</v>
      </c>
      <c r="AA61" s="185">
        <v>94741.7</v>
      </c>
      <c r="AB61" s="185">
        <v>1762272.1099999999</v>
      </c>
      <c r="AC61" s="185">
        <v>830952.5</v>
      </c>
      <c r="AD61" s="185"/>
      <c r="AE61" s="185">
        <v>2651886.3199999994</v>
      </c>
      <c r="AF61" s="185"/>
      <c r="AG61" s="185">
        <v>4048371.04</v>
      </c>
      <c r="AH61" s="185"/>
      <c r="AI61" s="185">
        <v>1745303.65</v>
      </c>
      <c r="AJ61" s="185">
        <v>23570136.550000001</v>
      </c>
      <c r="AK61" s="185"/>
      <c r="AL61" s="185"/>
      <c r="AM61" s="185"/>
      <c r="AN61" s="185"/>
      <c r="AO61" s="185"/>
      <c r="AP61" s="185">
        <v>883626.55</v>
      </c>
      <c r="AQ61" s="185"/>
      <c r="AR61" s="185">
        <v>4673750.45</v>
      </c>
      <c r="AS61" s="185"/>
      <c r="AT61" s="185"/>
      <c r="AU61" s="185"/>
      <c r="AV61" s="185">
        <v>2964143.17</v>
      </c>
      <c r="AW61" s="185"/>
      <c r="AX61" s="185">
        <v>47115.1</v>
      </c>
      <c r="AY61" s="185">
        <v>1222695.77</v>
      </c>
      <c r="AZ61" s="185">
        <v>215430.35</v>
      </c>
      <c r="BA61" s="185">
        <v>265917.78999999998</v>
      </c>
      <c r="BB61" s="185">
        <v>1124824.81</v>
      </c>
      <c r="BC61" s="185"/>
      <c r="BD61" s="185">
        <v>549854.62</v>
      </c>
      <c r="BE61" s="185">
        <v>961636.35</v>
      </c>
      <c r="BF61" s="185">
        <v>1270222.8999999999</v>
      </c>
      <c r="BG61" s="185"/>
      <c r="BH61" s="185">
        <v>2083643.39</v>
      </c>
      <c r="BI61" s="185">
        <v>701694.71</v>
      </c>
      <c r="BJ61" s="185">
        <v>913359.09999999986</v>
      </c>
      <c r="BK61" s="185">
        <v>1388946.84</v>
      </c>
      <c r="BL61" s="185">
        <v>2397835.2999999998</v>
      </c>
      <c r="BM61" s="185"/>
      <c r="BN61" s="185">
        <v>617820.56999999995</v>
      </c>
      <c r="BO61" s="185">
        <v>91555.23</v>
      </c>
      <c r="BP61" s="185">
        <v>208767.57</v>
      </c>
      <c r="BQ61" s="185"/>
      <c r="BR61" s="185">
        <v>920279.16</v>
      </c>
      <c r="BS61" s="185"/>
      <c r="BT61" s="185"/>
      <c r="BU61" s="185"/>
      <c r="BV61" s="185">
        <v>771310.96</v>
      </c>
      <c r="BW61" s="185">
        <v>231160.56</v>
      </c>
      <c r="BX61" s="185"/>
      <c r="BY61" s="185">
        <v>772061.55</v>
      </c>
      <c r="BZ61" s="185"/>
      <c r="CA61" s="185">
        <v>272566.41000000003</v>
      </c>
      <c r="CB61" s="185"/>
      <c r="CC61" s="185">
        <v>1381582.64</v>
      </c>
      <c r="CD61" s="248" t="s">
        <v>221</v>
      </c>
      <c r="CE61" s="195">
        <f t="shared" si="0"/>
        <v>89102749.669499964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1136565</v>
      </c>
      <c r="D62" s="195">
        <f t="shared" si="1"/>
        <v>0</v>
      </c>
      <c r="E62" s="195">
        <f t="shared" si="1"/>
        <v>1922997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152801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92772</v>
      </c>
      <c r="P62" s="195">
        <f t="shared" si="1"/>
        <v>669498</v>
      </c>
      <c r="Q62" s="195">
        <f t="shared" si="1"/>
        <v>128580</v>
      </c>
      <c r="R62" s="195">
        <f t="shared" si="1"/>
        <v>12200</v>
      </c>
      <c r="S62" s="195">
        <f t="shared" si="1"/>
        <v>191495</v>
      </c>
      <c r="T62" s="195">
        <f t="shared" si="1"/>
        <v>21241</v>
      </c>
      <c r="U62" s="195">
        <f t="shared" si="1"/>
        <v>1143018</v>
      </c>
      <c r="V62" s="195">
        <f t="shared" si="1"/>
        <v>583571</v>
      </c>
      <c r="W62" s="195">
        <f t="shared" si="1"/>
        <v>147082</v>
      </c>
      <c r="X62" s="195">
        <f t="shared" si="1"/>
        <v>177433</v>
      </c>
      <c r="Y62" s="195">
        <f t="shared" si="1"/>
        <v>1173779</v>
      </c>
      <c r="Z62" s="195">
        <f t="shared" si="1"/>
        <v>569344</v>
      </c>
      <c r="AA62" s="195">
        <f t="shared" si="1"/>
        <v>28016</v>
      </c>
      <c r="AB62" s="195">
        <f t="shared" si="1"/>
        <v>521123</v>
      </c>
      <c r="AC62" s="195">
        <f t="shared" si="1"/>
        <v>245722</v>
      </c>
      <c r="AD62" s="195">
        <f t="shared" si="1"/>
        <v>0</v>
      </c>
      <c r="AE62" s="195">
        <f t="shared" si="1"/>
        <v>784192</v>
      </c>
      <c r="AF62" s="195">
        <f t="shared" si="1"/>
        <v>0</v>
      </c>
      <c r="AG62" s="195">
        <f t="shared" si="1"/>
        <v>1197147</v>
      </c>
      <c r="AH62" s="195">
        <f t="shared" si="1"/>
        <v>0</v>
      </c>
      <c r="AI62" s="195">
        <f t="shared" si="1"/>
        <v>516105</v>
      </c>
      <c r="AJ62" s="195">
        <f t="shared" si="1"/>
        <v>6969947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261298</v>
      </c>
      <c r="AQ62" s="195">
        <f t="shared" si="1"/>
        <v>0</v>
      </c>
      <c r="AR62" s="195">
        <f t="shared" si="1"/>
        <v>1382079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876529</v>
      </c>
      <c r="AW62" s="195">
        <f t="shared" si="1"/>
        <v>0</v>
      </c>
      <c r="AX62" s="195">
        <f t="shared" si="1"/>
        <v>13932</v>
      </c>
      <c r="AY62" s="195">
        <f>ROUND(AY47+AY48,0)</f>
        <v>361564</v>
      </c>
      <c r="AZ62" s="195">
        <f>ROUND(AZ47+AZ48,0)</f>
        <v>63705</v>
      </c>
      <c r="BA62" s="195">
        <f>ROUND(BA47+BA48,0)</f>
        <v>78635</v>
      </c>
      <c r="BB62" s="195">
        <f t="shared" si="1"/>
        <v>332623</v>
      </c>
      <c r="BC62" s="195">
        <f t="shared" si="1"/>
        <v>0</v>
      </c>
      <c r="BD62" s="195">
        <f t="shared" si="1"/>
        <v>162598</v>
      </c>
      <c r="BE62" s="195">
        <f t="shared" si="1"/>
        <v>284366</v>
      </c>
      <c r="BF62" s="195">
        <f t="shared" si="1"/>
        <v>375619</v>
      </c>
      <c r="BG62" s="195">
        <f t="shared" si="1"/>
        <v>0</v>
      </c>
      <c r="BH62" s="195">
        <f t="shared" si="1"/>
        <v>616156</v>
      </c>
      <c r="BI62" s="195">
        <f t="shared" si="1"/>
        <v>207499</v>
      </c>
      <c r="BJ62" s="195">
        <f t="shared" si="1"/>
        <v>270090</v>
      </c>
      <c r="BK62" s="195">
        <f t="shared" si="1"/>
        <v>410727</v>
      </c>
      <c r="BL62" s="195">
        <f t="shared" si="1"/>
        <v>709066</v>
      </c>
      <c r="BM62" s="195">
        <f t="shared" si="1"/>
        <v>0</v>
      </c>
      <c r="BN62" s="195">
        <f t="shared" si="1"/>
        <v>182696</v>
      </c>
      <c r="BO62" s="195">
        <f t="shared" ref="BO62:CC62" si="2">ROUND(BO47+BO48,0)</f>
        <v>27074</v>
      </c>
      <c r="BP62" s="195">
        <f t="shared" si="2"/>
        <v>61735</v>
      </c>
      <c r="BQ62" s="195">
        <f t="shared" si="2"/>
        <v>0</v>
      </c>
      <c r="BR62" s="195">
        <f t="shared" si="2"/>
        <v>272137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228085</v>
      </c>
      <c r="BW62" s="195">
        <f t="shared" si="2"/>
        <v>68357</v>
      </c>
      <c r="BX62" s="195">
        <f t="shared" si="2"/>
        <v>0</v>
      </c>
      <c r="BY62" s="195">
        <f t="shared" si="2"/>
        <v>228307</v>
      </c>
      <c r="BZ62" s="195">
        <f t="shared" si="2"/>
        <v>0</v>
      </c>
      <c r="CA62" s="195">
        <f t="shared" si="2"/>
        <v>80601</v>
      </c>
      <c r="CB62" s="195">
        <f t="shared" si="2"/>
        <v>0</v>
      </c>
      <c r="CC62" s="195">
        <f t="shared" si="2"/>
        <v>408549</v>
      </c>
      <c r="CD62" s="248" t="s">
        <v>221</v>
      </c>
      <c r="CE62" s="195">
        <f t="shared" si="0"/>
        <v>26348655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16344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321636.84000000003</v>
      </c>
      <c r="Q63" s="185"/>
      <c r="R63" s="185">
        <v>537270.4</v>
      </c>
      <c r="S63" s="185"/>
      <c r="T63" s="185"/>
      <c r="U63" s="185">
        <v>80000.039999999994</v>
      </c>
      <c r="V63" s="185">
        <v>134400</v>
      </c>
      <c r="W63" s="185"/>
      <c r="X63" s="185"/>
      <c r="Y63" s="185">
        <v>13500</v>
      </c>
      <c r="Z63" s="185">
        <v>191631.82</v>
      </c>
      <c r="AA63" s="185"/>
      <c r="AB63" s="185">
        <v>12284.46</v>
      </c>
      <c r="AC63" s="185"/>
      <c r="AD63" s="185"/>
      <c r="AE63" s="185"/>
      <c r="AF63" s="185"/>
      <c r="AG63" s="185">
        <v>4711075.96</v>
      </c>
      <c r="AH63" s="185"/>
      <c r="AI63" s="185">
        <v>52883.18</v>
      </c>
      <c r="AJ63" s="185">
        <v>2128633.7200000002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227041.84</v>
      </c>
      <c r="AW63" s="185"/>
      <c r="AX63" s="185"/>
      <c r="AY63" s="185"/>
      <c r="AZ63" s="185"/>
      <c r="BA63" s="185"/>
      <c r="BB63" s="185">
        <v>2387.85</v>
      </c>
      <c r="BC63" s="185"/>
      <c r="BD63" s="185">
        <v>20212.259999999998</v>
      </c>
      <c r="BE63" s="185">
        <v>20915</v>
      </c>
      <c r="BF63" s="185"/>
      <c r="BG63" s="185"/>
      <c r="BH63" s="185">
        <v>24904.69</v>
      </c>
      <c r="BI63" s="185"/>
      <c r="BJ63" s="185">
        <v>160818.5</v>
      </c>
      <c r="BK63" s="185"/>
      <c r="BL63" s="185"/>
      <c r="BM63" s="185"/>
      <c r="BN63" s="185">
        <v>177936.19</v>
      </c>
      <c r="BO63" s="185"/>
      <c r="BP63" s="185"/>
      <c r="BQ63" s="185"/>
      <c r="BR63" s="185">
        <v>2266.85</v>
      </c>
      <c r="BS63" s="185"/>
      <c r="BT63" s="185"/>
      <c r="BU63" s="185"/>
      <c r="BV63" s="185">
        <v>18525.5</v>
      </c>
      <c r="BW63" s="185">
        <v>21500.04</v>
      </c>
      <c r="BX63" s="185"/>
      <c r="BY63" s="185">
        <v>4000</v>
      </c>
      <c r="BZ63" s="185"/>
      <c r="CA63" s="185"/>
      <c r="CB63" s="185"/>
      <c r="CC63" s="185">
        <v>7568.9</v>
      </c>
      <c r="CD63" s="248" t="s">
        <v>221</v>
      </c>
      <c r="CE63" s="195">
        <f t="shared" si="0"/>
        <v>8887738.0399999972</v>
      </c>
      <c r="CF63" s="251"/>
    </row>
    <row r="64" spans="1:84" ht="12.6" customHeight="1" x14ac:dyDescent="0.25">
      <c r="A64" s="171" t="s">
        <v>237</v>
      </c>
      <c r="B64" s="175"/>
      <c r="C64" s="184">
        <v>286475</v>
      </c>
      <c r="D64" s="184"/>
      <c r="E64" s="185">
        <v>400939.23</v>
      </c>
      <c r="F64" s="185"/>
      <c r="G64" s="184"/>
      <c r="H64" s="184"/>
      <c r="I64" s="185"/>
      <c r="J64" s="185">
        <v>42171.14</v>
      </c>
      <c r="K64" s="185"/>
      <c r="L64" s="185"/>
      <c r="M64" s="184"/>
      <c r="N64" s="184"/>
      <c r="O64" s="184">
        <v>25603.91</v>
      </c>
      <c r="P64" s="185">
        <v>5185304.29</v>
      </c>
      <c r="Q64" s="185">
        <v>34372.54</v>
      </c>
      <c r="R64" s="185">
        <v>199997.26</v>
      </c>
      <c r="S64" s="185">
        <v>166300.68999999997</v>
      </c>
      <c r="T64" s="185">
        <v>124443.3</v>
      </c>
      <c r="U64" s="185">
        <v>1634514.7000000002</v>
      </c>
      <c r="V64" s="185">
        <v>521812.52</v>
      </c>
      <c r="W64" s="185">
        <v>32121.48</v>
      </c>
      <c r="X64" s="185">
        <v>107750.10999999999</v>
      </c>
      <c r="Y64" s="185">
        <v>275751.12</v>
      </c>
      <c r="Z64" s="185">
        <v>74558.28</v>
      </c>
      <c r="AA64" s="185">
        <v>381761.25</v>
      </c>
      <c r="AB64" s="185">
        <v>12233299.07</v>
      </c>
      <c r="AC64" s="185">
        <v>143263.74</v>
      </c>
      <c r="AD64" s="185"/>
      <c r="AE64" s="185">
        <v>50787.580000000009</v>
      </c>
      <c r="AF64" s="185"/>
      <c r="AG64" s="185">
        <v>519972.55</v>
      </c>
      <c r="AH64" s="185">
        <v>3.11</v>
      </c>
      <c r="AI64" s="185">
        <v>272433.88</v>
      </c>
      <c r="AJ64" s="185">
        <v>1685559.1199999996</v>
      </c>
      <c r="AK64" s="185"/>
      <c r="AL64" s="185"/>
      <c r="AM64" s="185"/>
      <c r="AN64" s="185"/>
      <c r="AO64" s="185"/>
      <c r="AP64" s="185">
        <v>139383.40000000002</v>
      </c>
      <c r="AQ64" s="185"/>
      <c r="AR64" s="185">
        <v>198617.13999999998</v>
      </c>
      <c r="AS64" s="185"/>
      <c r="AT64" s="185"/>
      <c r="AU64" s="185"/>
      <c r="AV64" s="185">
        <v>34959.120000000003</v>
      </c>
      <c r="AW64" s="185"/>
      <c r="AX64" s="185">
        <v>39010.100000000006</v>
      </c>
      <c r="AY64" s="185">
        <v>837112.25</v>
      </c>
      <c r="AZ64" s="185">
        <v>2369.75</v>
      </c>
      <c r="BA64" s="185">
        <v>159919.84999999998</v>
      </c>
      <c r="BB64" s="185">
        <v>6654.4800000000005</v>
      </c>
      <c r="BC64" s="185"/>
      <c r="BD64" s="185">
        <v>119843.44000000002</v>
      </c>
      <c r="BE64" s="185">
        <v>193143.36000000004</v>
      </c>
      <c r="BF64" s="185">
        <v>232594.91000000003</v>
      </c>
      <c r="BG64" s="185"/>
      <c r="BH64" s="185">
        <v>424436.38</v>
      </c>
      <c r="BI64" s="185">
        <v>19933.309999999998</v>
      </c>
      <c r="BJ64" s="185">
        <v>15046.260000000002</v>
      </c>
      <c r="BK64" s="185">
        <v>42500.53</v>
      </c>
      <c r="BL64" s="185">
        <v>51991.72</v>
      </c>
      <c r="BM64" s="185"/>
      <c r="BN64" s="185">
        <v>36456.339999999997</v>
      </c>
      <c r="BO64" s="185">
        <v>30121.15</v>
      </c>
      <c r="BP64" s="185">
        <v>48980.82</v>
      </c>
      <c r="BQ64" s="185"/>
      <c r="BR64" s="185">
        <v>26986.399999999998</v>
      </c>
      <c r="BS64" s="185"/>
      <c r="BT64" s="185"/>
      <c r="BU64" s="185"/>
      <c r="BV64" s="185">
        <v>11335.060000000001</v>
      </c>
      <c r="BW64" s="185">
        <v>33130.79</v>
      </c>
      <c r="BX64" s="185"/>
      <c r="BY64" s="185">
        <v>3637.8</v>
      </c>
      <c r="BZ64" s="185"/>
      <c r="CA64" s="185">
        <v>18644.510000000002</v>
      </c>
      <c r="CB64" s="185"/>
      <c r="CC64" s="185">
        <v>36197.420000000006</v>
      </c>
      <c r="CD64" s="248" t="s">
        <v>221</v>
      </c>
      <c r="CE64" s="195">
        <f t="shared" si="0"/>
        <v>27162202.16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563.98</v>
      </c>
      <c r="V65" s="185">
        <v>172.72</v>
      </c>
      <c r="W65" s="185"/>
      <c r="X65" s="185"/>
      <c r="Y65" s="185">
        <v>-4800</v>
      </c>
      <c r="Z65" s="185">
        <v>360</v>
      </c>
      <c r="AA65" s="185"/>
      <c r="AB65" s="185"/>
      <c r="AC65" s="185"/>
      <c r="AD65" s="185"/>
      <c r="AE65" s="185"/>
      <c r="AF65" s="185"/>
      <c r="AG65" s="185">
        <v>1527.99</v>
      </c>
      <c r="AH65" s="185"/>
      <c r="AI65" s="185"/>
      <c r="AJ65" s="185">
        <v>334.84</v>
      </c>
      <c r="AK65" s="185"/>
      <c r="AL65" s="185"/>
      <c r="AM65" s="185"/>
      <c r="AN65" s="185"/>
      <c r="AO65" s="185"/>
      <c r="AP65" s="185"/>
      <c r="AQ65" s="185"/>
      <c r="AR65" s="185">
        <v>20700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/>
      <c r="BC65" s="185"/>
      <c r="BD65" s="185"/>
      <c r="BE65" s="185">
        <v>1693539.01</v>
      </c>
      <c r="BF65" s="185"/>
      <c r="BG65" s="185"/>
      <c r="BH65" s="185">
        <v>578165.31000000006</v>
      </c>
      <c r="BI65" s="185"/>
      <c r="BJ65" s="185"/>
      <c r="BK65" s="185"/>
      <c r="BL65" s="185"/>
      <c r="BM65" s="185"/>
      <c r="BN65" s="185">
        <v>960</v>
      </c>
      <c r="BO65" s="185"/>
      <c r="BP65" s="185"/>
      <c r="BQ65" s="185"/>
      <c r="BR65" s="185"/>
      <c r="BS65" s="185"/>
      <c r="BT65" s="185"/>
      <c r="BU65" s="185"/>
      <c r="BV65" s="185">
        <v>800</v>
      </c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2293403.85</v>
      </c>
      <c r="CF65" s="251"/>
    </row>
    <row r="66" spans="1:84" ht="12.6" customHeight="1" x14ac:dyDescent="0.25">
      <c r="A66" s="171" t="s">
        <v>239</v>
      </c>
      <c r="B66" s="175"/>
      <c r="C66" s="184">
        <v>358407.48</v>
      </c>
      <c r="D66" s="184"/>
      <c r="E66" s="184">
        <v>284150.60499999998</v>
      </c>
      <c r="F66" s="184"/>
      <c r="G66" s="184"/>
      <c r="H66" s="184"/>
      <c r="I66" s="184"/>
      <c r="J66" s="184">
        <v>50128.764000000003</v>
      </c>
      <c r="K66" s="185"/>
      <c r="L66" s="185"/>
      <c r="M66" s="184"/>
      <c r="N66" s="184"/>
      <c r="O66" s="185">
        <v>30435.321</v>
      </c>
      <c r="P66" s="185">
        <v>575039.14</v>
      </c>
      <c r="Q66" s="185">
        <v>101827.29</v>
      </c>
      <c r="R66" s="185">
        <v>3475</v>
      </c>
      <c r="S66" s="184">
        <v>90039.38</v>
      </c>
      <c r="T66" s="184"/>
      <c r="U66" s="185">
        <v>2169050.6399999997</v>
      </c>
      <c r="V66" s="185">
        <v>120626.73999999999</v>
      </c>
      <c r="W66" s="185">
        <v>3001.47</v>
      </c>
      <c r="X66" s="185">
        <v>5260.63</v>
      </c>
      <c r="Y66" s="185">
        <v>541973.5</v>
      </c>
      <c r="Z66" s="185">
        <v>494077.92</v>
      </c>
      <c r="AA66" s="185"/>
      <c r="AB66" s="185">
        <v>53047.16</v>
      </c>
      <c r="AC66" s="185">
        <v>9072</v>
      </c>
      <c r="AD66" s="185"/>
      <c r="AE66" s="185">
        <v>138110.28</v>
      </c>
      <c r="AF66" s="185"/>
      <c r="AG66" s="185">
        <v>373055.89</v>
      </c>
      <c r="AH66" s="185">
        <v>-1541.97</v>
      </c>
      <c r="AI66" s="185">
        <v>19350.580000000002</v>
      </c>
      <c r="AJ66" s="185">
        <v>150708.10999999999</v>
      </c>
      <c r="AK66" s="185"/>
      <c r="AL66" s="185"/>
      <c r="AM66" s="185"/>
      <c r="AN66" s="185"/>
      <c r="AO66" s="185"/>
      <c r="AP66" s="185">
        <v>35365.120000000003</v>
      </c>
      <c r="AQ66" s="185"/>
      <c r="AR66" s="185">
        <v>286352.44999999995</v>
      </c>
      <c r="AS66" s="185"/>
      <c r="AT66" s="185"/>
      <c r="AU66" s="185"/>
      <c r="AV66" s="185">
        <v>69.09</v>
      </c>
      <c r="AW66" s="185"/>
      <c r="AX66" s="185"/>
      <c r="AY66" s="185">
        <v>1852.77</v>
      </c>
      <c r="AZ66" s="185">
        <v>-2441.8200000000002</v>
      </c>
      <c r="BA66" s="185"/>
      <c r="BB66" s="185">
        <v>196708.73</v>
      </c>
      <c r="BC66" s="185"/>
      <c r="BD66" s="185">
        <v>30463.79</v>
      </c>
      <c r="BE66" s="185">
        <v>310793.01</v>
      </c>
      <c r="BF66" s="185">
        <v>4766.3599999999997</v>
      </c>
      <c r="BG66" s="185"/>
      <c r="BH66" s="185">
        <v>13745.5</v>
      </c>
      <c r="BI66" s="185">
        <v>118000.33</v>
      </c>
      <c r="BJ66" s="185">
        <v>4750</v>
      </c>
      <c r="BK66" s="185">
        <v>343102.9</v>
      </c>
      <c r="BL66" s="185">
        <v>35885.870000000003</v>
      </c>
      <c r="BM66" s="185"/>
      <c r="BN66" s="185">
        <v>127436.1</v>
      </c>
      <c r="BO66" s="185"/>
      <c r="BP66" s="185">
        <v>4689.18</v>
      </c>
      <c r="BQ66" s="185"/>
      <c r="BR66" s="185">
        <v>121740.74</v>
      </c>
      <c r="BS66" s="185"/>
      <c r="BT66" s="185"/>
      <c r="BU66" s="185"/>
      <c r="BV66" s="185">
        <v>38130.660000000003</v>
      </c>
      <c r="BW66" s="185"/>
      <c r="BX66" s="185"/>
      <c r="BY66" s="185">
        <v>48645.79</v>
      </c>
      <c r="BZ66" s="185"/>
      <c r="CA66" s="185">
        <v>39533.17</v>
      </c>
      <c r="CB66" s="185"/>
      <c r="CC66" s="185">
        <v>141200.32000000001</v>
      </c>
      <c r="CD66" s="248" t="s">
        <v>221</v>
      </c>
      <c r="CE66" s="195">
        <f t="shared" si="0"/>
        <v>7470085.9900000002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199144</v>
      </c>
      <c r="D67" s="195">
        <f>ROUND(D51+D52,0)</f>
        <v>0</v>
      </c>
      <c r="E67" s="195">
        <f t="shared" ref="E67:BP67" si="3">ROUND(E51+E52,0)</f>
        <v>880880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26133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68723</v>
      </c>
      <c r="P67" s="195">
        <f t="shared" si="3"/>
        <v>319969</v>
      </c>
      <c r="Q67" s="195">
        <f t="shared" si="3"/>
        <v>38763</v>
      </c>
      <c r="R67" s="195">
        <f t="shared" si="3"/>
        <v>15636</v>
      </c>
      <c r="S67" s="195">
        <f t="shared" si="3"/>
        <v>84687</v>
      </c>
      <c r="T67" s="195">
        <f t="shared" si="3"/>
        <v>0</v>
      </c>
      <c r="U67" s="195">
        <f t="shared" si="3"/>
        <v>278637</v>
      </c>
      <c r="V67" s="195">
        <f t="shared" si="3"/>
        <v>297691</v>
      </c>
      <c r="W67" s="195">
        <f t="shared" si="3"/>
        <v>0</v>
      </c>
      <c r="X67" s="195">
        <f t="shared" si="3"/>
        <v>26653</v>
      </c>
      <c r="Y67" s="195">
        <f t="shared" si="3"/>
        <v>783754</v>
      </c>
      <c r="Z67" s="195">
        <f t="shared" si="3"/>
        <v>284296</v>
      </c>
      <c r="AA67" s="195">
        <f t="shared" si="3"/>
        <v>30124</v>
      </c>
      <c r="AB67" s="195">
        <f t="shared" si="3"/>
        <v>63310</v>
      </c>
      <c r="AC67" s="195">
        <f t="shared" si="3"/>
        <v>65525</v>
      </c>
      <c r="AD67" s="195">
        <f t="shared" si="3"/>
        <v>0</v>
      </c>
      <c r="AE67" s="195">
        <f t="shared" si="3"/>
        <v>147096</v>
      </c>
      <c r="AF67" s="195">
        <f t="shared" si="3"/>
        <v>0</v>
      </c>
      <c r="AG67" s="195">
        <f t="shared" si="3"/>
        <v>189576</v>
      </c>
      <c r="AH67" s="195">
        <f t="shared" si="3"/>
        <v>0</v>
      </c>
      <c r="AI67" s="195">
        <f t="shared" si="3"/>
        <v>346403</v>
      </c>
      <c r="AJ67" s="195">
        <f t="shared" si="3"/>
        <v>1649490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227191</v>
      </c>
      <c r="AQ67" s="195">
        <f t="shared" si="3"/>
        <v>0</v>
      </c>
      <c r="AR67" s="195">
        <f t="shared" si="3"/>
        <v>159233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4374</v>
      </c>
      <c r="AY67" s="195">
        <f t="shared" si="3"/>
        <v>76623</v>
      </c>
      <c r="AZ67" s="195">
        <f>ROUND(AZ51+AZ52,0)</f>
        <v>117108</v>
      </c>
      <c r="BA67" s="195">
        <f>ROUND(BA51+BA52,0)</f>
        <v>111149</v>
      </c>
      <c r="BB67" s="195">
        <f t="shared" si="3"/>
        <v>9732</v>
      </c>
      <c r="BC67" s="195">
        <f t="shared" si="3"/>
        <v>0</v>
      </c>
      <c r="BD67" s="195">
        <f t="shared" si="3"/>
        <v>157429</v>
      </c>
      <c r="BE67" s="195">
        <f t="shared" si="3"/>
        <v>2090640</v>
      </c>
      <c r="BF67" s="195">
        <f t="shared" si="3"/>
        <v>9704</v>
      </c>
      <c r="BG67" s="195">
        <f t="shared" si="3"/>
        <v>0</v>
      </c>
      <c r="BH67" s="195">
        <f t="shared" si="3"/>
        <v>56449</v>
      </c>
      <c r="BI67" s="195">
        <f t="shared" si="3"/>
        <v>7654</v>
      </c>
      <c r="BJ67" s="195">
        <f t="shared" si="3"/>
        <v>31081</v>
      </c>
      <c r="BK67" s="195">
        <f t="shared" si="3"/>
        <v>136681</v>
      </c>
      <c r="BL67" s="195">
        <f t="shared" si="3"/>
        <v>342194</v>
      </c>
      <c r="BM67" s="195">
        <f t="shared" si="3"/>
        <v>0</v>
      </c>
      <c r="BN67" s="195">
        <f t="shared" si="3"/>
        <v>830472</v>
      </c>
      <c r="BO67" s="195">
        <f t="shared" si="3"/>
        <v>136216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33350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3882</v>
      </c>
      <c r="BX67" s="195">
        <f t="shared" si="4"/>
        <v>0</v>
      </c>
      <c r="BY67" s="195">
        <f t="shared" si="4"/>
        <v>35182</v>
      </c>
      <c r="BZ67" s="195">
        <f t="shared" si="4"/>
        <v>0</v>
      </c>
      <c r="CA67" s="195">
        <f t="shared" si="4"/>
        <v>20010</v>
      </c>
      <c r="CB67" s="195">
        <f t="shared" si="4"/>
        <v>0</v>
      </c>
      <c r="CC67" s="195">
        <f t="shared" si="4"/>
        <v>262755</v>
      </c>
      <c r="CD67" s="248" t="s">
        <v>221</v>
      </c>
      <c r="CE67" s="195">
        <f t="shared" si="0"/>
        <v>10655599</v>
      </c>
      <c r="CF67" s="251"/>
    </row>
    <row r="68" spans="1:84" ht="12.6" customHeight="1" x14ac:dyDescent="0.25">
      <c r="A68" s="171" t="s">
        <v>240</v>
      </c>
      <c r="B68" s="175"/>
      <c r="C68" s="184">
        <v>967.17</v>
      </c>
      <c r="D68" s="184"/>
      <c r="E68" s="184">
        <v>24108.240000000002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938.53</v>
      </c>
      <c r="Q68" s="185"/>
      <c r="R68" s="185"/>
      <c r="S68" s="185">
        <v>140.27000000000001</v>
      </c>
      <c r="T68" s="185"/>
      <c r="U68" s="185">
        <v>64565.090000000004</v>
      </c>
      <c r="V68" s="185">
        <v>111484.39</v>
      </c>
      <c r="W68" s="185"/>
      <c r="X68" s="185"/>
      <c r="Y68" s="185">
        <v>203643.3</v>
      </c>
      <c r="Z68" s="185">
        <v>140.27000000000001</v>
      </c>
      <c r="AA68" s="185"/>
      <c r="AB68" s="185">
        <v>140.27000000000001</v>
      </c>
      <c r="AC68" s="185">
        <v>18665.310000000001</v>
      </c>
      <c r="AD68" s="185"/>
      <c r="AE68" s="185">
        <v>10916.35</v>
      </c>
      <c r="AF68" s="185"/>
      <c r="AG68" s="185">
        <v>140.27000000000001</v>
      </c>
      <c r="AH68" s="185"/>
      <c r="AI68" s="185"/>
      <c r="AJ68" s="185">
        <v>1151058.74</v>
      </c>
      <c r="AK68" s="185"/>
      <c r="AL68" s="185"/>
      <c r="AM68" s="185"/>
      <c r="AN68" s="185"/>
      <c r="AO68" s="185"/>
      <c r="AP68" s="185">
        <v>99412.7</v>
      </c>
      <c r="AQ68" s="185"/>
      <c r="AR68" s="185">
        <v>90118.69</v>
      </c>
      <c r="AS68" s="185"/>
      <c r="AT68" s="185"/>
      <c r="AU68" s="185"/>
      <c r="AV68" s="185">
        <v>40183.43</v>
      </c>
      <c r="AW68" s="185"/>
      <c r="AX68" s="185">
        <v>140.27000000000001</v>
      </c>
      <c r="AY68" s="185"/>
      <c r="AZ68" s="185">
        <v>6734</v>
      </c>
      <c r="BA68" s="185"/>
      <c r="BB68" s="185"/>
      <c r="BC68" s="185"/>
      <c r="BD68" s="185">
        <v>2016.24</v>
      </c>
      <c r="BE68" s="185">
        <v>142.43</v>
      </c>
      <c r="BF68" s="185">
        <v>140.27000000000001</v>
      </c>
      <c r="BG68" s="185"/>
      <c r="BH68" s="185">
        <v>420.68</v>
      </c>
      <c r="BI68" s="185"/>
      <c r="BJ68" s="185"/>
      <c r="BK68" s="185">
        <v>60532.74</v>
      </c>
      <c r="BL68" s="185">
        <v>98540.27</v>
      </c>
      <c r="BM68" s="185"/>
      <c r="BN68" s="185">
        <v>157679.26999999999</v>
      </c>
      <c r="BO68" s="185"/>
      <c r="BP68" s="185"/>
      <c r="BQ68" s="185"/>
      <c r="BR68" s="185"/>
      <c r="BS68" s="185"/>
      <c r="BT68" s="185"/>
      <c r="BU68" s="185"/>
      <c r="BV68" s="185">
        <v>140.27000000000001</v>
      </c>
      <c r="BW68" s="185"/>
      <c r="BX68" s="185"/>
      <c r="BY68" s="185"/>
      <c r="BZ68" s="185"/>
      <c r="CA68" s="185">
        <v>140.27000000000001</v>
      </c>
      <c r="CB68" s="185"/>
      <c r="CC68" s="185">
        <v>-1812679.0899999999</v>
      </c>
      <c r="CD68" s="248" t="s">
        <v>221</v>
      </c>
      <c r="CE68" s="195">
        <f t="shared" si="0"/>
        <v>330570.63999999966</v>
      </c>
      <c r="CF68" s="251"/>
    </row>
    <row r="69" spans="1:84" ht="12.6" customHeight="1" x14ac:dyDescent="0.25">
      <c r="A69" s="171" t="s">
        <v>241</v>
      </c>
      <c r="B69" s="175"/>
      <c r="C69" s="184">
        <v>10768.480000000001</v>
      </c>
      <c r="D69" s="184"/>
      <c r="E69" s="185">
        <v>29340.532000000003</v>
      </c>
      <c r="F69" s="185"/>
      <c r="G69" s="184"/>
      <c r="H69" s="184"/>
      <c r="I69" s="185"/>
      <c r="J69" s="185">
        <v>7685.9552000000022</v>
      </c>
      <c r="K69" s="185"/>
      <c r="L69" s="185"/>
      <c r="M69" s="184"/>
      <c r="N69" s="184"/>
      <c r="O69" s="184">
        <v>4666.4728000000014</v>
      </c>
      <c r="P69" s="185">
        <v>300096.16000000003</v>
      </c>
      <c r="Q69" s="185">
        <v>1350</v>
      </c>
      <c r="R69" s="224">
        <v>2783.1</v>
      </c>
      <c r="S69" s="185">
        <v>49857.979999999996</v>
      </c>
      <c r="T69" s="184">
        <v>235</v>
      </c>
      <c r="U69" s="185">
        <v>203148.47000000003</v>
      </c>
      <c r="V69" s="185">
        <v>188512.07</v>
      </c>
      <c r="W69" s="184">
        <v>273494.06</v>
      </c>
      <c r="X69" s="185">
        <v>365464.30999999994</v>
      </c>
      <c r="Y69" s="185">
        <v>744648.63</v>
      </c>
      <c r="Z69" s="185">
        <v>783169.16</v>
      </c>
      <c r="AA69" s="185">
        <v>58942.46</v>
      </c>
      <c r="AB69" s="185">
        <v>155904.09000000003</v>
      </c>
      <c r="AC69" s="185">
        <v>33738.28</v>
      </c>
      <c r="AD69" s="185"/>
      <c r="AE69" s="185">
        <v>25263.65</v>
      </c>
      <c r="AF69" s="185"/>
      <c r="AG69" s="185">
        <v>31230.769999999997</v>
      </c>
      <c r="AH69" s="185"/>
      <c r="AI69" s="185">
        <v>12590.220000000001</v>
      </c>
      <c r="AJ69" s="185">
        <v>1822809.6699999997</v>
      </c>
      <c r="AK69" s="185"/>
      <c r="AL69" s="185"/>
      <c r="AM69" s="185"/>
      <c r="AN69" s="185"/>
      <c r="AO69" s="184"/>
      <c r="AP69" s="185">
        <v>51311.640000000007</v>
      </c>
      <c r="AQ69" s="184"/>
      <c r="AR69" s="184">
        <v>242285.19000000003</v>
      </c>
      <c r="AS69" s="184"/>
      <c r="AT69" s="184"/>
      <c r="AU69" s="185"/>
      <c r="AV69" s="185">
        <v>87704.439999999988</v>
      </c>
      <c r="AW69" s="185"/>
      <c r="AX69" s="185">
        <v>97.02</v>
      </c>
      <c r="AY69" s="185">
        <v>42110.52</v>
      </c>
      <c r="AZ69" s="185">
        <v>1910.18</v>
      </c>
      <c r="BA69" s="185">
        <v>646.68000000000006</v>
      </c>
      <c r="BB69" s="185">
        <v>9969.11</v>
      </c>
      <c r="BC69" s="185"/>
      <c r="BD69" s="185">
        <v>348312.82</v>
      </c>
      <c r="BE69" s="185">
        <v>271998.39</v>
      </c>
      <c r="BF69" s="185">
        <v>2730.92</v>
      </c>
      <c r="BG69" s="185"/>
      <c r="BH69" s="224">
        <v>2564259.0599999996</v>
      </c>
      <c r="BI69" s="185">
        <v>7203.7500000000009</v>
      </c>
      <c r="BJ69" s="185">
        <v>122366.01</v>
      </c>
      <c r="BK69" s="185">
        <v>254838.15</v>
      </c>
      <c r="BL69" s="185">
        <v>39883.869999999995</v>
      </c>
      <c r="BM69" s="185"/>
      <c r="BN69" s="185">
        <v>305961.64999999997</v>
      </c>
      <c r="BO69" s="185">
        <v>125780.29</v>
      </c>
      <c r="BP69" s="185">
        <v>313964.72000000003</v>
      </c>
      <c r="BQ69" s="185"/>
      <c r="BR69" s="185">
        <v>955940.51999999979</v>
      </c>
      <c r="BS69" s="185"/>
      <c r="BT69" s="185"/>
      <c r="BU69" s="185"/>
      <c r="BV69" s="185">
        <v>96831.59</v>
      </c>
      <c r="BW69" s="185">
        <v>20235.490000000002</v>
      </c>
      <c r="BX69" s="185"/>
      <c r="BY69" s="185">
        <v>11462.3</v>
      </c>
      <c r="BZ69" s="185"/>
      <c r="CA69" s="185">
        <v>19202.850000000002</v>
      </c>
      <c r="CB69" s="185"/>
      <c r="CC69" s="185">
        <v>-837376.11999999988</v>
      </c>
      <c r="CD69" s="188"/>
      <c r="CE69" s="195">
        <f t="shared" si="0"/>
        <v>10165330.559999999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625.87</v>
      </c>
      <c r="T70" s="184"/>
      <c r="U70" s="185"/>
      <c r="V70" s="184"/>
      <c r="W70" s="184"/>
      <c r="X70" s="185"/>
      <c r="Y70" s="185">
        <v>5647.79</v>
      </c>
      <c r="Z70" s="185"/>
      <c r="AA70" s="185"/>
      <c r="AB70" s="185">
        <v>147.37</v>
      </c>
      <c r="AC70" s="185"/>
      <c r="AD70" s="185"/>
      <c r="AE70" s="185">
        <v>3059</v>
      </c>
      <c r="AF70" s="185"/>
      <c r="AG70" s="185">
        <v>11507.1</v>
      </c>
      <c r="AH70" s="185"/>
      <c r="AI70" s="185"/>
      <c r="AJ70" s="185">
        <v>29731.87</v>
      </c>
      <c r="AK70" s="185"/>
      <c r="AL70" s="185"/>
      <c r="AM70" s="185"/>
      <c r="AN70" s="185"/>
      <c r="AO70" s="185"/>
      <c r="AP70" s="185">
        <v>4252.25</v>
      </c>
      <c r="AQ70" s="185"/>
      <c r="AR70" s="185">
        <v>209012.9</v>
      </c>
      <c r="AS70" s="185"/>
      <c r="AT70" s="185"/>
      <c r="AU70" s="185"/>
      <c r="AV70" s="185">
        <v>1401.21</v>
      </c>
      <c r="AW70" s="185"/>
      <c r="AX70" s="185"/>
      <c r="AY70" s="185"/>
      <c r="AZ70" s="185">
        <v>1038833.27</v>
      </c>
      <c r="BA70" s="185"/>
      <c r="BB70" s="185">
        <v>-15850.04</v>
      </c>
      <c r="BC70" s="185"/>
      <c r="BD70" s="185"/>
      <c r="BE70" s="185">
        <v>30.38</v>
      </c>
      <c r="BF70" s="185"/>
      <c r="BG70" s="185"/>
      <c r="BH70" s="185"/>
      <c r="BI70" s="185"/>
      <c r="BJ70" s="185">
        <v>6984.82</v>
      </c>
      <c r="BK70" s="185"/>
      <c r="BL70" s="185"/>
      <c r="BM70" s="185"/>
      <c r="BN70" s="185">
        <v>155621.4</v>
      </c>
      <c r="BO70" s="185"/>
      <c r="BP70" s="185"/>
      <c r="BQ70" s="185"/>
      <c r="BR70" s="185"/>
      <c r="BS70" s="185"/>
      <c r="BT70" s="185"/>
      <c r="BU70" s="185"/>
      <c r="BV70" s="185">
        <v>11474.59</v>
      </c>
      <c r="BW70" s="185"/>
      <c r="BX70" s="185"/>
      <c r="BY70" s="185"/>
      <c r="BZ70" s="185"/>
      <c r="CA70" s="185">
        <v>9455</v>
      </c>
      <c r="CB70" s="185"/>
      <c r="CC70" s="185">
        <v>5506501.1100000003</v>
      </c>
      <c r="CD70" s="188"/>
      <c r="CE70" s="195">
        <f t="shared" si="0"/>
        <v>6978435.8900000006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5835826.1699999999</v>
      </c>
      <c r="D71" s="195">
        <f t="shared" ref="D71:AI71" si="5">SUM(D61:D69)-D70</f>
        <v>0</v>
      </c>
      <c r="E71" s="195">
        <f t="shared" si="5"/>
        <v>10061722.0165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795643.75919999997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535925.92379999987</v>
      </c>
      <c r="P71" s="195">
        <f t="shared" si="5"/>
        <v>9636511.7799999993</v>
      </c>
      <c r="Q71" s="195">
        <f t="shared" si="5"/>
        <v>739710.21000000008</v>
      </c>
      <c r="R71" s="195">
        <f t="shared" si="5"/>
        <v>812618.06</v>
      </c>
      <c r="S71" s="195">
        <f t="shared" si="5"/>
        <v>1229469.19</v>
      </c>
      <c r="T71" s="195">
        <f t="shared" si="5"/>
        <v>217748.34</v>
      </c>
      <c r="U71" s="195">
        <f t="shared" si="5"/>
        <v>9438820.3800000008</v>
      </c>
      <c r="V71" s="195">
        <f t="shared" si="5"/>
        <v>3931721.1800000006</v>
      </c>
      <c r="W71" s="195">
        <f t="shared" si="5"/>
        <v>953082.71</v>
      </c>
      <c r="X71" s="195">
        <f t="shared" si="5"/>
        <v>1282584.17</v>
      </c>
      <c r="Y71" s="195">
        <f t="shared" si="5"/>
        <v>7695947.6799999997</v>
      </c>
      <c r="Z71" s="195">
        <f t="shared" si="5"/>
        <v>4322917.6099999994</v>
      </c>
      <c r="AA71" s="195">
        <f t="shared" si="5"/>
        <v>593585.40999999992</v>
      </c>
      <c r="AB71" s="195">
        <f t="shared" si="5"/>
        <v>14801232.790000001</v>
      </c>
      <c r="AC71" s="195">
        <f t="shared" si="5"/>
        <v>1346938.83</v>
      </c>
      <c r="AD71" s="195">
        <f t="shared" si="5"/>
        <v>0</v>
      </c>
      <c r="AE71" s="195">
        <f t="shared" si="5"/>
        <v>3805193.1799999992</v>
      </c>
      <c r="AF71" s="195">
        <f t="shared" si="5"/>
        <v>0</v>
      </c>
      <c r="AG71" s="195">
        <f t="shared" si="5"/>
        <v>11060590.370000001</v>
      </c>
      <c r="AH71" s="195">
        <f t="shared" si="5"/>
        <v>-1538.8600000000001</v>
      </c>
      <c r="AI71" s="195">
        <f t="shared" si="5"/>
        <v>2965069.5100000002</v>
      </c>
      <c r="AJ71" s="195">
        <f t="shared" ref="AJ71:BO71" si="6">SUM(AJ61:AJ69)-AJ70</f>
        <v>39098945.88000001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1693336.1600000001</v>
      </c>
      <c r="AQ71" s="195">
        <f t="shared" si="6"/>
        <v>0</v>
      </c>
      <c r="AR71" s="195">
        <f t="shared" si="6"/>
        <v>6844123.0200000005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4230308.88</v>
      </c>
      <c r="AW71" s="195">
        <f t="shared" si="6"/>
        <v>0</v>
      </c>
      <c r="AX71" s="195">
        <f t="shared" si="6"/>
        <v>104668.49000000002</v>
      </c>
      <c r="AY71" s="195">
        <f t="shared" si="6"/>
        <v>2541958.31</v>
      </c>
      <c r="AZ71" s="195">
        <f t="shared" si="6"/>
        <v>-634017.81000000006</v>
      </c>
      <c r="BA71" s="195">
        <f t="shared" si="6"/>
        <v>616268.31999999995</v>
      </c>
      <c r="BB71" s="195">
        <f t="shared" si="6"/>
        <v>1698750.0200000003</v>
      </c>
      <c r="BC71" s="195">
        <f t="shared" si="6"/>
        <v>0</v>
      </c>
      <c r="BD71" s="195">
        <f t="shared" si="6"/>
        <v>1390730.1700000002</v>
      </c>
      <c r="BE71" s="195">
        <f t="shared" si="6"/>
        <v>5827143.1699999999</v>
      </c>
      <c r="BF71" s="195">
        <f t="shared" si="6"/>
        <v>1895778.36</v>
      </c>
      <c r="BG71" s="195">
        <f t="shared" si="6"/>
        <v>0</v>
      </c>
      <c r="BH71" s="195">
        <f t="shared" si="6"/>
        <v>6362180.0099999998</v>
      </c>
      <c r="BI71" s="195">
        <f t="shared" si="6"/>
        <v>1061985.1000000001</v>
      </c>
      <c r="BJ71" s="195">
        <f t="shared" si="6"/>
        <v>1510526.0499999998</v>
      </c>
      <c r="BK71" s="195">
        <f t="shared" si="6"/>
        <v>2637329.16</v>
      </c>
      <c r="BL71" s="195">
        <f t="shared" si="6"/>
        <v>3675397.0300000003</v>
      </c>
      <c r="BM71" s="195">
        <f t="shared" si="6"/>
        <v>0</v>
      </c>
      <c r="BN71" s="195">
        <f t="shared" si="6"/>
        <v>2281796.7199999997</v>
      </c>
      <c r="BO71" s="195">
        <f t="shared" si="6"/>
        <v>410746.67</v>
      </c>
      <c r="BP71" s="195">
        <f t="shared" ref="BP71:CC71" si="7">SUM(BP61:BP69)-BP70</f>
        <v>638137.29</v>
      </c>
      <c r="BQ71" s="195">
        <f t="shared" si="7"/>
        <v>0</v>
      </c>
      <c r="BR71" s="195">
        <f t="shared" si="7"/>
        <v>2332700.67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1153684.45</v>
      </c>
      <c r="BW71" s="195">
        <f t="shared" si="7"/>
        <v>378265.87999999995</v>
      </c>
      <c r="BX71" s="195">
        <f t="shared" si="7"/>
        <v>0</v>
      </c>
      <c r="BY71" s="195">
        <f t="shared" si="7"/>
        <v>1103296.4400000002</v>
      </c>
      <c r="BZ71" s="195">
        <f t="shared" si="7"/>
        <v>0</v>
      </c>
      <c r="CA71" s="195">
        <f t="shared" si="7"/>
        <v>441243.21</v>
      </c>
      <c r="CB71" s="195">
        <f t="shared" si="7"/>
        <v>0</v>
      </c>
      <c r="CC71" s="195">
        <f t="shared" si="7"/>
        <v>-5918703.04</v>
      </c>
      <c r="CD71" s="244">
        <f>CD69-CD70</f>
        <v>0</v>
      </c>
      <c r="CE71" s="195">
        <f>SUM(CE61:CE69)-CE70</f>
        <v>175437899.01949996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4570479.9400000004</v>
      </c>
      <c r="CF72" s="251"/>
    </row>
    <row r="73" spans="1:84" ht="12.6" customHeight="1" x14ac:dyDescent="0.25">
      <c r="A73" s="171" t="s">
        <v>245</v>
      </c>
      <c r="B73" s="175"/>
      <c r="C73" s="184">
        <v>12404401.1</v>
      </c>
      <c r="D73" s="184"/>
      <c r="E73" s="185">
        <v>20026970.690000001</v>
      </c>
      <c r="F73" s="185"/>
      <c r="G73" s="184"/>
      <c r="H73" s="184"/>
      <c r="I73" s="185"/>
      <c r="J73" s="185">
        <v>1626518.24</v>
      </c>
      <c r="K73" s="185"/>
      <c r="L73" s="185"/>
      <c r="M73" s="184"/>
      <c r="N73" s="184"/>
      <c r="O73" s="184">
        <v>987528.93</v>
      </c>
      <c r="P73" s="185">
        <v>12626688.1</v>
      </c>
      <c r="Q73" s="185">
        <v>704416.65</v>
      </c>
      <c r="R73" s="185">
        <v>1021838.95</v>
      </c>
      <c r="S73" s="185"/>
      <c r="T73" s="185">
        <v>609614.15</v>
      </c>
      <c r="U73" s="185">
        <v>6809079.4699999997</v>
      </c>
      <c r="V73" s="185">
        <v>1383307.16</v>
      </c>
      <c r="W73" s="185">
        <v>1075686.08</v>
      </c>
      <c r="X73" s="185">
        <v>4971986.12</v>
      </c>
      <c r="Y73" s="185">
        <v>2366627.66</v>
      </c>
      <c r="Z73" s="185">
        <v>109401.85</v>
      </c>
      <c r="AA73" s="185">
        <v>150271.31</v>
      </c>
      <c r="AB73" s="185">
        <v>10972776.92</v>
      </c>
      <c r="AC73" s="185">
        <v>2525868.7599999998</v>
      </c>
      <c r="AD73" s="185"/>
      <c r="AE73" s="185">
        <v>1123775.54</v>
      </c>
      <c r="AF73" s="185"/>
      <c r="AG73" s="185">
        <v>4574419.5999999996</v>
      </c>
      <c r="AH73" s="185"/>
      <c r="AI73" s="185">
        <v>31448.2</v>
      </c>
      <c r="AJ73" s="185">
        <v>76184.98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3480886.25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89659696.710000008</v>
      </c>
      <c r="CF73" s="251"/>
    </row>
    <row r="74" spans="1:84" ht="12.6" customHeight="1" x14ac:dyDescent="0.25">
      <c r="A74" s="171" t="s">
        <v>246</v>
      </c>
      <c r="B74" s="175"/>
      <c r="C74" s="184">
        <v>207860.25</v>
      </c>
      <c r="D74" s="184"/>
      <c r="E74" s="185">
        <v>2155971</v>
      </c>
      <c r="F74" s="185"/>
      <c r="G74" s="184"/>
      <c r="H74" s="184"/>
      <c r="I74" s="184"/>
      <c r="J74" s="185">
        <v>188887.19</v>
      </c>
      <c r="K74" s="185"/>
      <c r="L74" s="185"/>
      <c r="M74" s="184"/>
      <c r="N74" s="184"/>
      <c r="O74" s="184">
        <v>114681.51</v>
      </c>
      <c r="P74" s="185">
        <v>18683478.030000001</v>
      </c>
      <c r="Q74" s="185">
        <v>1041957.95</v>
      </c>
      <c r="R74" s="185">
        <v>2716384.65</v>
      </c>
      <c r="S74" s="185"/>
      <c r="T74" s="185">
        <v>110858.25</v>
      </c>
      <c r="U74" s="185">
        <v>24288512.699999999</v>
      </c>
      <c r="V74" s="185">
        <v>14280548.720000001</v>
      </c>
      <c r="W74" s="185">
        <v>14086188.82</v>
      </c>
      <c r="X74" s="185">
        <v>22565528.43</v>
      </c>
      <c r="Y74" s="185">
        <v>24269158.239999998</v>
      </c>
      <c r="Z74" s="185">
        <v>13185542.25</v>
      </c>
      <c r="AA74" s="185">
        <v>824346.32</v>
      </c>
      <c r="AB74" s="185">
        <v>35189896.82</v>
      </c>
      <c r="AC74" s="185">
        <v>875552.02</v>
      </c>
      <c r="AD74" s="185"/>
      <c r="AE74" s="185">
        <v>5908177.5800000001</v>
      </c>
      <c r="AF74" s="185"/>
      <c r="AG74" s="185">
        <v>23548269.68</v>
      </c>
      <c r="AH74" s="185"/>
      <c r="AI74" s="185">
        <v>3688749.52</v>
      </c>
      <c r="AJ74" s="185">
        <v>55461537.310000002</v>
      </c>
      <c r="AK74" s="185"/>
      <c r="AL74" s="185"/>
      <c r="AM74" s="185"/>
      <c r="AN74" s="185"/>
      <c r="AO74" s="185"/>
      <c r="AP74" s="185">
        <v>2851842.28</v>
      </c>
      <c r="AQ74" s="185"/>
      <c r="AR74" s="185">
        <v>7881559.9900000002</v>
      </c>
      <c r="AS74" s="185"/>
      <c r="AT74" s="185"/>
      <c r="AU74" s="185"/>
      <c r="AV74" s="185">
        <v>394638.95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274520128.46000004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12612261.35</v>
      </c>
      <c r="D75" s="195">
        <f t="shared" si="9"/>
        <v>0</v>
      </c>
      <c r="E75" s="195">
        <f t="shared" si="9"/>
        <v>22182941.690000001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1815405.43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1102210.44</v>
      </c>
      <c r="P75" s="195">
        <f t="shared" si="9"/>
        <v>31310166.130000003</v>
      </c>
      <c r="Q75" s="195">
        <f t="shared" si="9"/>
        <v>1746374.6</v>
      </c>
      <c r="R75" s="195">
        <f t="shared" si="9"/>
        <v>3738223.5999999996</v>
      </c>
      <c r="S75" s="195">
        <f t="shared" si="9"/>
        <v>0</v>
      </c>
      <c r="T75" s="195">
        <f t="shared" si="9"/>
        <v>720472.4</v>
      </c>
      <c r="U75" s="195">
        <f t="shared" si="9"/>
        <v>31097592.169999998</v>
      </c>
      <c r="V75" s="195">
        <f t="shared" si="9"/>
        <v>15663855.880000001</v>
      </c>
      <c r="W75" s="195">
        <f t="shared" si="9"/>
        <v>15161874.9</v>
      </c>
      <c r="X75" s="195">
        <f t="shared" si="9"/>
        <v>27537514.550000001</v>
      </c>
      <c r="Y75" s="195">
        <f t="shared" si="9"/>
        <v>26635785.899999999</v>
      </c>
      <c r="Z75" s="195">
        <f t="shared" si="9"/>
        <v>13294944.1</v>
      </c>
      <c r="AA75" s="195">
        <f t="shared" si="9"/>
        <v>974617.62999999989</v>
      </c>
      <c r="AB75" s="195">
        <f t="shared" si="9"/>
        <v>46162673.740000002</v>
      </c>
      <c r="AC75" s="195">
        <f t="shared" si="9"/>
        <v>3401420.78</v>
      </c>
      <c r="AD75" s="195">
        <f t="shared" si="9"/>
        <v>0</v>
      </c>
      <c r="AE75" s="195">
        <f t="shared" si="9"/>
        <v>7031953.1200000001</v>
      </c>
      <c r="AF75" s="195">
        <f t="shared" si="9"/>
        <v>0</v>
      </c>
      <c r="AG75" s="195">
        <f t="shared" si="9"/>
        <v>28122689.280000001</v>
      </c>
      <c r="AH75" s="195">
        <f t="shared" si="9"/>
        <v>0</v>
      </c>
      <c r="AI75" s="195">
        <f t="shared" si="9"/>
        <v>3720197.72</v>
      </c>
      <c r="AJ75" s="195">
        <f t="shared" si="9"/>
        <v>55537722.289999999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2851842.28</v>
      </c>
      <c r="AQ75" s="195">
        <f t="shared" si="9"/>
        <v>0</v>
      </c>
      <c r="AR75" s="195">
        <f t="shared" si="9"/>
        <v>7881559.9900000002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3875525.2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364179825.17000002</v>
      </c>
      <c r="CF75" s="251"/>
    </row>
    <row r="76" spans="1:84" ht="12.6" customHeight="1" x14ac:dyDescent="0.25">
      <c r="A76" s="171" t="s">
        <v>248</v>
      </c>
      <c r="B76" s="175"/>
      <c r="C76" s="184">
        <f>7285</f>
        <v>7285</v>
      </c>
      <c r="D76" s="184"/>
      <c r="E76" s="185">
        <f>32224</f>
        <v>32224</v>
      </c>
      <c r="F76" s="185"/>
      <c r="G76" s="184"/>
      <c r="H76" s="184"/>
      <c r="I76" s="185"/>
      <c r="J76" s="185">
        <f>956</f>
        <v>956</v>
      </c>
      <c r="K76" s="185"/>
      <c r="L76" s="185"/>
      <c r="M76" s="185"/>
      <c r="N76" s="185"/>
      <c r="O76" s="185">
        <f>2514</f>
        <v>2514</v>
      </c>
      <c r="P76" s="185">
        <f>11705</f>
        <v>11705</v>
      </c>
      <c r="Q76" s="185">
        <f>1418</f>
        <v>1418</v>
      </c>
      <c r="R76" s="185">
        <f>572</f>
        <v>572</v>
      </c>
      <c r="S76" s="185">
        <f>3098</f>
        <v>3098</v>
      </c>
      <c r="T76" s="185"/>
      <c r="U76" s="185">
        <f>10193</f>
        <v>10193</v>
      </c>
      <c r="V76" s="185">
        <f>10890</f>
        <v>10890</v>
      </c>
      <c r="W76" s="185"/>
      <c r="X76" s="185">
        <v>975</v>
      </c>
      <c r="Y76" s="185">
        <f>28671</f>
        <v>28671</v>
      </c>
      <c r="Z76" s="185">
        <f>10400</f>
        <v>10400</v>
      </c>
      <c r="AA76" s="185">
        <f>1102</f>
        <v>1102</v>
      </c>
      <c r="AB76" s="185">
        <f>2316</f>
        <v>2316</v>
      </c>
      <c r="AC76" s="185">
        <f>2397</f>
        <v>2397</v>
      </c>
      <c r="AD76" s="185"/>
      <c r="AE76" s="185">
        <f>5381</f>
        <v>5381</v>
      </c>
      <c r="AF76" s="185"/>
      <c r="AG76" s="185">
        <f>6935</f>
        <v>6935</v>
      </c>
      <c r="AH76" s="185"/>
      <c r="AI76" s="185">
        <f>12672</f>
        <v>12672</v>
      </c>
      <c r="AJ76" s="185">
        <f>5625+3961+6605+16015+5182+6225+3600+4950+2214+1534+4430</f>
        <v>60341</v>
      </c>
      <c r="AK76" s="185"/>
      <c r="AL76" s="185"/>
      <c r="AM76" s="185"/>
      <c r="AN76" s="185"/>
      <c r="AO76" s="185"/>
      <c r="AP76" s="185">
        <f>2400+5911</f>
        <v>8311</v>
      </c>
      <c r="AQ76" s="185"/>
      <c r="AR76" s="185">
        <v>5825</v>
      </c>
      <c r="AS76" s="185"/>
      <c r="AT76" s="185"/>
      <c r="AU76" s="185"/>
      <c r="AV76" s="185"/>
      <c r="AW76" s="185"/>
      <c r="AX76" s="185">
        <f>160</f>
        <v>160</v>
      </c>
      <c r="AY76" s="185">
        <f>2803</f>
        <v>2803</v>
      </c>
      <c r="AZ76" s="185">
        <f>4284</f>
        <v>4284</v>
      </c>
      <c r="BA76" s="185">
        <f>4066</f>
        <v>4066</v>
      </c>
      <c r="BB76" s="185">
        <v>356</v>
      </c>
      <c r="BC76" s="185"/>
      <c r="BD76" s="185">
        <f>5759</f>
        <v>5759</v>
      </c>
      <c r="BE76" s="185">
        <f>60647+15832</f>
        <v>76479</v>
      </c>
      <c r="BF76" s="185">
        <f>355</f>
        <v>355</v>
      </c>
      <c r="BG76" s="185"/>
      <c r="BH76" s="185">
        <f>2065</f>
        <v>2065</v>
      </c>
      <c r="BI76" s="185">
        <f>280</f>
        <v>280</v>
      </c>
      <c r="BJ76" s="185">
        <f>1137</f>
        <v>1137</v>
      </c>
      <c r="BK76" s="185">
        <f>5000</f>
        <v>5000</v>
      </c>
      <c r="BL76" s="185">
        <f>10646+1872</f>
        <v>12518</v>
      </c>
      <c r="BM76" s="185"/>
      <c r="BN76" s="185">
        <f>30380</f>
        <v>30380</v>
      </c>
      <c r="BO76" s="185">
        <f>4983</f>
        <v>4983</v>
      </c>
      <c r="BP76" s="185"/>
      <c r="BQ76" s="185"/>
      <c r="BR76" s="185">
        <f>1220</f>
        <v>1220</v>
      </c>
      <c r="BS76" s="185"/>
      <c r="BT76" s="185"/>
      <c r="BU76" s="185"/>
      <c r="BV76" s="185"/>
      <c r="BW76" s="185">
        <v>142</v>
      </c>
      <c r="BX76" s="185"/>
      <c r="BY76" s="185">
        <f>1287</f>
        <v>1287</v>
      </c>
      <c r="BZ76" s="185"/>
      <c r="CA76" s="185">
        <f>732</f>
        <v>732</v>
      </c>
      <c r="CB76" s="185"/>
      <c r="CC76" s="185">
        <f>2000+4000+2288+1324</f>
        <v>9612</v>
      </c>
      <c r="CD76" s="248" t="s">
        <v>221</v>
      </c>
      <c r="CE76" s="195">
        <f t="shared" si="8"/>
        <v>389799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10183</v>
      </c>
      <c r="D77" s="184"/>
      <c r="E77" s="184">
        <v>34997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45180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1538</v>
      </c>
      <c r="D78" s="184"/>
      <c r="E78" s="184">
        <v>6805</v>
      </c>
      <c r="F78" s="184"/>
      <c r="G78" s="184"/>
      <c r="H78" s="184"/>
      <c r="I78" s="184"/>
      <c r="J78" s="184">
        <v>202</v>
      </c>
      <c r="K78" s="184"/>
      <c r="L78" s="184"/>
      <c r="M78" s="184"/>
      <c r="N78" s="184"/>
      <c r="O78" s="184">
        <v>531</v>
      </c>
      <c r="P78" s="184">
        <v>2472</v>
      </c>
      <c r="Q78" s="184">
        <v>299</v>
      </c>
      <c r="R78" s="184">
        <v>121</v>
      </c>
      <c r="S78" s="184">
        <v>654</v>
      </c>
      <c r="T78" s="184"/>
      <c r="U78" s="184">
        <v>2153</v>
      </c>
      <c r="V78" s="184">
        <v>2300</v>
      </c>
      <c r="W78" s="184"/>
      <c r="X78" s="184">
        <v>206</v>
      </c>
      <c r="Y78" s="184">
        <v>6055</v>
      </c>
      <c r="Z78" s="184">
        <v>2196</v>
      </c>
      <c r="AA78" s="184">
        <v>233</v>
      </c>
      <c r="AB78" s="184">
        <v>489</v>
      </c>
      <c r="AC78" s="184">
        <v>506</v>
      </c>
      <c r="AD78" s="184"/>
      <c r="AE78" s="184">
        <v>1136</v>
      </c>
      <c r="AF78" s="184"/>
      <c r="AG78" s="184">
        <v>1465</v>
      </c>
      <c r="AH78" s="184"/>
      <c r="AI78" s="184">
        <v>2676</v>
      </c>
      <c r="AJ78" s="184">
        <v>11326</v>
      </c>
      <c r="AK78" s="184"/>
      <c r="AL78" s="184"/>
      <c r="AM78" s="184"/>
      <c r="AN78" s="184"/>
      <c r="AO78" s="184"/>
      <c r="AP78" s="184">
        <v>507</v>
      </c>
      <c r="AQ78" s="184"/>
      <c r="AR78" s="184">
        <v>1230</v>
      </c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859</v>
      </c>
      <c r="BB78" s="184">
        <v>75</v>
      </c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436</v>
      </c>
      <c r="BI78" s="184">
        <f>59+422+845+483+280+22544</f>
        <v>24633</v>
      </c>
      <c r="BJ78" s="248" t="s">
        <v>221</v>
      </c>
      <c r="BK78" s="184"/>
      <c r="BL78" s="184">
        <v>2643</v>
      </c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1051</v>
      </c>
      <c r="BW78" s="184">
        <f>30</f>
        <v>30</v>
      </c>
      <c r="BX78" s="184"/>
      <c r="BY78" s="184">
        <v>272</v>
      </c>
      <c r="BZ78" s="184"/>
      <c r="CA78" s="184">
        <v>155</v>
      </c>
      <c r="CB78" s="184"/>
      <c r="CC78" s="248" t="s">
        <v>221</v>
      </c>
      <c r="CD78" s="248" t="s">
        <v>221</v>
      </c>
      <c r="CE78" s="195">
        <f t="shared" si="8"/>
        <v>75254</v>
      </c>
      <c r="CF78" s="195"/>
    </row>
    <row r="79" spans="1:84" ht="12.6" customHeight="1" x14ac:dyDescent="0.25">
      <c r="A79" s="171" t="s">
        <v>251</v>
      </c>
      <c r="B79" s="175"/>
      <c r="C79" s="225">
        <v>153902</v>
      </c>
      <c r="D79" s="225"/>
      <c r="E79" s="184">
        <v>260058</v>
      </c>
      <c r="F79" s="184"/>
      <c r="G79" s="184"/>
      <c r="H79" s="184"/>
      <c r="I79" s="184"/>
      <c r="J79" s="184">
        <v>7006</v>
      </c>
      <c r="K79" s="184"/>
      <c r="L79" s="184"/>
      <c r="M79" s="184"/>
      <c r="N79" s="184"/>
      <c r="O79" s="184">
        <v>56536</v>
      </c>
      <c r="P79" s="184">
        <v>101405</v>
      </c>
      <c r="Q79" s="184">
        <v>18518</v>
      </c>
      <c r="R79" s="184"/>
      <c r="S79" s="184">
        <v>12849</v>
      </c>
      <c r="T79" s="184"/>
      <c r="U79" s="184">
        <v>1595</v>
      </c>
      <c r="V79" s="184"/>
      <c r="W79" s="184"/>
      <c r="X79" s="184"/>
      <c r="Y79" s="184">
        <v>106142</v>
      </c>
      <c r="Z79" s="184">
        <v>18404</v>
      </c>
      <c r="AA79" s="184"/>
      <c r="AB79" s="184">
        <v>755</v>
      </c>
      <c r="AC79" s="184">
        <v>6</v>
      </c>
      <c r="AD79" s="184"/>
      <c r="AE79" s="184">
        <v>22067</v>
      </c>
      <c r="AF79" s="184"/>
      <c r="AG79" s="184">
        <v>262202</v>
      </c>
      <c r="AH79" s="184"/>
      <c r="AI79" s="184">
        <v>83681</v>
      </c>
      <c r="AJ79" s="184">
        <v>50633</v>
      </c>
      <c r="AK79" s="184"/>
      <c r="AL79" s="184"/>
      <c r="AM79" s="184"/>
      <c r="AN79" s="184"/>
      <c r="AO79" s="184"/>
      <c r="AP79" s="184">
        <v>4680</v>
      </c>
      <c r="AQ79" s="184"/>
      <c r="AR79" s="184"/>
      <c r="AS79" s="184"/>
      <c r="AT79" s="184"/>
      <c r="AU79" s="184"/>
      <c r="AV79" s="184">
        <v>4470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>
        <v>58207</v>
      </c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1223116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32.188831</v>
      </c>
      <c r="D80" s="187"/>
      <c r="E80" s="187">
        <v>51.345630200000002</v>
      </c>
      <c r="F80" s="187"/>
      <c r="G80" s="187"/>
      <c r="H80" s="187"/>
      <c r="I80" s="187"/>
      <c r="J80" s="187">
        <v>4.3237163199999999</v>
      </c>
      <c r="K80" s="187"/>
      <c r="L80" s="187"/>
      <c r="M80" s="187"/>
      <c r="N80" s="187"/>
      <c r="O80" s="187">
        <v>2.62511348</v>
      </c>
      <c r="P80" s="187">
        <v>13.348119000000001</v>
      </c>
      <c r="Q80" s="187">
        <v>4.3573649999999997</v>
      </c>
      <c r="R80" s="187">
        <v>9.7200000000000012E-3</v>
      </c>
      <c r="S80" s="187"/>
      <c r="T80" s="187">
        <v>0.58590600000000004</v>
      </c>
      <c r="U80" s="187"/>
      <c r="V80" s="187">
        <v>2.7674940000000001</v>
      </c>
      <c r="W80" s="187"/>
      <c r="X80" s="187"/>
      <c r="Y80" s="187">
        <v>2.7535599999999998</v>
      </c>
      <c r="Z80" s="187"/>
      <c r="AA80" s="187"/>
      <c r="AB80" s="187"/>
      <c r="AC80" s="187"/>
      <c r="AD80" s="187"/>
      <c r="AE80" s="187"/>
      <c r="AF80" s="187"/>
      <c r="AG80" s="187">
        <v>35.850376000000004</v>
      </c>
      <c r="AH80" s="187"/>
      <c r="AI80" s="187">
        <v>15.594759</v>
      </c>
      <c r="AJ80" s="187">
        <v>5.2679819999999999</v>
      </c>
      <c r="AK80" s="187"/>
      <c r="AL80" s="187"/>
      <c r="AM80" s="187"/>
      <c r="AN80" s="187"/>
      <c r="AO80" s="187"/>
      <c r="AP80" s="187"/>
      <c r="AQ80" s="187"/>
      <c r="AR80" s="187">
        <v>23.240636000000002</v>
      </c>
      <c r="AS80" s="187"/>
      <c r="AT80" s="187"/>
      <c r="AU80" s="187"/>
      <c r="AV80" s="187">
        <v>2.097102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196.35631000000001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4379</v>
      </c>
      <c r="D111" s="174">
        <v>14414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487</v>
      </c>
      <c r="D114" s="174">
        <v>954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9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9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67</v>
      </c>
    </row>
    <row r="128" spans="1:5" ht="12.6" customHeight="1" x14ac:dyDescent="0.25">
      <c r="A128" s="173" t="s">
        <v>292</v>
      </c>
      <c r="B128" s="172" t="s">
        <v>256</v>
      </c>
      <c r="C128" s="189">
        <v>126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2627</v>
      </c>
      <c r="C138" s="189">
        <v>834</v>
      </c>
      <c r="D138" s="174">
        <v>918</v>
      </c>
      <c r="E138" s="175">
        <f>SUM(B138:D138)</f>
        <v>4379</v>
      </c>
    </row>
    <row r="139" spans="1:6" ht="12.6" customHeight="1" x14ac:dyDescent="0.25">
      <c r="A139" s="173" t="s">
        <v>215</v>
      </c>
      <c r="B139" s="174">
        <v>9664</v>
      </c>
      <c r="C139" s="189">
        <v>2412</v>
      </c>
      <c r="D139" s="174">
        <v>2338</v>
      </c>
      <c r="E139" s="175">
        <f>SUM(B139:D139)</f>
        <v>14414</v>
      </c>
    </row>
    <row r="140" spans="1:6" ht="12.6" customHeight="1" x14ac:dyDescent="0.25">
      <c r="A140" s="173" t="s">
        <v>298</v>
      </c>
      <c r="B140" s="174">
        <v>251451</v>
      </c>
      <c r="C140" s="174">
        <v>75033</v>
      </c>
      <c r="D140" s="174">
        <v>123497</v>
      </c>
      <c r="E140" s="175">
        <f>SUM(B140:D140)</f>
        <v>449981</v>
      </c>
    </row>
    <row r="141" spans="1:6" ht="12.6" customHeight="1" x14ac:dyDescent="0.25">
      <c r="A141" s="173" t="s">
        <v>245</v>
      </c>
      <c r="B141" s="174">
        <v>58406895</v>
      </c>
      <c r="C141" s="189">
        <v>15305990</v>
      </c>
      <c r="D141" s="174">
        <v>15946812</v>
      </c>
      <c r="E141" s="175">
        <f>SUM(B141:D141)</f>
        <v>89659697</v>
      </c>
      <c r="F141" s="199"/>
    </row>
    <row r="142" spans="1:6" ht="12.6" customHeight="1" x14ac:dyDescent="0.25">
      <c r="A142" s="173" t="s">
        <v>246</v>
      </c>
      <c r="B142" s="174">
        <v>153402854</v>
      </c>
      <c r="C142" s="189">
        <v>45775569</v>
      </c>
      <c r="D142" s="174">
        <v>75341706</v>
      </c>
      <c r="E142" s="175">
        <f>SUM(B142:D142)</f>
        <v>274520129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6147355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83606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1200324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14684400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47152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3984066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201752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26348655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284334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46237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330571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691810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7139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698949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81294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1196837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1278131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940156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940156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9720919</v>
      </c>
      <c r="C195" s="189">
        <v>109211</v>
      </c>
      <c r="D195" s="174"/>
      <c r="E195" s="175">
        <f t="shared" ref="E195:E203" si="10">SUM(B195:C195)-D195</f>
        <v>9830130</v>
      </c>
    </row>
    <row r="196" spans="1:8" ht="12.6" customHeight="1" x14ac:dyDescent="0.25">
      <c r="A196" s="173" t="s">
        <v>333</v>
      </c>
      <c r="B196" s="174">
        <v>4132161</v>
      </c>
      <c r="C196" s="189">
        <v>4952221</v>
      </c>
      <c r="D196" s="174"/>
      <c r="E196" s="175">
        <f t="shared" si="10"/>
        <v>9084382</v>
      </c>
    </row>
    <row r="197" spans="1:8" ht="12.6" customHeight="1" x14ac:dyDescent="0.25">
      <c r="A197" s="173" t="s">
        <v>334</v>
      </c>
      <c r="B197" s="174">
        <v>93094705</v>
      </c>
      <c r="C197" s="189">
        <v>15035242</v>
      </c>
      <c r="D197" s="174">
        <v>977075</v>
      </c>
      <c r="E197" s="175">
        <f t="shared" si="10"/>
        <v>107152872</v>
      </c>
    </row>
    <row r="198" spans="1:8" ht="12.6" customHeight="1" x14ac:dyDescent="0.25">
      <c r="A198" s="173" t="s">
        <v>335</v>
      </c>
      <c r="B198" s="174">
        <v>24008029</v>
      </c>
      <c r="C198" s="189">
        <v>9348888</v>
      </c>
      <c r="D198" s="174"/>
      <c r="E198" s="175">
        <f t="shared" si="10"/>
        <v>33356917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70865466</v>
      </c>
      <c r="C200" s="189">
        <v>5419298</v>
      </c>
      <c r="D200" s="174">
        <v>5215753</v>
      </c>
      <c r="E200" s="175">
        <f t="shared" si="10"/>
        <v>71069011</v>
      </c>
    </row>
    <row r="201" spans="1:8" ht="12.6" customHeight="1" x14ac:dyDescent="0.25">
      <c r="A201" s="173" t="s">
        <v>338</v>
      </c>
      <c r="B201" s="174">
        <v>3678028</v>
      </c>
      <c r="C201" s="189">
        <v>-1376</v>
      </c>
      <c r="D201" s="174">
        <v>1009941</v>
      </c>
      <c r="E201" s="175">
        <f t="shared" si="10"/>
        <v>2666711</v>
      </c>
    </row>
    <row r="202" spans="1:8" ht="12.6" customHeight="1" x14ac:dyDescent="0.25">
      <c r="A202" s="173" t="s">
        <v>339</v>
      </c>
      <c r="B202" s="174">
        <v>277505</v>
      </c>
      <c r="C202" s="189">
        <v>85231</v>
      </c>
      <c r="D202" s="174"/>
      <c r="E202" s="175">
        <f t="shared" si="10"/>
        <v>362736</v>
      </c>
    </row>
    <row r="203" spans="1:8" ht="12.6" customHeight="1" x14ac:dyDescent="0.25">
      <c r="A203" s="173" t="s">
        <v>340</v>
      </c>
      <c r="B203" s="174">
        <v>27864885</v>
      </c>
      <c r="C203" s="189">
        <v>-25490903</v>
      </c>
      <c r="D203" s="174"/>
      <c r="E203" s="175">
        <f t="shared" si="10"/>
        <v>2373982</v>
      </c>
    </row>
    <row r="204" spans="1:8" ht="12.6" customHeight="1" x14ac:dyDescent="0.25">
      <c r="A204" s="173" t="s">
        <v>203</v>
      </c>
      <c r="B204" s="175">
        <f>SUM(B195:B203)</f>
        <v>233641698</v>
      </c>
      <c r="C204" s="191">
        <f>SUM(C195:C203)</f>
        <v>9457812</v>
      </c>
      <c r="D204" s="175">
        <f>SUM(D195:D203)</f>
        <v>7202769</v>
      </c>
      <c r="E204" s="175">
        <f>SUM(E195:E203)</f>
        <v>235896741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2426966</v>
      </c>
      <c r="C209" s="189">
        <v>388979</v>
      </c>
      <c r="D209" s="174">
        <v>0</v>
      </c>
      <c r="E209" s="175">
        <f t="shared" ref="E209:E216" si="11">SUM(B209:C209)-D209</f>
        <v>2815945</v>
      </c>
      <c r="H209" s="258"/>
    </row>
    <row r="210" spans="1:8" ht="12.6" customHeight="1" x14ac:dyDescent="0.25">
      <c r="A210" s="173" t="s">
        <v>334</v>
      </c>
      <c r="B210" s="174">
        <v>45484098</v>
      </c>
      <c r="C210" s="189">
        <v>3312134</v>
      </c>
      <c r="D210" s="174">
        <v>434526</v>
      </c>
      <c r="E210" s="175">
        <f t="shared" si="11"/>
        <v>48361706</v>
      </c>
      <c r="H210" s="258"/>
    </row>
    <row r="211" spans="1:8" ht="12.6" customHeight="1" x14ac:dyDescent="0.25">
      <c r="A211" s="173" t="s">
        <v>335</v>
      </c>
      <c r="B211" s="174">
        <v>16976511</v>
      </c>
      <c r="C211" s="189">
        <v>1095883</v>
      </c>
      <c r="D211" s="174">
        <v>0</v>
      </c>
      <c r="E211" s="175">
        <f t="shared" si="11"/>
        <v>18072394</v>
      </c>
      <c r="H211" s="258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46958427</v>
      </c>
      <c r="C213" s="189">
        <v>4954308</v>
      </c>
      <c r="D213" s="174">
        <v>5153400</v>
      </c>
      <c r="E213" s="175">
        <f t="shared" si="11"/>
        <v>46759335</v>
      </c>
      <c r="H213" s="258"/>
    </row>
    <row r="214" spans="1:8" ht="12.6" customHeight="1" x14ac:dyDescent="0.25">
      <c r="A214" s="173" t="s">
        <v>338</v>
      </c>
      <c r="B214" s="174">
        <v>2895106</v>
      </c>
      <c r="C214" s="189">
        <v>304961</v>
      </c>
      <c r="D214" s="174">
        <v>999466</v>
      </c>
      <c r="E214" s="175">
        <f t="shared" si="11"/>
        <v>2200601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114741108</v>
      </c>
      <c r="C217" s="191">
        <f>SUM(C208:C216)</f>
        <v>10056265</v>
      </c>
      <c r="D217" s="175">
        <f>SUM(D208:D216)</f>
        <v>6587392</v>
      </c>
      <c r="E217" s="175">
        <f>SUM(E208:E216)</f>
        <v>118209981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4" t="s">
        <v>1255</v>
      </c>
      <c r="C220" s="284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2313127</v>
      </c>
      <c r="D221" s="172">
        <f>C221</f>
        <v>2313127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122722299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39749900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1839467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11390030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9491057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6250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185199003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591765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2063357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2655122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541117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541117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190708369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4517648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353699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34596126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18380368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1340587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2059053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2500382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26987127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9085717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26954884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36040601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9830130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9084382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107515609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33356917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73735722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2373981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235896741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118209982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117686759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2083480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170818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2254298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182968785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6158991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9145175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215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881409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450718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1574438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18210946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39427547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1064513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40492060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1574438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38917622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125840217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182968785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182968785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89659697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274520128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364179825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2313127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185740120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2655122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190708369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173471456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2407956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4570480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6978436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180449892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89102750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26348655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8887738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27162202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2293404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7470086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10655598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330571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698949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1278131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8887199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183115283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-2665391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158084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-2507307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-2507307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Olympic Medical Center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4379</v>
      </c>
      <c r="C414" s="194">
        <f>E138</f>
        <v>4379</v>
      </c>
      <c r="D414" s="179"/>
    </row>
    <row r="415" spans="1:5" ht="12.6" customHeight="1" x14ac:dyDescent="0.25">
      <c r="A415" s="179" t="s">
        <v>464</v>
      </c>
      <c r="B415" s="179">
        <f>D111</f>
        <v>14414</v>
      </c>
      <c r="C415" s="179">
        <f>E139</f>
        <v>14414</v>
      </c>
      <c r="D415" s="194">
        <f>SUM(C59:H59)+N59</f>
        <v>14414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487</v>
      </c>
    </row>
    <row r="424" spans="1:7" ht="12.6" customHeight="1" x14ac:dyDescent="0.25">
      <c r="A424" s="179" t="s">
        <v>1244</v>
      </c>
      <c r="B424" s="179">
        <f>D114</f>
        <v>954</v>
      </c>
      <c r="D424" s="179">
        <f>J59</f>
        <v>954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89102750</v>
      </c>
      <c r="C427" s="179">
        <f t="shared" ref="C427:C434" si="13">CE61</f>
        <v>89102749.669499964</v>
      </c>
      <c r="D427" s="179"/>
    </row>
    <row r="428" spans="1:7" ht="12.6" customHeight="1" x14ac:dyDescent="0.25">
      <c r="A428" s="179" t="s">
        <v>3</v>
      </c>
      <c r="B428" s="179">
        <f t="shared" si="12"/>
        <v>26348655</v>
      </c>
      <c r="C428" s="179">
        <f t="shared" si="13"/>
        <v>26348655</v>
      </c>
      <c r="D428" s="179">
        <f>D173</f>
        <v>26348655</v>
      </c>
    </row>
    <row r="429" spans="1:7" ht="12.6" customHeight="1" x14ac:dyDescent="0.25">
      <c r="A429" s="179" t="s">
        <v>236</v>
      </c>
      <c r="B429" s="179">
        <f t="shared" si="12"/>
        <v>8887738</v>
      </c>
      <c r="C429" s="179">
        <f t="shared" si="13"/>
        <v>8887738.0399999972</v>
      </c>
      <c r="D429" s="179"/>
    </row>
    <row r="430" spans="1:7" ht="12.6" customHeight="1" x14ac:dyDescent="0.25">
      <c r="A430" s="179" t="s">
        <v>237</v>
      </c>
      <c r="B430" s="179">
        <f t="shared" si="12"/>
        <v>27162202</v>
      </c>
      <c r="C430" s="179">
        <f t="shared" si="13"/>
        <v>27162202.16</v>
      </c>
      <c r="D430" s="179"/>
    </row>
    <row r="431" spans="1:7" ht="12.6" customHeight="1" x14ac:dyDescent="0.25">
      <c r="A431" s="179" t="s">
        <v>444</v>
      </c>
      <c r="B431" s="179">
        <f t="shared" si="12"/>
        <v>2293404</v>
      </c>
      <c r="C431" s="179">
        <f t="shared" si="13"/>
        <v>2293403.85</v>
      </c>
      <c r="D431" s="179"/>
    </row>
    <row r="432" spans="1:7" ht="12.6" customHeight="1" x14ac:dyDescent="0.25">
      <c r="A432" s="179" t="s">
        <v>445</v>
      </c>
      <c r="B432" s="179">
        <f t="shared" si="12"/>
        <v>7470086</v>
      </c>
      <c r="C432" s="179">
        <f t="shared" si="13"/>
        <v>7470085.9900000002</v>
      </c>
      <c r="D432" s="179"/>
    </row>
    <row r="433" spans="1:7" ht="12.6" customHeight="1" x14ac:dyDescent="0.25">
      <c r="A433" s="179" t="s">
        <v>6</v>
      </c>
      <c r="B433" s="179">
        <f t="shared" si="12"/>
        <v>10655598</v>
      </c>
      <c r="C433" s="179">
        <f t="shared" si="13"/>
        <v>10655599</v>
      </c>
      <c r="D433" s="179">
        <f>C217</f>
        <v>10056265</v>
      </c>
    </row>
    <row r="434" spans="1:7" ht="12.6" customHeight="1" x14ac:dyDescent="0.25">
      <c r="A434" s="179" t="s">
        <v>474</v>
      </c>
      <c r="B434" s="179">
        <f t="shared" si="12"/>
        <v>330571</v>
      </c>
      <c r="C434" s="179">
        <f t="shared" si="13"/>
        <v>330570.63999999966</v>
      </c>
      <c r="D434" s="179">
        <f>D177</f>
        <v>330571</v>
      </c>
    </row>
    <row r="435" spans="1:7" ht="12.6" customHeight="1" x14ac:dyDescent="0.25">
      <c r="A435" s="179" t="s">
        <v>447</v>
      </c>
      <c r="B435" s="179">
        <f t="shared" si="12"/>
        <v>698949</v>
      </c>
      <c r="C435" s="179"/>
      <c r="D435" s="179">
        <f>D181</f>
        <v>698949</v>
      </c>
    </row>
    <row r="436" spans="1:7" ht="12.6" customHeight="1" x14ac:dyDescent="0.25">
      <c r="A436" s="179" t="s">
        <v>475</v>
      </c>
      <c r="B436" s="179">
        <f t="shared" si="12"/>
        <v>1278131</v>
      </c>
      <c r="C436" s="179"/>
      <c r="D436" s="179">
        <f>D186</f>
        <v>1278131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940156</v>
      </c>
    </row>
    <row r="438" spans="1:7" ht="12.6" customHeight="1" x14ac:dyDescent="0.25">
      <c r="A438" s="194" t="s">
        <v>476</v>
      </c>
      <c r="B438" s="194">
        <f>C386+C387+C388</f>
        <v>1977080</v>
      </c>
      <c r="C438" s="194">
        <f>CD69</f>
        <v>0</v>
      </c>
      <c r="D438" s="194">
        <f>D181+D186+D190</f>
        <v>2917236</v>
      </c>
    </row>
    <row r="439" spans="1:7" ht="12.6" customHeight="1" x14ac:dyDescent="0.25">
      <c r="A439" s="179" t="s">
        <v>451</v>
      </c>
      <c r="B439" s="194">
        <f>C389</f>
        <v>8887199</v>
      </c>
      <c r="C439" s="194">
        <f>SUM(C69:CC69)</f>
        <v>10165330.559999999</v>
      </c>
      <c r="D439" s="179"/>
    </row>
    <row r="440" spans="1:7" ht="12.6" customHeight="1" x14ac:dyDescent="0.25">
      <c r="A440" s="179" t="s">
        <v>477</v>
      </c>
      <c r="B440" s="194">
        <f>B438+B439</f>
        <v>10864279</v>
      </c>
      <c r="C440" s="194">
        <f>CE69</f>
        <v>10165330.559999999</v>
      </c>
      <c r="D440" s="179"/>
    </row>
    <row r="441" spans="1:7" ht="12.6" customHeight="1" x14ac:dyDescent="0.25">
      <c r="A441" s="179" t="s">
        <v>478</v>
      </c>
      <c r="B441" s="179">
        <f>D390</f>
        <v>183115283</v>
      </c>
      <c r="C441" s="179">
        <f>SUM(C427:C437)+C440</f>
        <v>182416334.90949994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2313127</v>
      </c>
      <c r="C444" s="179">
        <f>C363</f>
        <v>2313127</v>
      </c>
      <c r="D444" s="179"/>
    </row>
    <row r="445" spans="1:7" ht="12.6" customHeight="1" x14ac:dyDescent="0.25">
      <c r="A445" s="179" t="s">
        <v>343</v>
      </c>
      <c r="B445" s="179">
        <f>D229</f>
        <v>185199003</v>
      </c>
      <c r="C445" s="179">
        <f>C364</f>
        <v>185740120</v>
      </c>
      <c r="D445" s="179"/>
    </row>
    <row r="446" spans="1:7" ht="12.6" customHeight="1" x14ac:dyDescent="0.25">
      <c r="A446" s="179" t="s">
        <v>351</v>
      </c>
      <c r="B446" s="179">
        <f>D236</f>
        <v>2655122</v>
      </c>
      <c r="C446" s="179">
        <f>C365</f>
        <v>2655122</v>
      </c>
      <c r="D446" s="179"/>
    </row>
    <row r="447" spans="1:7" ht="12.6" customHeight="1" x14ac:dyDescent="0.25">
      <c r="A447" s="179" t="s">
        <v>356</v>
      </c>
      <c r="B447" s="179">
        <f>D240</f>
        <v>541117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190708369</v>
      </c>
      <c r="C448" s="179">
        <f>D367</f>
        <v>190708369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591765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2063357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2407956</v>
      </c>
      <c r="C458" s="194">
        <f>CE70</f>
        <v>6978435.8900000006</v>
      </c>
      <c r="D458" s="194"/>
    </row>
    <row r="459" spans="1:7" ht="12.6" customHeight="1" x14ac:dyDescent="0.25">
      <c r="A459" s="179" t="s">
        <v>244</v>
      </c>
      <c r="B459" s="194">
        <f>C371</f>
        <v>4570480</v>
      </c>
      <c r="C459" s="194">
        <f>CE72</f>
        <v>4570479.9400000004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89659697</v>
      </c>
      <c r="C463" s="194">
        <f>CE73</f>
        <v>89659696.710000008</v>
      </c>
      <c r="D463" s="194">
        <f>E141+E147+E153</f>
        <v>89659697</v>
      </c>
    </row>
    <row r="464" spans="1:7" ht="12.6" customHeight="1" x14ac:dyDescent="0.25">
      <c r="A464" s="179" t="s">
        <v>246</v>
      </c>
      <c r="B464" s="194">
        <f>C360</f>
        <v>274520128</v>
      </c>
      <c r="C464" s="194">
        <f>CE74</f>
        <v>274520128.46000004</v>
      </c>
      <c r="D464" s="194">
        <f>E142+E148+E154</f>
        <v>274520129</v>
      </c>
    </row>
    <row r="465" spans="1:7" ht="12.6" customHeight="1" x14ac:dyDescent="0.25">
      <c r="A465" s="179" t="s">
        <v>247</v>
      </c>
      <c r="B465" s="194">
        <f>D361</f>
        <v>364179825</v>
      </c>
      <c r="C465" s="194">
        <f>CE75</f>
        <v>364179825.17000002</v>
      </c>
      <c r="D465" s="194">
        <f>D463+D464</f>
        <v>364179826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9830130</v>
      </c>
      <c r="C468" s="179">
        <f>E195</f>
        <v>9830130</v>
      </c>
      <c r="D468" s="179"/>
    </row>
    <row r="469" spans="1:7" ht="12.6" customHeight="1" x14ac:dyDescent="0.25">
      <c r="A469" s="179" t="s">
        <v>333</v>
      </c>
      <c r="B469" s="179">
        <f t="shared" si="14"/>
        <v>9084382</v>
      </c>
      <c r="C469" s="179">
        <f>E196</f>
        <v>9084382</v>
      </c>
      <c r="D469" s="179"/>
    </row>
    <row r="470" spans="1:7" ht="12.6" customHeight="1" x14ac:dyDescent="0.25">
      <c r="A470" s="179" t="s">
        <v>334</v>
      </c>
      <c r="B470" s="179">
        <f t="shared" si="14"/>
        <v>107515609</v>
      </c>
      <c r="C470" s="179">
        <f>E197</f>
        <v>107152872</v>
      </c>
      <c r="D470" s="179"/>
    </row>
    <row r="471" spans="1:7" ht="12.6" customHeight="1" x14ac:dyDescent="0.25">
      <c r="A471" s="179" t="s">
        <v>494</v>
      </c>
      <c r="B471" s="179">
        <f t="shared" si="14"/>
        <v>33356917</v>
      </c>
      <c r="C471" s="179">
        <f>E198</f>
        <v>33356917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73735722</v>
      </c>
      <c r="C473" s="179">
        <f>SUM(E200:E201)</f>
        <v>73735722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362736</v>
      </c>
      <c r="D474" s="179"/>
    </row>
    <row r="475" spans="1:7" ht="12.6" customHeight="1" x14ac:dyDescent="0.25">
      <c r="A475" s="179" t="s">
        <v>340</v>
      </c>
      <c r="B475" s="179">
        <f t="shared" si="14"/>
        <v>2373981</v>
      </c>
      <c r="C475" s="179">
        <f>E203</f>
        <v>2373982</v>
      </c>
      <c r="D475" s="179"/>
    </row>
    <row r="476" spans="1:7" ht="12.6" customHeight="1" x14ac:dyDescent="0.25">
      <c r="A476" s="179" t="s">
        <v>203</v>
      </c>
      <c r="B476" s="179">
        <f>D275</f>
        <v>235896741</v>
      </c>
      <c r="C476" s="179">
        <f>E204</f>
        <v>235896741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118209982</v>
      </c>
      <c r="C478" s="179">
        <f>E217</f>
        <v>118209981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182968785</v>
      </c>
    </row>
    <row r="482" spans="1:12" ht="12.6" customHeight="1" x14ac:dyDescent="0.25">
      <c r="A482" s="180" t="s">
        <v>499</v>
      </c>
      <c r="C482" s="180">
        <f>D339</f>
        <v>182968785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Olympic Medical Center   H-0     FYE 12/31/2017</v>
      </c>
      <c r="B493" s="260" t="s">
        <v>1266</v>
      </c>
      <c r="C493" s="260" t="str">
        <f>RIGHT(C82,4)</f>
        <v>2017</v>
      </c>
      <c r="D493" s="260" t="s">
        <v>1266</v>
      </c>
      <c r="E493" s="260" t="str">
        <f>RIGHT(C82,4)</f>
        <v>2017</v>
      </c>
      <c r="F493" s="260" t="s">
        <v>1266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5585579.3600000013</v>
      </c>
      <c r="C496" s="239">
        <f>C71</f>
        <v>5835826.1699999999</v>
      </c>
      <c r="D496" s="239">
        <v>4264</v>
      </c>
      <c r="E496" s="180">
        <f>C59</f>
        <v>4159</v>
      </c>
      <c r="F496" s="262">
        <f t="shared" ref="F496:G511" si="15">IF(B496=0,"",IF(D496=0,"",B496/D496))</f>
        <v>1309.9388742964356</v>
      </c>
      <c r="G496" s="263">
        <f t="shared" si="15"/>
        <v>1403.1801322433278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9138078.4299999997</v>
      </c>
      <c r="C498" s="239">
        <f>E71</f>
        <v>10061722.0165</v>
      </c>
      <c r="D498" s="239">
        <v>10285</v>
      </c>
      <c r="E498" s="180">
        <f>E59</f>
        <v>10255</v>
      </c>
      <c r="F498" s="262">
        <f t="shared" si="15"/>
        <v>888.48599222168207</v>
      </c>
      <c r="G498" s="262">
        <f t="shared" si="15"/>
        <v>981.15280511945389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719855.53</v>
      </c>
      <c r="C503" s="239">
        <f>J71</f>
        <v>795643.75919999997</v>
      </c>
      <c r="D503" s="239">
        <v>944</v>
      </c>
      <c r="E503" s="180">
        <f>J59</f>
        <v>954</v>
      </c>
      <c r="F503" s="262">
        <f t="shared" si="15"/>
        <v>762.55882415254246</v>
      </c>
      <c r="G503" s="262">
        <f t="shared" si="15"/>
        <v>834.00813333333326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486697.86</v>
      </c>
      <c r="C508" s="239">
        <f>O71</f>
        <v>535925.92379999987</v>
      </c>
      <c r="D508" s="239">
        <v>341</v>
      </c>
      <c r="E508" s="180">
        <f>O59</f>
        <v>389</v>
      </c>
      <c r="F508" s="262">
        <f t="shared" si="15"/>
        <v>1427.2664516129032</v>
      </c>
      <c r="G508" s="262">
        <f t="shared" si="15"/>
        <v>1377.7016035989714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8414477.0099999998</v>
      </c>
      <c r="C509" s="239">
        <f>P71</f>
        <v>9636511.7799999993</v>
      </c>
      <c r="D509" s="239">
        <v>375409</v>
      </c>
      <c r="E509" s="180">
        <f>P59</f>
        <v>420815</v>
      </c>
      <c r="F509" s="262">
        <f t="shared" si="15"/>
        <v>22.414158983934854</v>
      </c>
      <c r="G509" s="262">
        <f t="shared" si="15"/>
        <v>22.899639461521094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548295.94999999995</v>
      </c>
      <c r="C510" s="239">
        <f>Q71</f>
        <v>739710.21000000008</v>
      </c>
      <c r="D510" s="239">
        <v>155852</v>
      </c>
      <c r="E510" s="180">
        <f>Q59</f>
        <v>151766</v>
      </c>
      <c r="F510" s="262">
        <f t="shared" si="15"/>
        <v>3.5180552703847239</v>
      </c>
      <c r="G510" s="262">
        <f t="shared" si="15"/>
        <v>4.8740179618623412</v>
      </c>
      <c r="H510" s="264">
        <f t="shared" si="16"/>
        <v>0.38542961587108127</v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326393.96000000002</v>
      </c>
      <c r="C511" s="239">
        <f>R71</f>
        <v>812618.06</v>
      </c>
      <c r="D511" s="239">
        <v>319867</v>
      </c>
      <c r="E511" s="180">
        <f>R59</f>
        <v>378159</v>
      </c>
      <c r="F511" s="262">
        <f t="shared" si="15"/>
        <v>1.020405230924103</v>
      </c>
      <c r="G511" s="262">
        <f t="shared" si="15"/>
        <v>2.1488793338251901</v>
      </c>
      <c r="H511" s="264">
        <f t="shared" si="16"/>
        <v>1.1059077988840911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810256.99999999977</v>
      </c>
      <c r="C512" s="239">
        <f>S71</f>
        <v>1229469.19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232711.67</v>
      </c>
      <c r="C513" s="239">
        <f>T71</f>
        <v>217748.34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9142527.5</v>
      </c>
      <c r="C514" s="239">
        <f>U71</f>
        <v>9438820.3800000008</v>
      </c>
      <c r="D514" s="239">
        <v>535811</v>
      </c>
      <c r="E514" s="180">
        <f>U59</f>
        <v>554874</v>
      </c>
      <c r="F514" s="262">
        <f t="shared" si="17"/>
        <v>17.06297089832049</v>
      </c>
      <c r="G514" s="262">
        <f t="shared" si="17"/>
        <v>17.010745466538349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3573428.08</v>
      </c>
      <c r="C515" s="239">
        <f>V71</f>
        <v>3931721.1800000006</v>
      </c>
      <c r="D515" s="239">
        <v>26881</v>
      </c>
      <c r="E515" s="180">
        <f>V59</f>
        <v>29629</v>
      </c>
      <c r="F515" s="262">
        <f t="shared" si="17"/>
        <v>132.93508723633795</v>
      </c>
      <c r="G515" s="262">
        <f t="shared" si="17"/>
        <v>132.69840966620544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1035464.28</v>
      </c>
      <c r="C516" s="239">
        <f>W71</f>
        <v>953082.71</v>
      </c>
      <c r="D516" s="239">
        <v>6234</v>
      </c>
      <c r="E516" s="180">
        <f>W59</f>
        <v>6159</v>
      </c>
      <c r="F516" s="262">
        <f t="shared" si="17"/>
        <v>166.09949951876806</v>
      </c>
      <c r="G516" s="262">
        <f t="shared" si="17"/>
        <v>154.74634031498618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993222.39</v>
      </c>
      <c r="C517" s="239">
        <f>X71</f>
        <v>1282584.17</v>
      </c>
      <c r="D517" s="239">
        <v>14999</v>
      </c>
      <c r="E517" s="180">
        <f>X59</f>
        <v>15509</v>
      </c>
      <c r="F517" s="262">
        <f t="shared" si="17"/>
        <v>66.219240616041077</v>
      </c>
      <c r="G517" s="262">
        <f t="shared" si="17"/>
        <v>82.699346830872386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7343463.7700000005</v>
      </c>
      <c r="C518" s="239">
        <f>Y71</f>
        <v>7695947.6799999997</v>
      </c>
      <c r="D518" s="239">
        <v>71758</v>
      </c>
      <c r="E518" s="180">
        <f>Y59</f>
        <v>68073</v>
      </c>
      <c r="F518" s="262">
        <f t="shared" si="17"/>
        <v>102.33651676468129</v>
      </c>
      <c r="G518" s="262">
        <f t="shared" si="17"/>
        <v>113.0543340237686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4114523.13</v>
      </c>
      <c r="C519" s="239">
        <f>Z71</f>
        <v>4322917.6099999994</v>
      </c>
      <c r="D519" s="239">
        <v>11830</v>
      </c>
      <c r="E519" s="180">
        <f>Z59</f>
        <v>14143.2</v>
      </c>
      <c r="F519" s="262">
        <f t="shared" si="17"/>
        <v>347.8041530008453</v>
      </c>
      <c r="G519" s="262">
        <f t="shared" si="17"/>
        <v>305.65343133095757</v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636498.13</v>
      </c>
      <c r="C520" s="239">
        <f>AA71</f>
        <v>593585.40999999992</v>
      </c>
      <c r="D520" s="239">
        <v>687</v>
      </c>
      <c r="E520" s="180">
        <f>AA59</f>
        <v>691</v>
      </c>
      <c r="F520" s="262">
        <f t="shared" si="17"/>
        <v>926.48927219796212</v>
      </c>
      <c r="G520" s="262">
        <f t="shared" si="17"/>
        <v>859.02374819102738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14728573.049999999</v>
      </c>
      <c r="C521" s="239">
        <f>AB71</f>
        <v>14801232.790000001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1124124.27</v>
      </c>
      <c r="C522" s="239">
        <f>AC71</f>
        <v>1346938.83</v>
      </c>
      <c r="D522" s="239">
        <v>0</v>
      </c>
      <c r="E522" s="180">
        <f>AC59</f>
        <v>28536</v>
      </c>
      <c r="F522" s="262" t="str">
        <f t="shared" si="17"/>
        <v/>
      </c>
      <c r="G522" s="262">
        <f t="shared" si="17"/>
        <v>47.201388772077379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3527382.4400000004</v>
      </c>
      <c r="C524" s="239">
        <f>AE71</f>
        <v>3805193.1799999992</v>
      </c>
      <c r="D524" s="239">
        <v>76295</v>
      </c>
      <c r="E524" s="180">
        <f>AE59</f>
        <v>77539</v>
      </c>
      <c r="F524" s="262">
        <f t="shared" si="17"/>
        <v>46.233467986106568</v>
      </c>
      <c r="G524" s="262">
        <f t="shared" si="17"/>
        <v>49.074571248017115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10059815.159999998</v>
      </c>
      <c r="C526" s="239">
        <f>AG71</f>
        <v>11060590.370000001</v>
      </c>
      <c r="D526" s="239">
        <v>31949</v>
      </c>
      <c r="E526" s="180">
        <f>AG59</f>
        <v>29865</v>
      </c>
      <c r="F526" s="262">
        <f t="shared" si="17"/>
        <v>314.87104948511683</v>
      </c>
      <c r="G526" s="262">
        <f t="shared" si="17"/>
        <v>370.35293386907756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5364.71</v>
      </c>
      <c r="C527" s="239">
        <f>AH71</f>
        <v>-1538.8600000000001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2526861.39</v>
      </c>
      <c r="C528" s="239">
        <f>AI71</f>
        <v>2965069.5100000002</v>
      </c>
      <c r="D528" s="239">
        <v>13623</v>
      </c>
      <c r="E528" s="180">
        <f>AI59</f>
        <v>15895</v>
      </c>
      <c r="F528" s="262">
        <f t="shared" ref="F528:G540" si="18">IF(B528=0,"",IF(D528=0,"",B528/D528))</f>
        <v>185.48494384496809</v>
      </c>
      <c r="G528" s="262">
        <f t="shared" si="18"/>
        <v>186.54101981755269</v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25725403.149999999</v>
      </c>
      <c r="C529" s="239">
        <f>AJ71</f>
        <v>39098945.88000001</v>
      </c>
      <c r="D529" s="239">
        <v>105308</v>
      </c>
      <c r="E529" s="180">
        <f>AJ59</f>
        <v>143066</v>
      </c>
      <c r="F529" s="262">
        <f t="shared" si="18"/>
        <v>244.28726355072737</v>
      </c>
      <c r="G529" s="262">
        <f t="shared" si="18"/>
        <v>273.2930666964898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6700163.3699999992</v>
      </c>
      <c r="C535" s="239">
        <f>AP71</f>
        <v>1693336.1600000001</v>
      </c>
      <c r="D535" s="239">
        <v>15788</v>
      </c>
      <c r="E535" s="180">
        <f>AP59</f>
        <v>6402</v>
      </c>
      <c r="F535" s="262">
        <f t="shared" si="18"/>
        <v>424.38328920699263</v>
      </c>
      <c r="G535" s="262">
        <f t="shared" si="18"/>
        <v>264.50111840049988</v>
      </c>
      <c r="H535" s="264">
        <f t="shared" si="16"/>
        <v>-0.37674002457837197</v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5598861.0599999996</v>
      </c>
      <c r="C537" s="239">
        <f>AR71</f>
        <v>6844123.0200000005</v>
      </c>
      <c r="D537" s="239">
        <v>39298</v>
      </c>
      <c r="E537" s="180">
        <f>AR59</f>
        <v>47938</v>
      </c>
      <c r="F537" s="262">
        <f t="shared" si="18"/>
        <v>142.47190849407093</v>
      </c>
      <c r="G537" s="262">
        <f t="shared" si="18"/>
        <v>142.7703078977012</v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3902730.5100000002</v>
      </c>
      <c r="C541" s="239">
        <f>AV71</f>
        <v>4230308.88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99149.32</v>
      </c>
      <c r="C543" s="239">
        <f>AX71</f>
        <v>104668.49000000002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2262843.9</v>
      </c>
      <c r="C544" s="239">
        <f>AY71</f>
        <v>2541958.31</v>
      </c>
      <c r="D544" s="239">
        <v>45156</v>
      </c>
      <c r="E544" s="180">
        <f>AY59</f>
        <v>45180</v>
      </c>
      <c r="F544" s="262">
        <f t="shared" ref="F544:G550" si="19">IF(B544=0,"",IF(D544=0,"",B544/D544))</f>
        <v>50.111699441934626</v>
      </c>
      <c r="G544" s="262">
        <f t="shared" si="19"/>
        <v>56.262910801239485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-507207.56000000006</v>
      </c>
      <c r="C545" s="239">
        <f>AZ71</f>
        <v>-634017.81000000006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590241.68000000005</v>
      </c>
      <c r="C546" s="239">
        <f>BA71</f>
        <v>616268.31999999995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1413818.72</v>
      </c>
      <c r="C547" s="239">
        <f>BB71</f>
        <v>1698750.0200000003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1300885.8799999999</v>
      </c>
      <c r="C549" s="239">
        <f>BD71</f>
        <v>1390730.1700000002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4917341.88</v>
      </c>
      <c r="C550" s="239">
        <f>BE71</f>
        <v>5827143.1699999999</v>
      </c>
      <c r="D550" s="239">
        <v>350700</v>
      </c>
      <c r="E550" s="180">
        <f>BE59</f>
        <v>389799</v>
      </c>
      <c r="F550" s="262">
        <f t="shared" si="19"/>
        <v>14.021505218135157</v>
      </c>
      <c r="G550" s="262">
        <f t="shared" si="19"/>
        <v>14.949097278340888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1624789.1199999996</v>
      </c>
      <c r="C551" s="239">
        <f>BF71</f>
        <v>1895778.36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6069490</v>
      </c>
      <c r="C553" s="239">
        <f>BH71</f>
        <v>6362180.0099999998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859059.4</v>
      </c>
      <c r="C554" s="239">
        <f>BI71</f>
        <v>1061985.1000000001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1423278.23</v>
      </c>
      <c r="C555" s="239">
        <f>BJ71</f>
        <v>1510526.0499999998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2439718.4499999997</v>
      </c>
      <c r="C556" s="239">
        <f>BK71</f>
        <v>2637329.16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2763228.67</v>
      </c>
      <c r="C557" s="239">
        <f>BL71</f>
        <v>3675397.0300000003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2497343.4300000006</v>
      </c>
      <c r="C559" s="239">
        <f>BN71</f>
        <v>2281796.7199999997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36550.080000000002</v>
      </c>
      <c r="C560" s="239">
        <f>BO71</f>
        <v>410746.67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596235.72</v>
      </c>
      <c r="C561" s="239">
        <f>BP71</f>
        <v>638137.29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2312565.71</v>
      </c>
      <c r="C563" s="239">
        <f>BR71</f>
        <v>2332700.67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1233375.97</v>
      </c>
      <c r="C567" s="239">
        <f>BV71</f>
        <v>1153684.45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428135.25</v>
      </c>
      <c r="C568" s="239">
        <f>BW71</f>
        <v>378265.87999999995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979479.92999999993</v>
      </c>
      <c r="C570" s="239">
        <f>BY71</f>
        <v>1103296.4400000002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395704.22</v>
      </c>
      <c r="C572" s="239">
        <f>CA71</f>
        <v>441243.21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-388450.27</v>
      </c>
      <c r="C574" s="239">
        <f>CC71</f>
        <v>-5918703.04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0</v>
      </c>
      <c r="C575" s="239">
        <f>CD71</f>
        <v>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313320</v>
      </c>
      <c r="E612" s="180">
        <f>SUM(C624:D647)+SUM(C668:D713)</f>
        <v>176053578.34051585</v>
      </c>
      <c r="F612" s="180">
        <f>CE64-(AX64+BD64+BE64+BG64+BJ64+BN64+BP64+BQ64+CB64+CC64+CD64)</f>
        <v>26673524.420000002</v>
      </c>
      <c r="G612" s="180">
        <f>CE77-(AX77+AY77+BD77+BE77+BG77+BJ77+BN77+BP77+BQ77+CB77+CC77+CD77)</f>
        <v>45180</v>
      </c>
      <c r="H612" s="197">
        <f>CE60-(AX60+AY60+AZ60+BD60+BE60+BG60+BJ60+BN60+BO60+BP60+BQ60+BR60+CB60+CC60+CD60)</f>
        <v>1098.2359470000001</v>
      </c>
      <c r="I612" s="180">
        <f>CE78-(AX78+AY78+AZ78+BD78+BE78+BF78+BG78+BJ78+BN78+BO78+BP78+BQ78+BR78+CB78+CC78+CD78)</f>
        <v>75254</v>
      </c>
      <c r="J612" s="180">
        <f>CE79-(AX79+AY79+AZ79+BA79+BD79+BE79+BF79+BG79+BJ79+BN79+BO79+BP79+BQ79+BR79+CB79+CC79+CD79)</f>
        <v>1223116</v>
      </c>
      <c r="K612" s="180">
        <f>CE75-(AW75+AX75+AY75+AZ75+BA75+BB75+BC75+BD75+BE75+BF75+BG75+BH75+BI75+BJ75+BK75+BL75+BM75+BN75+BO75+BP75+BQ75+BR75+BS75+BT75+BU75+BV75+BW75+BX75+CB75+CC75+CD75)</f>
        <v>364179825.17000002</v>
      </c>
      <c r="L612" s="197">
        <f>CE80-(AW80+AX80+AY80+AZ80+BA80+BB80+BC80+BD80+BE80+BF80+BG80+BH80+BI80+BJ80+BK80+BL80+BM80+BN80+BO80+BP80+BQ80+BR80+BS80+BT80+BU80+BV80+BW80+BX80+BY80+BZ80+CA80+CB80+CC80+CD80)</f>
        <v>196.35631000000001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5827143.1699999999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0</v>
      </c>
      <c r="D615" s="265">
        <f>SUM(C614:C615)</f>
        <v>5827143.1699999999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104668.49000000002</v>
      </c>
      <c r="D616" s="180">
        <f>(D615/D612)*AX76</f>
        <v>2975.6890948550999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1510526.0499999998</v>
      </c>
      <c r="D617" s="180">
        <f>(D615/D612)*BJ76</f>
        <v>21145.990630314056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2281796.7199999997</v>
      </c>
      <c r="D619" s="180">
        <f>(D615/D612)*BN76</f>
        <v>565008.96688561211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-5918703.04</v>
      </c>
      <c r="D620" s="180">
        <f>(D615/D612)*CC76</f>
        <v>178764.52237342013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638137.29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-615679.32101579849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1390730.1700000002</v>
      </c>
      <c r="D624" s="180">
        <f>(D615/D612)*BD76</f>
        <v>107106.20935794075</v>
      </c>
      <c r="E624" s="180">
        <f>(E623/E612)*SUM(C624:D624)</f>
        <v>-5238.103614413345</v>
      </c>
      <c r="F624" s="180">
        <f>SUM(C624:E624)</f>
        <v>1492598.2757435276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2541958.31</v>
      </c>
      <c r="D625" s="180">
        <f>(D615/D612)*AY76</f>
        <v>52130.353330492784</v>
      </c>
      <c r="E625" s="180">
        <f>(E623/E612)*SUM(C625:D625)</f>
        <v>-9071.8221234049506</v>
      </c>
      <c r="F625" s="180">
        <f>(F624/F612)*AY64</f>
        <v>46843.164828151523</v>
      </c>
      <c r="G625" s="180">
        <f>SUM(C625:F625)</f>
        <v>2631860.0060352394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2332700.67</v>
      </c>
      <c r="D626" s="180">
        <f>(D615/D612)*BR76</f>
        <v>22689.629348270137</v>
      </c>
      <c r="E626" s="180">
        <f>(E623/E612)*SUM(C626:D626)</f>
        <v>-8237.0668855425902</v>
      </c>
      <c r="F626" s="180">
        <f>(F624/F612)*BR64</f>
        <v>1510.106181480952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410746.67</v>
      </c>
      <c r="D627" s="180">
        <f>(D615/D612)*BO76</f>
        <v>92674.117247893519</v>
      </c>
      <c r="E627" s="180">
        <f>(E623/E612)*SUM(C627:D627)</f>
        <v>-1760.5195611448294</v>
      </c>
      <c r="F627" s="180">
        <f>(F624/F612)*BO64</f>
        <v>1685.520662567626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-634017.81000000006</v>
      </c>
      <c r="D628" s="180">
        <f>(D615/D612)*AZ76</f>
        <v>79674.075514745302</v>
      </c>
      <c r="E628" s="180">
        <f>(E623/E612)*SUM(C628:D628)</f>
        <v>1938.6028802954445</v>
      </c>
      <c r="F628" s="180">
        <f>(F624/F612)*AZ64</f>
        <v>132.60657677809883</v>
      </c>
      <c r="G628" s="180">
        <f>(G625/G612)*AZ77</f>
        <v>0</v>
      </c>
      <c r="H628" s="180">
        <f>SUM(C626:G628)</f>
        <v>2299736.6019653431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1895778.36</v>
      </c>
      <c r="D629" s="180">
        <f>(D615/D612)*BF76</f>
        <v>6602.3101792097532</v>
      </c>
      <c r="E629" s="180">
        <f>(E623/E612)*SUM(C629:D629)</f>
        <v>-6652.8408588442198</v>
      </c>
      <c r="F629" s="180">
        <f>(F624/F612)*BF64</f>
        <v>13015.55640515244</v>
      </c>
      <c r="G629" s="180">
        <f>(G625/G612)*BF77</f>
        <v>0</v>
      </c>
      <c r="H629" s="180">
        <f>(H628/H612)*BF60</f>
        <v>75758.633684400455</v>
      </c>
      <c r="I629" s="180">
        <f>SUM(C629:H629)</f>
        <v>1984502.0194099187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616268.31999999995</v>
      </c>
      <c r="D630" s="180">
        <f>(D615/D612)*BA76</f>
        <v>75619.699123005237</v>
      </c>
      <c r="E630" s="180">
        <f>(E623/E612)*SUM(C630:D630)</f>
        <v>-2419.6108357917146</v>
      </c>
      <c r="F630" s="180">
        <f>(F624/F612)*BA64</f>
        <v>8948.8021383551204</v>
      </c>
      <c r="G630" s="180">
        <f>(G625/G612)*BA77</f>
        <v>0</v>
      </c>
      <c r="H630" s="180">
        <f>(H628/H612)*BA60</f>
        <v>17559.550641068345</v>
      </c>
      <c r="I630" s="180">
        <f>(I629/I612)*BA78</f>
        <v>22652.446842335557</v>
      </c>
      <c r="J630" s="180">
        <f>SUM(C630:I630)</f>
        <v>738629.20790897252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1698750.0200000003</v>
      </c>
      <c r="D632" s="180">
        <f>(D615/D612)*BB76</f>
        <v>6620.9082360525972</v>
      </c>
      <c r="E632" s="180">
        <f>(E623/E612)*SUM(C632:D632)</f>
        <v>-5963.8754581043559</v>
      </c>
      <c r="F632" s="180">
        <f>(F624/F612)*BB64</f>
        <v>372.37169027885778</v>
      </c>
      <c r="G632" s="180">
        <f>(G625/G612)*BB77</f>
        <v>0</v>
      </c>
      <c r="H632" s="180">
        <f>(H628/H612)*BB60</f>
        <v>33352.134450695063</v>
      </c>
      <c r="I632" s="180">
        <f>(I629/I612)*BB78</f>
        <v>1977.8038570141639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1061985.1000000001</v>
      </c>
      <c r="D634" s="180">
        <f>(D615/D612)*BI76</f>
        <v>5207.4559159964247</v>
      </c>
      <c r="E634" s="180">
        <f>(E623/E612)*SUM(C634:D634)</f>
        <v>-3732.093345746363</v>
      </c>
      <c r="F634" s="180">
        <f>(F624/F612)*BI64</f>
        <v>1115.4290549453085</v>
      </c>
      <c r="G634" s="180">
        <f>(G625/G612)*BI77</f>
        <v>0</v>
      </c>
      <c r="H634" s="180">
        <f>(H628/H612)*BI60</f>
        <v>36870.503849270783</v>
      </c>
      <c r="I634" s="180">
        <f>(I629/I612)*BI78</f>
        <v>649589.89879773196</v>
      </c>
      <c r="J634" s="180">
        <f>(J630/J612)*BI79</f>
        <v>35150.705497072697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2637329.16</v>
      </c>
      <c r="D635" s="180">
        <f>(D615/D612)*BK76</f>
        <v>92990.284214221872</v>
      </c>
      <c r="E635" s="180">
        <f>(E623/E612)*SUM(C635:D635)</f>
        <v>-9548.2366073736848</v>
      </c>
      <c r="F635" s="180">
        <f>(F624/F612)*BK64</f>
        <v>2378.2465637957139</v>
      </c>
      <c r="G635" s="180">
        <f>(G625/G612)*BK77</f>
        <v>0</v>
      </c>
      <c r="H635" s="180">
        <f>(H628/H612)*BK60</f>
        <v>68457.262124255518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6362180.0099999998</v>
      </c>
      <c r="D636" s="180">
        <f>(D615/D612)*BH76</f>
        <v>38404.987380473634</v>
      </c>
      <c r="E636" s="180">
        <f>(E623/E612)*SUM(C636:D636)</f>
        <v>-22383.571310712898</v>
      </c>
      <c r="F636" s="180">
        <f>(F624/F612)*BH64</f>
        <v>23750.629987082324</v>
      </c>
      <c r="G636" s="180">
        <f>(G625/G612)*BH77</f>
        <v>0</v>
      </c>
      <c r="H636" s="180">
        <f>(H628/H612)*BH60</f>
        <v>60894.499517227756</v>
      </c>
      <c r="I636" s="180">
        <f>(I629/I612)*BH78</f>
        <v>11497.633088775672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3675397.0300000003</v>
      </c>
      <c r="D637" s="180">
        <f>(D615/D612)*BL76</f>
        <v>232810.47555872588</v>
      </c>
      <c r="E637" s="180">
        <f>(E623/E612)*SUM(C637:D637)</f>
        <v>-13667.444684124866</v>
      </c>
      <c r="F637" s="180">
        <f>(F624/F612)*BL64</f>
        <v>2909.3549994748041</v>
      </c>
      <c r="G637" s="180">
        <f>(G625/G612)*BL77</f>
        <v>0</v>
      </c>
      <c r="H637" s="180">
        <f>(H628/H612)*BL60</f>
        <v>140057.31768055572</v>
      </c>
      <c r="I637" s="180">
        <f>(I629/I612)*BL78</f>
        <v>69697.807921179134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1153684.45</v>
      </c>
      <c r="D642" s="180">
        <f>(D615/D612)*BV76</f>
        <v>0</v>
      </c>
      <c r="E642" s="180">
        <f>(E623/E612)*SUM(C642:D642)</f>
        <v>-4034.5653041408304</v>
      </c>
      <c r="F642" s="180">
        <f>(F624/F612)*BV64</f>
        <v>634.28779583262246</v>
      </c>
      <c r="G642" s="180">
        <f>(G625/G612)*BV77</f>
        <v>0</v>
      </c>
      <c r="H642" s="180">
        <f>(H628/H612)*BV60</f>
        <v>34235.290674572418</v>
      </c>
      <c r="I642" s="180">
        <f>(I629/I612)*BV78</f>
        <v>27715.624716291819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378265.87999999995</v>
      </c>
      <c r="D643" s="180">
        <f>(D615/D612)*BW76</f>
        <v>2640.9240716839013</v>
      </c>
      <c r="E643" s="180">
        <f>(E623/E612)*SUM(C643:D643)</f>
        <v>-1332.0742737052449</v>
      </c>
      <c r="F643" s="180">
        <f>(F624/F612)*BW64</f>
        <v>1853.9342326633903</v>
      </c>
      <c r="G643" s="180">
        <f>(G625/G612)*BW77</f>
        <v>0</v>
      </c>
      <c r="H643" s="180">
        <f>(H628/H612)*BW60</f>
        <v>6336.8502753791208</v>
      </c>
      <c r="I643" s="180">
        <f>(I629/I612)*BW78</f>
        <v>791.12154280566551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18495243.532710142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1103296.4400000002</v>
      </c>
      <c r="D645" s="180">
        <f>(D615/D612)*BY76</f>
        <v>23935.699156740709</v>
      </c>
      <c r="E645" s="180">
        <f>(E623/E612)*SUM(C645:D645)</f>
        <v>-3942.0585744691589</v>
      </c>
      <c r="F645" s="180">
        <f>(F624/F612)*BY64</f>
        <v>203.5641755473649</v>
      </c>
      <c r="G645" s="180">
        <f>(G625/G612)*BY77</f>
        <v>0</v>
      </c>
      <c r="H645" s="180">
        <f>(H628/H612)*BY60</f>
        <v>15313.111848494276</v>
      </c>
      <c r="I645" s="180">
        <f>(I629/I612)*BY78</f>
        <v>7172.835321438035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441243.21</v>
      </c>
      <c r="D647" s="180">
        <f>(D615/D612)*CA76</f>
        <v>13613.777608962082</v>
      </c>
      <c r="E647" s="180">
        <f>(E623/E612)*SUM(C647:D647)</f>
        <v>-1590.6864485805752</v>
      </c>
      <c r="F647" s="180">
        <f>(F624/F612)*CA64</f>
        <v>1043.3103267454508</v>
      </c>
      <c r="G647" s="180">
        <f>(G625/G612)*CA77</f>
        <v>0</v>
      </c>
      <c r="H647" s="180">
        <f>(H628/H612)*CA60</f>
        <v>8511.4679414525617</v>
      </c>
      <c r="I647" s="180">
        <f>(I629/I612)*CA78</f>
        <v>4087.4613044959387</v>
      </c>
      <c r="J647" s="180">
        <f>(J630/J612)*CA79</f>
        <v>0</v>
      </c>
      <c r="K647" s="180">
        <v>0</v>
      </c>
      <c r="L647" s="180">
        <f>SUM(C645:K647)</f>
        <v>1612888.1326608269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31509864.669999998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5835826.1699999999</v>
      </c>
      <c r="D668" s="180">
        <f>(D615/D612)*C76</f>
        <v>135486.84410012126</v>
      </c>
      <c r="E668" s="180">
        <f>(E623/E612)*SUM(C668:D668)</f>
        <v>-20882.358522603783</v>
      </c>
      <c r="F668" s="180">
        <f>(F624/F612)*C64</f>
        <v>16030.580897776501</v>
      </c>
      <c r="G668" s="180">
        <f>(G625/G612)*C77</f>
        <v>593187.9247777079</v>
      </c>
      <c r="H668" s="180">
        <f>(H628/H612)*C60</f>
        <v>98232.656151500967</v>
      </c>
      <c r="I668" s="180">
        <f>(I629/I612)*C78</f>
        <v>40558.164427837124</v>
      </c>
      <c r="J668" s="180">
        <f>(J630/J612)*C79</f>
        <v>92940.091009852462</v>
      </c>
      <c r="K668" s="180">
        <f>(K644/K612)*C75</f>
        <v>640526.5449769164</v>
      </c>
      <c r="L668" s="180">
        <f>(L647/L612)*C80</f>
        <v>264401.91060895845</v>
      </c>
      <c r="M668" s="180">
        <f t="shared" ref="M668:M713" si="20">ROUND(SUM(D668:L668),0)</f>
        <v>1860482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10061722.0165</v>
      </c>
      <c r="D670" s="180">
        <f>(D615/D612)*E76</f>
        <v>599303.78370381717</v>
      </c>
      <c r="E670" s="180">
        <f>(E623/E612)*SUM(C670:D670)</f>
        <v>-37282.815764789542</v>
      </c>
      <c r="F670" s="180">
        <f>(F624/F612)*E64</f>
        <v>22435.775413586591</v>
      </c>
      <c r="G670" s="180">
        <f>(G625/G612)*E77</f>
        <v>2038672.0812575317</v>
      </c>
      <c r="H670" s="180">
        <f>(H628/H612)*E60</f>
        <v>183895.90883370794</v>
      </c>
      <c r="I670" s="180">
        <f>(I629/I612)*E78</f>
        <v>179452.73662641848</v>
      </c>
      <c r="J670" s="180">
        <f>(J630/J612)*E79</f>
        <v>157046.78423828288</v>
      </c>
      <c r="K670" s="180">
        <f>(K644/K612)*E75</f>
        <v>1126583.2988879588</v>
      </c>
      <c r="L670" s="180">
        <f>(L647/L612)*E80</f>
        <v>421757.55703278066</v>
      </c>
      <c r="M670" s="180">
        <f t="shared" si="20"/>
        <v>4691865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795643.75919999997</v>
      </c>
      <c r="D675" s="180">
        <f>(D615/D612)*J76</f>
        <v>17779.742341759222</v>
      </c>
      <c r="E675" s="180">
        <f>(E623/E612)*SUM(C675:D675)</f>
        <v>-2844.6341951589338</v>
      </c>
      <c r="F675" s="180">
        <f>(F624/F612)*J64</f>
        <v>2359.8145434032936</v>
      </c>
      <c r="G675" s="180">
        <f>(G625/G612)*J77</f>
        <v>0</v>
      </c>
      <c r="H675" s="180">
        <f>(H628/H612)*J60</f>
        <v>11111.194190832088</v>
      </c>
      <c r="I675" s="180">
        <f>(I629/I612)*J78</f>
        <v>5326.8850548914816</v>
      </c>
      <c r="J675" s="180">
        <f>(J630/J612)*J79</f>
        <v>4230.8630012282256</v>
      </c>
      <c r="K675" s="180">
        <f>(K644/K612)*J75</f>
        <v>92197.214721548196</v>
      </c>
      <c r="L675" s="180">
        <f>(L647/L612)*J80</f>
        <v>35515.389047186429</v>
      </c>
      <c r="M675" s="180">
        <f t="shared" si="20"/>
        <v>165676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535925.92379999987</v>
      </c>
      <c r="D680" s="180">
        <f>(D615/D612)*O76</f>
        <v>46755.514902910756</v>
      </c>
      <c r="E680" s="180">
        <f>(E623/E612)*SUM(C680:D680)</f>
        <v>-2037.7030443269177</v>
      </c>
      <c r="F680" s="180">
        <f>(F624/F612)*O64</f>
        <v>1432.7447440593028</v>
      </c>
      <c r="G680" s="180">
        <f>(G625/G612)*O77</f>
        <v>0</v>
      </c>
      <c r="H680" s="180">
        <f>(H628/H612)*O60</f>
        <v>6746.0822620776171</v>
      </c>
      <c r="I680" s="180">
        <f>(I629/I612)*O78</f>
        <v>14002.851307660281</v>
      </c>
      <c r="J680" s="180">
        <f>(J630/J612)*O79</f>
        <v>34141.603002774616</v>
      </c>
      <c r="K680" s="180">
        <f>(K644/K612)*O75</f>
        <v>55976.880384792123</v>
      </c>
      <c r="L680" s="180">
        <f>(L647/L612)*O80</f>
        <v>21562.914778648901</v>
      </c>
      <c r="M680" s="180">
        <f t="shared" si="20"/>
        <v>178581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9636511.7799999993</v>
      </c>
      <c r="D681" s="180">
        <f>(D615/D612)*P76</f>
        <v>217690.25534549341</v>
      </c>
      <c r="E681" s="180">
        <f>(E623/E612)*SUM(C681:D681)</f>
        <v>-34461.261596963435</v>
      </c>
      <c r="F681" s="180">
        <f>(F624/F612)*P64</f>
        <v>290159.49000936397</v>
      </c>
      <c r="G681" s="180">
        <f>(G625/G612)*P77</f>
        <v>0</v>
      </c>
      <c r="H681" s="180">
        <f>(H628/H612)*P60</f>
        <v>63536.004842761969</v>
      </c>
      <c r="I681" s="180">
        <f>(I629/I612)*P78</f>
        <v>65188.41512718684</v>
      </c>
      <c r="J681" s="180">
        <f>(J630/J612)*P79</f>
        <v>61237.605286832455</v>
      </c>
      <c r="K681" s="180">
        <f>(K644/K612)*P75</f>
        <v>1590118.6930210714</v>
      </c>
      <c r="L681" s="180">
        <f>(L647/L612)*P80</f>
        <v>109642.63245955532</v>
      </c>
      <c r="M681" s="180">
        <f t="shared" si="20"/>
        <v>2363112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739710.21000000008</v>
      </c>
      <c r="D682" s="180">
        <f>(D615/D612)*Q76</f>
        <v>26372.044603153325</v>
      </c>
      <c r="E682" s="180">
        <f>(E623/E612)*SUM(C682:D682)</f>
        <v>-2679.0764879771632</v>
      </c>
      <c r="F682" s="180">
        <f>(F624/F612)*Q64</f>
        <v>1923.420134853159</v>
      </c>
      <c r="G682" s="180">
        <f>(G625/G612)*Q77</f>
        <v>0</v>
      </c>
      <c r="H682" s="180">
        <f>(H628/H612)*Q60</f>
        <v>9475.3952471794382</v>
      </c>
      <c r="I682" s="180">
        <f>(I629/I612)*Q78</f>
        <v>7884.8447099631339</v>
      </c>
      <c r="J682" s="180">
        <f>(J630/J612)*Q79</f>
        <v>11182.860556201009</v>
      </c>
      <c r="K682" s="180">
        <f>(K644/K612)*Q75</f>
        <v>88691.413675268035</v>
      </c>
      <c r="L682" s="180">
        <f>(L647/L612)*Q80</f>
        <v>35791.782286862304</v>
      </c>
      <c r="M682" s="180">
        <f t="shared" si="20"/>
        <v>178643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812618.06</v>
      </c>
      <c r="D683" s="180">
        <f>(D615/D612)*R76</f>
        <v>10638.088514106983</v>
      </c>
      <c r="E683" s="180">
        <f>(E623/E612)*SUM(C683:D683)</f>
        <v>-2879.0200762570971</v>
      </c>
      <c r="F683" s="180">
        <f>(F624/F612)*R64</f>
        <v>11191.45564451921</v>
      </c>
      <c r="G683" s="180">
        <f>(G625/G612)*R77</f>
        <v>0</v>
      </c>
      <c r="H683" s="180">
        <f>(H628/H612)*R60</f>
        <v>2182.9937772661133</v>
      </c>
      <c r="I683" s="180">
        <f>(I629/I612)*R78</f>
        <v>3190.8568893161846</v>
      </c>
      <c r="J683" s="180">
        <f>(J630/J612)*R79</f>
        <v>0</v>
      </c>
      <c r="K683" s="180">
        <f>(K644/K612)*R75</f>
        <v>189849.49490117966</v>
      </c>
      <c r="L683" s="180">
        <f>(L647/L612)*R80</f>
        <v>79.840941447021692</v>
      </c>
      <c r="M683" s="180">
        <f t="shared" si="20"/>
        <v>214254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1229469.19</v>
      </c>
      <c r="D684" s="180">
        <f>(D615/D612)*S76</f>
        <v>57616.780099131873</v>
      </c>
      <c r="E684" s="180">
        <f>(E623/E612)*SUM(C684:D684)</f>
        <v>-4501.085542418813</v>
      </c>
      <c r="F684" s="180">
        <f>(F624/F612)*S64</f>
        <v>9305.8614692418232</v>
      </c>
      <c r="G684" s="180">
        <f>(G625/G612)*S77</f>
        <v>0</v>
      </c>
      <c r="H684" s="180">
        <f>(H628/H612)*S60</f>
        <v>31057.835042003255</v>
      </c>
      <c r="I684" s="180">
        <f>(I629/I612)*S78</f>
        <v>17246.449633163509</v>
      </c>
      <c r="J684" s="180">
        <f>(J630/J612)*S79</f>
        <v>7759.4003286870493</v>
      </c>
      <c r="K684" s="180">
        <f>(K644/K612)*S75</f>
        <v>0</v>
      </c>
      <c r="L684" s="180">
        <f>(L647/L612)*S80</f>
        <v>0</v>
      </c>
      <c r="M684" s="180">
        <f t="shared" si="20"/>
        <v>118485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217748.34</v>
      </c>
      <c r="D685" s="180">
        <f>(D615/D612)*T76</f>
        <v>0</v>
      </c>
      <c r="E685" s="180">
        <f>(E623/E612)*SUM(C685:D685)</f>
        <v>-761.49062908688859</v>
      </c>
      <c r="F685" s="180">
        <f>(F624/F612)*T64</f>
        <v>6963.6037624095316</v>
      </c>
      <c r="G685" s="180">
        <f>(G625/G612)*T77</f>
        <v>0</v>
      </c>
      <c r="H685" s="180">
        <f>(H628/H612)*T60</f>
        <v>1274.0951058891712</v>
      </c>
      <c r="I685" s="180">
        <f>(I629/I612)*T78</f>
        <v>0</v>
      </c>
      <c r="J685" s="180">
        <f>(J630/J612)*T79</f>
        <v>0</v>
      </c>
      <c r="K685" s="180">
        <f>(K644/K612)*T75</f>
        <v>36589.925019530849</v>
      </c>
      <c r="L685" s="180">
        <f>(L647/L612)*T80</f>
        <v>4812.6838106438981</v>
      </c>
      <c r="M685" s="180">
        <f t="shared" si="20"/>
        <v>48879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9438820.3800000008</v>
      </c>
      <c r="D686" s="180">
        <f>(D615/D612)*U76</f>
        <v>189569.99339911272</v>
      </c>
      <c r="E686" s="180">
        <f>(E623/E612)*SUM(C686:D686)</f>
        <v>-33671.572616966143</v>
      </c>
      <c r="F686" s="180">
        <f>(F624/F612)*U64</f>
        <v>91464.246887005473</v>
      </c>
      <c r="G686" s="180">
        <f>(G625/G612)*U77</f>
        <v>0</v>
      </c>
      <c r="H686" s="180">
        <f>(H628/H612)*U60</f>
        <v>142681.07410701216</v>
      </c>
      <c r="I686" s="180">
        <f>(I629/I612)*U78</f>
        <v>56776.156055353269</v>
      </c>
      <c r="J686" s="180">
        <f>(J630/J612)*U79</f>
        <v>963.20674949457884</v>
      </c>
      <c r="K686" s="180">
        <f>(K644/K612)*U75</f>
        <v>1579322.9078424789</v>
      </c>
      <c r="L686" s="180">
        <f>(L647/L612)*U80</f>
        <v>0</v>
      </c>
      <c r="M686" s="180">
        <f t="shared" si="20"/>
        <v>2027106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3931721.1800000006</v>
      </c>
      <c r="D687" s="180">
        <f>(D615/D612)*V76</f>
        <v>202532.83901857524</v>
      </c>
      <c r="E687" s="180">
        <f>(E623/E612)*SUM(C687:D687)</f>
        <v>-14457.954966487701</v>
      </c>
      <c r="F687" s="180">
        <f>(F624/F612)*V64</f>
        <v>29199.608396308995</v>
      </c>
      <c r="G687" s="180">
        <f>(G625/G612)*V77</f>
        <v>0</v>
      </c>
      <c r="H687" s="180">
        <f>(H628/H612)*V60</f>
        <v>65477.329690725091</v>
      </c>
      <c r="I687" s="180">
        <f>(I629/I612)*V78</f>
        <v>60652.651615101029</v>
      </c>
      <c r="J687" s="180">
        <f>(J630/J612)*V79</f>
        <v>0</v>
      </c>
      <c r="K687" s="180">
        <f>(K644/K612)*V75</f>
        <v>795504.88286010327</v>
      </c>
      <c r="L687" s="180">
        <f>(L647/L612)*V80</f>
        <v>22732.440988578583</v>
      </c>
      <c r="M687" s="180">
        <f t="shared" si="20"/>
        <v>1161642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953082.71</v>
      </c>
      <c r="D688" s="180">
        <f>(D615/D612)*W76</f>
        <v>0</v>
      </c>
      <c r="E688" s="180">
        <f>(E623/E612)*SUM(C688:D688)</f>
        <v>-3333.0382790047288</v>
      </c>
      <c r="F688" s="180">
        <f>(F624/F612)*W64</f>
        <v>1797.4552184180466</v>
      </c>
      <c r="G688" s="180">
        <f>(G625/G612)*W77</f>
        <v>0</v>
      </c>
      <c r="H688" s="180">
        <f>(H628/H612)*W60</f>
        <v>13502.895289067414</v>
      </c>
      <c r="I688" s="180">
        <f>(I629/I612)*W78</f>
        <v>0</v>
      </c>
      <c r="J688" s="180">
        <f>(J630/J612)*W79</f>
        <v>0</v>
      </c>
      <c r="K688" s="180">
        <f>(K644/K612)*W75</f>
        <v>770011.26725535467</v>
      </c>
      <c r="L688" s="180">
        <f>(L647/L612)*W80</f>
        <v>0</v>
      </c>
      <c r="M688" s="180">
        <f t="shared" si="20"/>
        <v>781979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1282584.17</v>
      </c>
      <c r="D689" s="180">
        <f>(D615/D612)*X76</f>
        <v>18133.105421773267</v>
      </c>
      <c r="E689" s="180">
        <f>(E623/E612)*SUM(C689:D689)</f>
        <v>-4548.7557623865678</v>
      </c>
      <c r="F689" s="180">
        <f>(F624/F612)*X64</f>
        <v>6029.4854877365096</v>
      </c>
      <c r="G689" s="180">
        <f>(G625/G612)*X77</f>
        <v>0</v>
      </c>
      <c r="H689" s="180">
        <f>(H628/H612)*X60</f>
        <v>19264.210078073134</v>
      </c>
      <c r="I689" s="180">
        <f>(I629/I612)*X78</f>
        <v>5432.36792726557</v>
      </c>
      <c r="J689" s="180">
        <f>(J630/J612)*X79</f>
        <v>0</v>
      </c>
      <c r="K689" s="180">
        <f>(K644/K612)*X75</f>
        <v>1398520.7380723257</v>
      </c>
      <c r="L689" s="180">
        <f>(L647/L612)*X80</f>
        <v>0</v>
      </c>
      <c r="M689" s="180">
        <f t="shared" si="20"/>
        <v>1442831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7695947.6799999997</v>
      </c>
      <c r="D690" s="180">
        <f>(D615/D612)*Y76</f>
        <v>533224.88774119108</v>
      </c>
      <c r="E690" s="180">
        <f>(E623/E612)*SUM(C690:D690)</f>
        <v>-28778.349334253504</v>
      </c>
      <c r="F690" s="180">
        <f>(F624/F612)*Y64</f>
        <v>15430.493539793963</v>
      </c>
      <c r="G690" s="180">
        <f>(G625/G612)*Y77</f>
        <v>0</v>
      </c>
      <c r="H690" s="180">
        <f>(H628/H612)*Y60</f>
        <v>135621.46208314231</v>
      </c>
      <c r="I690" s="180">
        <f>(I629/I612)*Y78</f>
        <v>159674.69805627683</v>
      </c>
      <c r="J690" s="180">
        <f>(J630/J612)*Y79</f>
        <v>64098.238749124503</v>
      </c>
      <c r="K690" s="180">
        <f>(K644/K612)*Y75</f>
        <v>1352725.529690349</v>
      </c>
      <c r="L690" s="180">
        <f>(L647/L612)*Y80</f>
        <v>22617.985877660598</v>
      </c>
      <c r="M690" s="180">
        <f t="shared" si="20"/>
        <v>2254615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4322917.6099999994</v>
      </c>
      <c r="D691" s="180">
        <f>(D615/D612)*Z76</f>
        <v>193419.7911655815</v>
      </c>
      <c r="E691" s="180">
        <f>(E623/E612)*SUM(C691:D691)</f>
        <v>-15794.143867100074</v>
      </c>
      <c r="F691" s="180">
        <f>(F624/F612)*Z64</f>
        <v>4172.1355760156093</v>
      </c>
      <c r="G691" s="180">
        <f>(G625/G612)*Z77</f>
        <v>0</v>
      </c>
      <c r="H691" s="180">
        <f>(H628/H612)*Z60</f>
        <v>33754.761632099551</v>
      </c>
      <c r="I691" s="180">
        <f>(I629/I612)*Z78</f>
        <v>57910.09693337472</v>
      </c>
      <c r="J691" s="180">
        <f>(J630/J612)*Z79</f>
        <v>11114.016938995755</v>
      </c>
      <c r="K691" s="180">
        <f>(K644/K612)*Z75</f>
        <v>675197.28411227698</v>
      </c>
      <c r="L691" s="180">
        <f>(L647/L612)*Z80</f>
        <v>0</v>
      </c>
      <c r="M691" s="180">
        <f t="shared" si="20"/>
        <v>959774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593585.40999999992</v>
      </c>
      <c r="D692" s="180">
        <f>(D615/D612)*AA76</f>
        <v>20495.058640814503</v>
      </c>
      <c r="E692" s="180">
        <f>(E623/E612)*SUM(C692:D692)</f>
        <v>-2147.509011436161</v>
      </c>
      <c r="F692" s="180">
        <f>(F624/F612)*AA64</f>
        <v>21362.613148656179</v>
      </c>
      <c r="G692" s="180">
        <f>(G625/G612)*AA77</f>
        <v>0</v>
      </c>
      <c r="H692" s="180">
        <f>(H628/H612)*AA60</f>
        <v>2439.8242732231492</v>
      </c>
      <c r="I692" s="180">
        <f>(I629/I612)*AA78</f>
        <v>6144.3773157906689</v>
      </c>
      <c r="J692" s="180">
        <f>(J630/J612)*AA79</f>
        <v>0</v>
      </c>
      <c r="K692" s="180">
        <f>(K644/K612)*AA75</f>
        <v>49496.949507590929</v>
      </c>
      <c r="L692" s="180">
        <f>(L647/L612)*AA80</f>
        <v>0</v>
      </c>
      <c r="M692" s="180">
        <f t="shared" si="20"/>
        <v>97791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14801232.790000001</v>
      </c>
      <c r="D693" s="180">
        <f>(D615/D612)*AB76</f>
        <v>43073.099648027572</v>
      </c>
      <c r="E693" s="180">
        <f>(E623/E612)*SUM(C693:D693)</f>
        <v>-51912.220457185947</v>
      </c>
      <c r="F693" s="180">
        <f>(F624/F612)*AB64</f>
        <v>684551.49799573806</v>
      </c>
      <c r="G693" s="180">
        <f>(G625/G612)*AB77</f>
        <v>0</v>
      </c>
      <c r="H693" s="180">
        <f>(H628/H612)*AB60</f>
        <v>41088.651027764077</v>
      </c>
      <c r="I693" s="180">
        <f>(I629/I612)*AB78</f>
        <v>12895.281147732348</v>
      </c>
      <c r="J693" s="180">
        <f>(J630/J612)*AB79</f>
        <v>455.93799114006708</v>
      </c>
      <c r="K693" s="180">
        <f>(K644/K612)*AB75</f>
        <v>2344418.4271981353</v>
      </c>
      <c r="L693" s="180">
        <f>(L647/L612)*AB80</f>
        <v>0</v>
      </c>
      <c r="M693" s="180">
        <f t="shared" si="20"/>
        <v>3074571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1346938.83</v>
      </c>
      <c r="D694" s="180">
        <f>(D615/D612)*AC76</f>
        <v>44579.542252297964</v>
      </c>
      <c r="E694" s="180">
        <f>(E623/E612)*SUM(C694:D694)</f>
        <v>-4866.2974912799136</v>
      </c>
      <c r="F694" s="180">
        <f>(F624/F612)*AC64</f>
        <v>8016.7587879850571</v>
      </c>
      <c r="G694" s="180">
        <f>(G625/G612)*AC77</f>
        <v>0</v>
      </c>
      <c r="H694" s="180">
        <f>(H628/H612)*AC60</f>
        <v>25578.398543001891</v>
      </c>
      <c r="I694" s="180">
        <f>(I629/I612)*AC78</f>
        <v>13343.583355322226</v>
      </c>
      <c r="J694" s="180">
        <f>(J630/J612)*AC79</f>
        <v>3.6233482739607981</v>
      </c>
      <c r="K694" s="180">
        <f>(K644/K612)*AC75</f>
        <v>172744.62047411411</v>
      </c>
      <c r="L694" s="180">
        <f>(L647/L612)*AC80</f>
        <v>0</v>
      </c>
      <c r="M694" s="180">
        <f t="shared" si="20"/>
        <v>259400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3805193.1799999992</v>
      </c>
      <c r="D696" s="180">
        <f>(D615/D612)*AE76</f>
        <v>100076.14387134559</v>
      </c>
      <c r="E696" s="180">
        <f>(E623/E612)*SUM(C696:D696)</f>
        <v>-13657.169529689725</v>
      </c>
      <c r="F696" s="180">
        <f>(F624/F612)*AE64</f>
        <v>2841.9736793517618</v>
      </c>
      <c r="G696" s="180">
        <f>(G625/G612)*AE77</f>
        <v>0</v>
      </c>
      <c r="H696" s="180">
        <f>(H628/H612)*AE60</f>
        <v>78845.442075168146</v>
      </c>
      <c r="I696" s="180">
        <f>(I629/I612)*AE78</f>
        <v>29957.135754241204</v>
      </c>
      <c r="J696" s="180">
        <f>(J630/J612)*AE79</f>
        <v>13326.071060248822</v>
      </c>
      <c r="K696" s="180">
        <f>(K644/K612)*AE75</f>
        <v>357124.90499518928</v>
      </c>
      <c r="L696" s="180">
        <f>(L647/L612)*AE80</f>
        <v>0</v>
      </c>
      <c r="M696" s="180">
        <f t="shared" si="20"/>
        <v>568515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11060590.370000001</v>
      </c>
      <c r="D698" s="180">
        <f>(D615/D612)*AG76</f>
        <v>128977.52420512574</v>
      </c>
      <c r="E698" s="180">
        <f>(E623/E612)*SUM(C698:D698)</f>
        <v>-39131.187383420292</v>
      </c>
      <c r="F698" s="180">
        <f>(F624/F612)*AG64</f>
        <v>29096.647272530365</v>
      </c>
      <c r="G698" s="180">
        <f>(G625/G612)*AG77</f>
        <v>0</v>
      </c>
      <c r="H698" s="180">
        <f>(H628/H612)*AG60</f>
        <v>108509.49020122248</v>
      </c>
      <c r="I698" s="180">
        <f>(I629/I612)*AG78</f>
        <v>38633.102007009998</v>
      </c>
      <c r="J698" s="180">
        <f>(J630/J612)*AG79</f>
        <v>158341.52735484487</v>
      </c>
      <c r="K698" s="180">
        <f>(K644/K612)*AG75</f>
        <v>1428239.4330480446</v>
      </c>
      <c r="L698" s="180">
        <f>(L647/L612)*AG80</f>
        <v>294478.16574791272</v>
      </c>
      <c r="M698" s="180">
        <f t="shared" si="20"/>
        <v>2147145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-1538.8600000000001</v>
      </c>
      <c r="D699" s="180">
        <f>(D615/D612)*AH76</f>
        <v>0</v>
      </c>
      <c r="E699" s="180">
        <f>(E623/E612)*SUM(C699:D699)</f>
        <v>5.3815678662654758</v>
      </c>
      <c r="F699" s="180">
        <f>(F624/F612)*AH64</f>
        <v>0.17402951947669051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6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2965069.5100000002</v>
      </c>
      <c r="D700" s="180">
        <f>(D615/D612)*AI76</f>
        <v>235674.57631252392</v>
      </c>
      <c r="E700" s="180">
        <f>(E623/E612)*SUM(C700:D700)</f>
        <v>-11193.364908463882</v>
      </c>
      <c r="F700" s="180">
        <f>(F624/F612)*AI64</f>
        <v>15244.867275103014</v>
      </c>
      <c r="G700" s="180">
        <f>(G625/G612)*AI77</f>
        <v>0</v>
      </c>
      <c r="H700" s="180">
        <f>(H628/H612)*AI60</f>
        <v>44096.772297039082</v>
      </c>
      <c r="I700" s="180">
        <f>(I629/I612)*AI78</f>
        <v>70568.041618265372</v>
      </c>
      <c r="J700" s="180">
        <f>(J630/J612)*AI79</f>
        <v>50534.234485552261</v>
      </c>
      <c r="K700" s="180">
        <f>(K644/K612)*AI75</f>
        <v>188934.0322164036</v>
      </c>
      <c r="L700" s="180">
        <f>(L647/L612)*AI80</f>
        <v>128096.73253080394</v>
      </c>
      <c r="M700" s="180">
        <f t="shared" si="20"/>
        <v>721956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39098945.88000001</v>
      </c>
      <c r="D701" s="180">
        <f>(D615/D612)*AJ76</f>
        <v>1122225.3479540725</v>
      </c>
      <c r="E701" s="180">
        <f>(E623/E612)*SUM(C701:D701)</f>
        <v>-140657.99528476872</v>
      </c>
      <c r="F701" s="180">
        <f>(F624/F612)*AJ64</f>
        <v>94320.59283059591</v>
      </c>
      <c r="G701" s="180">
        <f>(G625/G612)*AJ77</f>
        <v>0</v>
      </c>
      <c r="H701" s="180">
        <f>(H628/H612)*AJ60</f>
        <v>496707.00793688634</v>
      </c>
      <c r="I701" s="180">
        <f>(I629/I612)*AJ78</f>
        <v>298674.75312723225</v>
      </c>
      <c r="J701" s="180">
        <f>(J630/J612)*AJ79</f>
        <v>30576.832192576181</v>
      </c>
      <c r="K701" s="180">
        <f>(K644/K612)*AJ75</f>
        <v>2820539.8212986747</v>
      </c>
      <c r="L701" s="180">
        <f>(L647/L612)*AJ80</f>
        <v>43271.671029420184</v>
      </c>
      <c r="M701" s="180">
        <f t="shared" si="20"/>
        <v>4765658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1693336.1600000001</v>
      </c>
      <c r="D707" s="180">
        <f>(D615/D612)*AP76</f>
        <v>154568.45042087961</v>
      </c>
      <c r="E707" s="180">
        <f>(E623/E612)*SUM(C707:D707)</f>
        <v>-6462.3319024244101</v>
      </c>
      <c r="F707" s="180">
        <f>(F624/F612)*AP64</f>
        <v>7799.6225482403061</v>
      </c>
      <c r="G707" s="180">
        <f>(G625/G612)*AP77</f>
        <v>0</v>
      </c>
      <c r="H707" s="180">
        <f>(H628/H612)*AP60</f>
        <v>17733.586499467048</v>
      </c>
      <c r="I707" s="180">
        <f>(I629/I612)*AP78</f>
        <v>13369.954073415749</v>
      </c>
      <c r="J707" s="180">
        <f>(J630/J612)*AP79</f>
        <v>2826.2116536894223</v>
      </c>
      <c r="K707" s="180">
        <f>(K644/K612)*AP75</f>
        <v>144833.71631269692</v>
      </c>
      <c r="L707" s="180">
        <f>(L647/L612)*AP80</f>
        <v>0</v>
      </c>
      <c r="M707" s="180">
        <f t="shared" si="20"/>
        <v>334669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6844123.0200000005</v>
      </c>
      <c r="D709" s="180">
        <f>(D615/D612)*AR76</f>
        <v>108333.68110956848</v>
      </c>
      <c r="E709" s="180">
        <f>(E623/E612)*SUM(C709:D709)</f>
        <v>-24313.529219222884</v>
      </c>
      <c r="F709" s="180">
        <f>(F624/F612)*AR64</f>
        <v>11114.226827663848</v>
      </c>
      <c r="G709" s="180">
        <f>(G625/G612)*AR77</f>
        <v>0</v>
      </c>
      <c r="H709" s="180">
        <f>(H628/H612)*AR60</f>
        <v>136018.62264390063</v>
      </c>
      <c r="I709" s="180">
        <f>(I629/I612)*AR78</f>
        <v>32435.98325503229</v>
      </c>
      <c r="J709" s="180">
        <f>(J630/J612)*AR79</f>
        <v>0</v>
      </c>
      <c r="K709" s="180">
        <f>(K644/K612)*AR75</f>
        <v>400273.05566602456</v>
      </c>
      <c r="L709" s="180">
        <f>(L647/L612)*AR80</f>
        <v>190900.64383410951</v>
      </c>
      <c r="M709" s="180">
        <f t="shared" si="20"/>
        <v>854763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4230308.88</v>
      </c>
      <c r="D713" s="180">
        <f>(D615/D612)*AV76</f>
        <v>0</v>
      </c>
      <c r="E713" s="180">
        <f>(E623/E612)*SUM(C713:D713)</f>
        <v>-14793.869704187186</v>
      </c>
      <c r="F713" s="180">
        <f>(F624/F612)*AV64</f>
        <v>1956.2440047999878</v>
      </c>
      <c r="G713" s="180">
        <f>(G625/G612)*AV77</f>
        <v>0</v>
      </c>
      <c r="H713" s="180">
        <f>(H628/H612)*AV60</f>
        <v>33558.285446959904</v>
      </c>
      <c r="I713" s="180">
        <f>(I629/I612)*AV78</f>
        <v>0</v>
      </c>
      <c r="J713" s="180">
        <f>(J630/J612)*AV79</f>
        <v>2699.3944641007947</v>
      </c>
      <c r="K713" s="180">
        <f>(K644/K612)*AV75</f>
        <v>196822.49657211339</v>
      </c>
      <c r="L713" s="180">
        <f>(L647/L612)*AV80</f>
        <v>17225.781686258444</v>
      </c>
      <c r="M713" s="180">
        <f t="shared" si="20"/>
        <v>237468</v>
      </c>
      <c r="N713" s="199" t="s">
        <v>741</v>
      </c>
    </row>
    <row r="715" spans="1:83" ht="12.6" customHeight="1" x14ac:dyDescent="0.25">
      <c r="C715" s="180">
        <f>SUM(C614:C647)+SUM(C668:C713)</f>
        <v>175437899.01949999</v>
      </c>
      <c r="D715" s="180">
        <f>SUM(D616:D647)+SUM(D668:D713)</f>
        <v>5827143.169999999</v>
      </c>
      <c r="E715" s="180">
        <f>SUM(E624:E647)+SUM(E668:E713)</f>
        <v>-615679.32101579837</v>
      </c>
      <c r="F715" s="180">
        <f>SUM(F625:F648)+SUM(F668:F713)</f>
        <v>1492598.2757435278</v>
      </c>
      <c r="G715" s="180">
        <f>SUM(G626:G647)+SUM(G668:G713)</f>
        <v>2631860.0060352394</v>
      </c>
      <c r="H715" s="180">
        <f>SUM(H629:H647)+SUM(H668:H713)</f>
        <v>2299736.6019653431</v>
      </c>
      <c r="I715" s="180">
        <f>SUM(I630:I647)+SUM(I668:I713)</f>
        <v>1984502.0194099187</v>
      </c>
      <c r="J715" s="180">
        <f>SUM(J631:J647)+SUM(J668:J713)</f>
        <v>738629.20790897263</v>
      </c>
      <c r="K715" s="180">
        <f>SUM(K668:K713)</f>
        <v>18495243.532710142</v>
      </c>
      <c r="L715" s="180">
        <f>SUM(L668:L713)</f>
        <v>1612888.1326608267</v>
      </c>
      <c r="M715" s="180">
        <f>SUM(M668:M713)</f>
        <v>31509866</v>
      </c>
      <c r="N715" s="198" t="s">
        <v>742</v>
      </c>
    </row>
    <row r="716" spans="1:83" ht="12.6" customHeight="1" x14ac:dyDescent="0.25">
      <c r="C716" s="180">
        <f>CE71</f>
        <v>175437899.01949996</v>
      </c>
      <c r="D716" s="180">
        <f>D615</f>
        <v>5827143.1699999999</v>
      </c>
      <c r="E716" s="180">
        <f>E623</f>
        <v>-615679.32101579849</v>
      </c>
      <c r="F716" s="180">
        <f>F624</f>
        <v>1492598.2757435276</v>
      </c>
      <c r="G716" s="180">
        <f>G625</f>
        <v>2631860.0060352394</v>
      </c>
      <c r="H716" s="180">
        <f>H628</f>
        <v>2299736.6019653431</v>
      </c>
      <c r="I716" s="180">
        <f>I629</f>
        <v>1984502.0194099187</v>
      </c>
      <c r="J716" s="180">
        <f>J630</f>
        <v>738629.20790897252</v>
      </c>
      <c r="K716" s="180">
        <f>K644</f>
        <v>18495243.532710142</v>
      </c>
      <c r="L716" s="180">
        <f>L647</f>
        <v>1612888.1326608269</v>
      </c>
      <c r="M716" s="180">
        <f>C648</f>
        <v>31509864.669999998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038*2017*A</v>
      </c>
      <c r="B722" s="274">
        <f>ROUND(C165,0)</f>
        <v>6147355</v>
      </c>
      <c r="C722" s="274">
        <f>ROUND(C166,0)</f>
        <v>83606</v>
      </c>
      <c r="D722" s="274">
        <f>ROUND(C167,0)</f>
        <v>1200324</v>
      </c>
      <c r="E722" s="274">
        <f>ROUND(C168,0)</f>
        <v>14684400</v>
      </c>
      <c r="F722" s="274">
        <f>ROUND(C169,0)</f>
        <v>47152</v>
      </c>
      <c r="G722" s="274">
        <f>ROUND(C170,0)</f>
        <v>3984066</v>
      </c>
      <c r="H722" s="274">
        <f>ROUND(C171+C172,0)</f>
        <v>201752</v>
      </c>
      <c r="I722" s="274">
        <f>ROUND(C175,0)</f>
        <v>284334</v>
      </c>
      <c r="J722" s="274">
        <f>ROUND(C176,0)</f>
        <v>46237</v>
      </c>
      <c r="K722" s="274">
        <f>ROUND(C179,0)</f>
        <v>691810</v>
      </c>
      <c r="L722" s="274">
        <f>ROUND(C180,0)</f>
        <v>7139</v>
      </c>
      <c r="M722" s="274">
        <f>ROUND(C183,0)</f>
        <v>81294</v>
      </c>
      <c r="N722" s="274">
        <f>ROUND(C184,0)</f>
        <v>1196837</v>
      </c>
      <c r="O722" s="274">
        <f>ROUND(C185,0)</f>
        <v>0</v>
      </c>
      <c r="P722" s="274">
        <f>ROUND(C188,0)</f>
        <v>0</v>
      </c>
      <c r="Q722" s="274">
        <f>ROUND(C189,0)</f>
        <v>940156</v>
      </c>
      <c r="R722" s="274">
        <f>ROUND(B195,0)</f>
        <v>9720919</v>
      </c>
      <c r="S722" s="274">
        <f>ROUND(C195,0)</f>
        <v>109211</v>
      </c>
      <c r="T722" s="274">
        <f>ROUND(D195,0)</f>
        <v>0</v>
      </c>
      <c r="U722" s="274">
        <f>ROUND(B196,0)</f>
        <v>4132161</v>
      </c>
      <c r="V722" s="274">
        <f>ROUND(C196,0)</f>
        <v>4952221</v>
      </c>
      <c r="W722" s="274">
        <f>ROUND(D196,0)</f>
        <v>0</v>
      </c>
      <c r="X722" s="274">
        <f>ROUND(B197,0)</f>
        <v>93094705</v>
      </c>
      <c r="Y722" s="274">
        <f>ROUND(C197,0)</f>
        <v>15035242</v>
      </c>
      <c r="Z722" s="274">
        <f>ROUND(D197,0)</f>
        <v>977075</v>
      </c>
      <c r="AA722" s="274">
        <f>ROUND(B198,0)</f>
        <v>24008029</v>
      </c>
      <c r="AB722" s="274">
        <f>ROUND(C198,0)</f>
        <v>9348888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70865466</v>
      </c>
      <c r="AH722" s="274">
        <f>ROUND(C200,0)</f>
        <v>5419298</v>
      </c>
      <c r="AI722" s="274">
        <f>ROUND(D200,0)</f>
        <v>5215753</v>
      </c>
      <c r="AJ722" s="274">
        <f>ROUND(B201,0)</f>
        <v>3678028</v>
      </c>
      <c r="AK722" s="274">
        <f>ROUND(C201,0)</f>
        <v>-1376</v>
      </c>
      <c r="AL722" s="274">
        <f>ROUND(D201,0)</f>
        <v>1009941</v>
      </c>
      <c r="AM722" s="274">
        <f>ROUND(B202,0)</f>
        <v>277505</v>
      </c>
      <c r="AN722" s="274">
        <f>ROUND(C202,0)</f>
        <v>85231</v>
      </c>
      <c r="AO722" s="274">
        <f>ROUND(D202,0)</f>
        <v>0</v>
      </c>
      <c r="AP722" s="274">
        <f>ROUND(B203,0)</f>
        <v>27864885</v>
      </c>
      <c r="AQ722" s="274">
        <f>ROUND(C203,0)</f>
        <v>-25490903</v>
      </c>
      <c r="AR722" s="274">
        <f>ROUND(D203,0)</f>
        <v>0</v>
      </c>
      <c r="AS722" s="274"/>
      <c r="AT722" s="274"/>
      <c r="AU722" s="274"/>
      <c r="AV722" s="274">
        <f>ROUND(B209,0)</f>
        <v>2426966</v>
      </c>
      <c r="AW722" s="274">
        <f>ROUND(C209,0)</f>
        <v>388979</v>
      </c>
      <c r="AX722" s="274">
        <f>ROUND(D209,0)</f>
        <v>0</v>
      </c>
      <c r="AY722" s="274">
        <f>ROUND(B210,0)</f>
        <v>45484098</v>
      </c>
      <c r="AZ722" s="274">
        <f>ROUND(C210,0)</f>
        <v>3312134</v>
      </c>
      <c r="BA722" s="274">
        <f>ROUND(D210,0)</f>
        <v>434526</v>
      </c>
      <c r="BB722" s="274">
        <f>ROUND(B211,0)</f>
        <v>16976511</v>
      </c>
      <c r="BC722" s="274">
        <f>ROUND(C211,0)</f>
        <v>1095883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46958427</v>
      </c>
      <c r="BI722" s="274">
        <f>ROUND(C213,0)</f>
        <v>4954308</v>
      </c>
      <c r="BJ722" s="274">
        <f>ROUND(D213,0)</f>
        <v>5153400</v>
      </c>
      <c r="BK722" s="274">
        <f>ROUND(B214,0)</f>
        <v>2895106</v>
      </c>
      <c r="BL722" s="274">
        <f>ROUND(C214,0)</f>
        <v>304961</v>
      </c>
      <c r="BM722" s="274">
        <f>ROUND(D214,0)</f>
        <v>999466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122722299</v>
      </c>
      <c r="BU722" s="274">
        <f>ROUND(C224,0)</f>
        <v>39749900</v>
      </c>
      <c r="BV722" s="274">
        <f>ROUND(C225,0)</f>
        <v>1839467</v>
      </c>
      <c r="BW722" s="274">
        <f>ROUND(C226,0)</f>
        <v>11390030</v>
      </c>
      <c r="BX722" s="274">
        <f>ROUND(C227,0)</f>
        <v>9491057</v>
      </c>
      <c r="BY722" s="274">
        <f>ROUND(C228,0)</f>
        <v>6250</v>
      </c>
      <c r="BZ722" s="274">
        <f>ROUND(C231,0)</f>
        <v>0</v>
      </c>
      <c r="CA722" s="274">
        <f>ROUND(C233,0)</f>
        <v>591765</v>
      </c>
      <c r="CB722" s="274">
        <f>ROUND(C234,0)</f>
        <v>2063357</v>
      </c>
      <c r="CC722" s="274">
        <f>ROUND(C238+C239,0)</f>
        <v>541117</v>
      </c>
      <c r="CD722" s="274">
        <f>D221</f>
        <v>2313127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038*2017*A</v>
      </c>
      <c r="B726" s="274">
        <f>ROUND(C111,0)</f>
        <v>4379</v>
      </c>
      <c r="C726" s="274">
        <f>ROUND(C112,0)</f>
        <v>0</v>
      </c>
      <c r="D726" s="274">
        <f>ROUND(C113,0)</f>
        <v>0</v>
      </c>
      <c r="E726" s="274">
        <f>ROUND(C114,0)</f>
        <v>487</v>
      </c>
      <c r="F726" s="274">
        <f>ROUND(D111,0)</f>
        <v>14414</v>
      </c>
      <c r="G726" s="274">
        <f>ROUND(D112,0)</f>
        <v>0</v>
      </c>
      <c r="H726" s="274">
        <f>ROUND(D113,0)</f>
        <v>0</v>
      </c>
      <c r="I726" s="274">
        <f>ROUND(D114,0)</f>
        <v>954</v>
      </c>
      <c r="J726" s="274">
        <f>ROUND(C116,0)</f>
        <v>10</v>
      </c>
      <c r="K726" s="274">
        <f>ROUND(C117,0)</f>
        <v>9</v>
      </c>
      <c r="L726" s="274">
        <f>ROUND(C118,0)</f>
        <v>39</v>
      </c>
      <c r="M726" s="274">
        <f>ROUND(C119,0)</f>
        <v>0</v>
      </c>
      <c r="N726" s="274">
        <f>ROUND(C120,0)</f>
        <v>9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126</v>
      </c>
      <c r="W726" s="274">
        <f>ROUND(C129,0)</f>
        <v>11</v>
      </c>
      <c r="X726" s="274">
        <f>ROUND(B138,0)</f>
        <v>2627</v>
      </c>
      <c r="Y726" s="274">
        <f>ROUND(B139,0)</f>
        <v>9664</v>
      </c>
      <c r="Z726" s="274">
        <f>ROUND(B140,0)</f>
        <v>251451</v>
      </c>
      <c r="AA726" s="274">
        <f>ROUND(B141,0)</f>
        <v>58406895</v>
      </c>
      <c r="AB726" s="274">
        <f>ROUND(B142,0)</f>
        <v>153402854</v>
      </c>
      <c r="AC726" s="274">
        <f>ROUND(C138,0)</f>
        <v>834</v>
      </c>
      <c r="AD726" s="274">
        <f>ROUND(C139,0)</f>
        <v>2412</v>
      </c>
      <c r="AE726" s="274">
        <f>ROUND(C140,0)</f>
        <v>75033</v>
      </c>
      <c r="AF726" s="274">
        <f>ROUND(C141,0)</f>
        <v>15305990</v>
      </c>
      <c r="AG726" s="274">
        <f>ROUND(C142,0)</f>
        <v>45775569</v>
      </c>
      <c r="AH726" s="274">
        <f>ROUND(D138,0)</f>
        <v>918</v>
      </c>
      <c r="AI726" s="274">
        <f>ROUND(D139,0)</f>
        <v>2338</v>
      </c>
      <c r="AJ726" s="274">
        <f>ROUND(D140,0)</f>
        <v>123497</v>
      </c>
      <c r="AK726" s="274">
        <f>ROUND(D141,0)</f>
        <v>15946812</v>
      </c>
      <c r="AL726" s="274">
        <f>ROUND(D142,0)</f>
        <v>75341706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038*2017*A</v>
      </c>
      <c r="B730" s="274">
        <f>ROUND(C250,0)</f>
        <v>4517648</v>
      </c>
      <c r="C730" s="274">
        <f>ROUND(C251,0)</f>
        <v>353699</v>
      </c>
      <c r="D730" s="274">
        <f>ROUND(C252,0)</f>
        <v>34596126</v>
      </c>
      <c r="E730" s="274">
        <f>ROUND(C253,0)</f>
        <v>18380368</v>
      </c>
      <c r="F730" s="274">
        <f>ROUND(C254,0)</f>
        <v>0</v>
      </c>
      <c r="G730" s="274">
        <f>ROUND(C255,0)</f>
        <v>1340587</v>
      </c>
      <c r="H730" s="274">
        <f>ROUND(C256,0)</f>
        <v>0</v>
      </c>
      <c r="I730" s="274">
        <f>ROUND(C257,0)</f>
        <v>2059053</v>
      </c>
      <c r="J730" s="274">
        <f>ROUND(C258,0)</f>
        <v>2500382</v>
      </c>
      <c r="K730" s="274">
        <f>ROUND(C259,0)</f>
        <v>0</v>
      </c>
      <c r="L730" s="274">
        <f>ROUND(C262,0)</f>
        <v>9085717</v>
      </c>
      <c r="M730" s="274">
        <f>ROUND(C263,0)</f>
        <v>26954884</v>
      </c>
      <c r="N730" s="274">
        <f>ROUND(C264,0)</f>
        <v>0</v>
      </c>
      <c r="O730" s="274">
        <f>ROUND(C267,0)</f>
        <v>9830130</v>
      </c>
      <c r="P730" s="274">
        <f>ROUND(C268,0)</f>
        <v>9084382</v>
      </c>
      <c r="Q730" s="274">
        <f>ROUND(C269,0)</f>
        <v>107515609</v>
      </c>
      <c r="R730" s="274">
        <f>ROUND(C270,0)</f>
        <v>33356917</v>
      </c>
      <c r="S730" s="274">
        <f>ROUND(C271,0)</f>
        <v>0</v>
      </c>
      <c r="T730" s="274">
        <f>ROUND(C272,0)</f>
        <v>73735722</v>
      </c>
      <c r="U730" s="274">
        <f>ROUND(C273,0)</f>
        <v>0</v>
      </c>
      <c r="V730" s="274">
        <f>ROUND(C274,0)</f>
        <v>2373981</v>
      </c>
      <c r="W730" s="274">
        <f>ROUND(C275,0)</f>
        <v>0</v>
      </c>
      <c r="X730" s="274">
        <f>ROUND(C276,0)</f>
        <v>118209982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0</v>
      </c>
      <c r="AC730" s="274">
        <f>ROUND(C286,0)</f>
        <v>2083480</v>
      </c>
      <c r="AD730" s="274">
        <f>ROUND(C287,0)</f>
        <v>0</v>
      </c>
      <c r="AE730" s="274">
        <f>ROUND(C288,0)</f>
        <v>0</v>
      </c>
      <c r="AF730" s="274">
        <f>ROUND(C289,0)</f>
        <v>170818</v>
      </c>
      <c r="AG730" s="274">
        <f>ROUND(C304,0)</f>
        <v>0</v>
      </c>
      <c r="AH730" s="274">
        <f>ROUND(C305,0)</f>
        <v>6158991</v>
      </c>
      <c r="AI730" s="274">
        <f>ROUND(C306,0)</f>
        <v>9145175</v>
      </c>
      <c r="AJ730" s="274">
        <f>ROUND(C307,0)</f>
        <v>215</v>
      </c>
      <c r="AK730" s="274">
        <f>ROUND(C308,0)</f>
        <v>0</v>
      </c>
      <c r="AL730" s="274">
        <f>ROUND(C309,0)</f>
        <v>881409</v>
      </c>
      <c r="AM730" s="274">
        <f>ROUND(C310,0)</f>
        <v>0</v>
      </c>
      <c r="AN730" s="274">
        <f>ROUND(C311,0)</f>
        <v>0</v>
      </c>
      <c r="AO730" s="274">
        <f>ROUND(C312,0)</f>
        <v>450718</v>
      </c>
      <c r="AP730" s="274">
        <f>ROUND(C313,0)</f>
        <v>1574438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0</v>
      </c>
      <c r="AX730" s="274">
        <f>ROUND(C325,0)</f>
        <v>39427547</v>
      </c>
      <c r="AY730" s="274">
        <f>ROUND(C326,0)</f>
        <v>0</v>
      </c>
      <c r="AZ730" s="274">
        <f>ROUND(C327,0)</f>
        <v>1064513</v>
      </c>
      <c r="BA730" s="274">
        <f>ROUND(C328,0)</f>
        <v>0</v>
      </c>
      <c r="BB730" s="274">
        <f>ROUND(C332,0)</f>
        <v>125840217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1222.97</v>
      </c>
      <c r="BJ730" s="274">
        <f>ROUND(C359,0)</f>
        <v>89659697</v>
      </c>
      <c r="BK730" s="274">
        <f>ROUND(C360,0)</f>
        <v>274520128</v>
      </c>
      <c r="BL730" s="274">
        <f>ROUND(C364,0)</f>
        <v>185740120</v>
      </c>
      <c r="BM730" s="274">
        <f>ROUND(C365,0)</f>
        <v>2655122</v>
      </c>
      <c r="BN730" s="274">
        <f>ROUND(C366,0)</f>
        <v>0</v>
      </c>
      <c r="BO730" s="274">
        <f>ROUND(C370,0)</f>
        <v>2407956</v>
      </c>
      <c r="BP730" s="274">
        <f>ROUND(C371,0)</f>
        <v>4570480</v>
      </c>
      <c r="BQ730" s="274">
        <f>ROUND(C378,0)</f>
        <v>89102750</v>
      </c>
      <c r="BR730" s="274">
        <f>ROUND(C379,0)</f>
        <v>26348655</v>
      </c>
      <c r="BS730" s="274">
        <f>ROUND(C380,0)</f>
        <v>8887738</v>
      </c>
      <c r="BT730" s="274">
        <f>ROUND(C381,0)</f>
        <v>27162202</v>
      </c>
      <c r="BU730" s="274">
        <f>ROUND(C382,0)</f>
        <v>2293404</v>
      </c>
      <c r="BV730" s="274">
        <f>ROUND(C383,0)</f>
        <v>7470086</v>
      </c>
      <c r="BW730" s="274">
        <f>ROUND(C384,0)</f>
        <v>10655598</v>
      </c>
      <c r="BX730" s="274">
        <f>ROUND(C385,0)</f>
        <v>330571</v>
      </c>
      <c r="BY730" s="274">
        <f>ROUND(C386,0)</f>
        <v>698949</v>
      </c>
      <c r="BZ730" s="274">
        <f>ROUND(C387,0)</f>
        <v>1278131</v>
      </c>
      <c r="CA730" s="274">
        <f>ROUND(C388,0)</f>
        <v>0</v>
      </c>
      <c r="CB730" s="274">
        <f>C363</f>
        <v>2313127</v>
      </c>
      <c r="CC730" s="274">
        <f>ROUND(C389,0)</f>
        <v>8887199</v>
      </c>
      <c r="CD730" s="274">
        <f>ROUND(C392,0)</f>
        <v>158084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038*2017*6010*A</v>
      </c>
      <c r="B734" s="274">
        <f>ROUND(C59,0)</f>
        <v>4159</v>
      </c>
      <c r="C734" s="274">
        <f>ROUND(C60,2)</f>
        <v>46.91</v>
      </c>
      <c r="D734" s="274">
        <f>ROUND(C61,0)</f>
        <v>3843499</v>
      </c>
      <c r="E734" s="274">
        <f>ROUND(C62,0)</f>
        <v>1136565</v>
      </c>
      <c r="F734" s="274">
        <f>ROUND(C63,0)</f>
        <v>0</v>
      </c>
      <c r="G734" s="274">
        <f>ROUND(C64,0)</f>
        <v>286475</v>
      </c>
      <c r="H734" s="274">
        <f>ROUND(C65,0)</f>
        <v>0</v>
      </c>
      <c r="I734" s="274">
        <f>ROUND(C66,0)</f>
        <v>358407</v>
      </c>
      <c r="J734" s="274">
        <f>ROUND(C67,0)</f>
        <v>199144</v>
      </c>
      <c r="K734" s="274">
        <f>ROUND(C68,0)</f>
        <v>967</v>
      </c>
      <c r="L734" s="274">
        <f>ROUND(C69,0)</f>
        <v>10768</v>
      </c>
      <c r="M734" s="274">
        <f>ROUND(C70,0)</f>
        <v>0</v>
      </c>
      <c r="N734" s="274">
        <f>ROUND(C75,0)</f>
        <v>12612261</v>
      </c>
      <c r="O734" s="274">
        <f>ROUND(C73,0)</f>
        <v>12404401</v>
      </c>
      <c r="P734" s="274">
        <f>IF(C76&gt;0,ROUND(C76,0),0)</f>
        <v>7285</v>
      </c>
      <c r="Q734" s="274">
        <f>IF(C77&gt;0,ROUND(C77,0),0)</f>
        <v>10183</v>
      </c>
      <c r="R734" s="274">
        <f>IF(C78&gt;0,ROUND(C78,0),0)</f>
        <v>1538</v>
      </c>
      <c r="S734" s="274">
        <f>IF(C79&gt;0,ROUND(C79,0),0)</f>
        <v>153902</v>
      </c>
      <c r="T734" s="274">
        <f>IF(C80&gt;0,ROUND(C80,2),0)</f>
        <v>32.19</v>
      </c>
      <c r="U734" s="274"/>
      <c r="V734" s="274"/>
      <c r="W734" s="274"/>
      <c r="X734" s="274"/>
      <c r="Y734" s="274">
        <f>IF(M668&lt;&gt;0,ROUND(M668,0),0)</f>
        <v>1860482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038*2017*6030*A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038*2017*6070*A</v>
      </c>
      <c r="B736" s="274">
        <f>ROUND(E59,0)</f>
        <v>10255</v>
      </c>
      <c r="C736" s="276">
        <f>ROUND(E60,2)</f>
        <v>87.82</v>
      </c>
      <c r="D736" s="274">
        <f>ROUND(E61,0)</f>
        <v>6502962</v>
      </c>
      <c r="E736" s="274">
        <f>ROUND(E62,0)</f>
        <v>1922997</v>
      </c>
      <c r="F736" s="274">
        <f>ROUND(E63,0)</f>
        <v>16344</v>
      </c>
      <c r="G736" s="274">
        <f>ROUND(E64,0)</f>
        <v>400939</v>
      </c>
      <c r="H736" s="274">
        <f>ROUND(E65,0)</f>
        <v>0</v>
      </c>
      <c r="I736" s="274">
        <f>ROUND(E66,0)</f>
        <v>284151</v>
      </c>
      <c r="J736" s="274">
        <f>ROUND(E67,0)</f>
        <v>880880</v>
      </c>
      <c r="K736" s="274">
        <f>ROUND(E68,0)</f>
        <v>24108</v>
      </c>
      <c r="L736" s="274">
        <f>ROUND(E69,0)</f>
        <v>29341</v>
      </c>
      <c r="M736" s="274">
        <f>ROUND(E70,0)</f>
        <v>0</v>
      </c>
      <c r="N736" s="274">
        <f>ROUND(E75,0)</f>
        <v>22182942</v>
      </c>
      <c r="O736" s="274">
        <f>ROUND(E73,0)</f>
        <v>20026971</v>
      </c>
      <c r="P736" s="274">
        <f>IF(E76&gt;0,ROUND(E76,0),0)</f>
        <v>32224</v>
      </c>
      <c r="Q736" s="274">
        <f>IF(E77&gt;0,ROUND(E77,0),0)</f>
        <v>34997</v>
      </c>
      <c r="R736" s="274">
        <f>IF(E78&gt;0,ROUND(E78,0),0)</f>
        <v>6805</v>
      </c>
      <c r="S736" s="274">
        <f>IF(E79&gt;0,ROUND(E79,0),0)</f>
        <v>260058</v>
      </c>
      <c r="T736" s="276">
        <f>IF(E80&gt;0,ROUND(E80,2),0)</f>
        <v>51.35</v>
      </c>
      <c r="U736" s="274"/>
      <c r="V736" s="275"/>
      <c r="W736" s="274"/>
      <c r="X736" s="274"/>
      <c r="Y736" s="274">
        <f t="shared" si="21"/>
        <v>4691865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038*2017*6100*A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038*2017*6120*A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038*2017*6140*A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038*2017*6150*A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038*2017*6170*A</v>
      </c>
      <c r="B741" s="274">
        <f>ROUND(J59,0)</f>
        <v>954</v>
      </c>
      <c r="C741" s="276">
        <f>ROUND(J60,2)</f>
        <v>5.31</v>
      </c>
      <c r="D741" s="274">
        <f>ROUND(J61,0)</f>
        <v>516724</v>
      </c>
      <c r="E741" s="274">
        <f>ROUND(J62,0)</f>
        <v>152801</v>
      </c>
      <c r="F741" s="274">
        <f>ROUND(J63,0)</f>
        <v>0</v>
      </c>
      <c r="G741" s="274">
        <f>ROUND(J64,0)</f>
        <v>42171</v>
      </c>
      <c r="H741" s="274">
        <f>ROUND(J65,0)</f>
        <v>0</v>
      </c>
      <c r="I741" s="274">
        <f>ROUND(J66,0)</f>
        <v>50129</v>
      </c>
      <c r="J741" s="274">
        <f>ROUND(J67,0)</f>
        <v>26133</v>
      </c>
      <c r="K741" s="274">
        <f>ROUND(J68,0)</f>
        <v>0</v>
      </c>
      <c r="L741" s="274">
        <f>ROUND(J69,0)</f>
        <v>7686</v>
      </c>
      <c r="M741" s="274">
        <f>ROUND(J70,0)</f>
        <v>0</v>
      </c>
      <c r="N741" s="274">
        <f>ROUND(J75,0)</f>
        <v>1815405</v>
      </c>
      <c r="O741" s="274">
        <f>ROUND(J73,0)</f>
        <v>1626518</v>
      </c>
      <c r="P741" s="274">
        <f>IF(J76&gt;0,ROUND(J76,0),0)</f>
        <v>956</v>
      </c>
      <c r="Q741" s="274">
        <f>IF(J77&gt;0,ROUND(J77,0),0)</f>
        <v>0</v>
      </c>
      <c r="R741" s="274">
        <f>IF(J78&gt;0,ROUND(J78,0),0)</f>
        <v>202</v>
      </c>
      <c r="S741" s="274">
        <f>IF(J79&gt;0,ROUND(J79,0),0)</f>
        <v>7006</v>
      </c>
      <c r="T741" s="276">
        <f>IF(J80&gt;0,ROUND(J80,2),0)</f>
        <v>4.32</v>
      </c>
      <c r="U741" s="274"/>
      <c r="V741" s="275"/>
      <c r="W741" s="274"/>
      <c r="X741" s="274"/>
      <c r="Y741" s="274">
        <f t="shared" si="21"/>
        <v>165676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038*2017*6200*A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038*2017*6210*A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038*2017*6330*A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038*2017*6400*A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038*2017*7010*A</v>
      </c>
      <c r="B746" s="274">
        <f>ROUND(O59,0)</f>
        <v>389</v>
      </c>
      <c r="C746" s="276">
        <f>ROUND(O60,2)</f>
        <v>3.22</v>
      </c>
      <c r="D746" s="274">
        <f>ROUND(O61,0)</f>
        <v>313725</v>
      </c>
      <c r="E746" s="274">
        <f>ROUND(O62,0)</f>
        <v>92772</v>
      </c>
      <c r="F746" s="274">
        <f>ROUND(O63,0)</f>
        <v>0</v>
      </c>
      <c r="G746" s="274">
        <f>ROUND(O64,0)</f>
        <v>25604</v>
      </c>
      <c r="H746" s="274">
        <f>ROUND(O65,0)</f>
        <v>0</v>
      </c>
      <c r="I746" s="274">
        <f>ROUND(O66,0)</f>
        <v>30435</v>
      </c>
      <c r="J746" s="274">
        <f>ROUND(O67,0)</f>
        <v>68723</v>
      </c>
      <c r="K746" s="274">
        <f>ROUND(O68,0)</f>
        <v>0</v>
      </c>
      <c r="L746" s="274">
        <f>ROUND(O69,0)</f>
        <v>4666</v>
      </c>
      <c r="M746" s="274">
        <f>ROUND(O70,0)</f>
        <v>0</v>
      </c>
      <c r="N746" s="274">
        <f>ROUND(O75,0)</f>
        <v>1102210</v>
      </c>
      <c r="O746" s="274">
        <f>ROUND(O73,0)</f>
        <v>987529</v>
      </c>
      <c r="P746" s="274">
        <f>IF(O76&gt;0,ROUND(O76,0),0)</f>
        <v>2514</v>
      </c>
      <c r="Q746" s="274">
        <f>IF(O77&gt;0,ROUND(O77,0),0)</f>
        <v>0</v>
      </c>
      <c r="R746" s="274">
        <f>IF(O78&gt;0,ROUND(O78,0),0)</f>
        <v>531</v>
      </c>
      <c r="S746" s="274">
        <f>IF(O79&gt;0,ROUND(O79,0),0)</f>
        <v>56536</v>
      </c>
      <c r="T746" s="276">
        <f>IF(O80&gt;0,ROUND(O80,2),0)</f>
        <v>2.63</v>
      </c>
      <c r="U746" s="274"/>
      <c r="V746" s="275"/>
      <c r="W746" s="274"/>
      <c r="X746" s="274"/>
      <c r="Y746" s="274">
        <f t="shared" si="21"/>
        <v>178581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038*2017*7020*A</v>
      </c>
      <c r="B747" s="274">
        <f>ROUND(P59,0)</f>
        <v>420815</v>
      </c>
      <c r="C747" s="276">
        <f>ROUND(P60,2)</f>
        <v>30.34</v>
      </c>
      <c r="D747" s="274">
        <f>ROUND(P61,0)</f>
        <v>2264030</v>
      </c>
      <c r="E747" s="274">
        <f>ROUND(P62,0)</f>
        <v>669498</v>
      </c>
      <c r="F747" s="274">
        <f>ROUND(P63,0)</f>
        <v>321637</v>
      </c>
      <c r="G747" s="274">
        <f>ROUND(P64,0)</f>
        <v>5185304</v>
      </c>
      <c r="H747" s="274">
        <f>ROUND(P65,0)</f>
        <v>0</v>
      </c>
      <c r="I747" s="274">
        <f>ROUND(P66,0)</f>
        <v>575039</v>
      </c>
      <c r="J747" s="274">
        <f>ROUND(P67,0)</f>
        <v>319969</v>
      </c>
      <c r="K747" s="274">
        <f>ROUND(P68,0)</f>
        <v>939</v>
      </c>
      <c r="L747" s="274">
        <f>ROUND(P69,0)</f>
        <v>300096</v>
      </c>
      <c r="M747" s="274">
        <f>ROUND(P70,0)</f>
        <v>0</v>
      </c>
      <c r="N747" s="274">
        <f>ROUND(P75,0)</f>
        <v>31310166</v>
      </c>
      <c r="O747" s="274">
        <f>ROUND(P73,0)</f>
        <v>12626688</v>
      </c>
      <c r="P747" s="274">
        <f>IF(P76&gt;0,ROUND(P76,0),0)</f>
        <v>11705</v>
      </c>
      <c r="Q747" s="274">
        <f>IF(P77&gt;0,ROUND(P77,0),0)</f>
        <v>0</v>
      </c>
      <c r="R747" s="274">
        <f>IF(P78&gt;0,ROUND(P78,0),0)</f>
        <v>2472</v>
      </c>
      <c r="S747" s="274">
        <f>IF(P79&gt;0,ROUND(P79,0),0)</f>
        <v>101405</v>
      </c>
      <c r="T747" s="276">
        <f>IF(P80&gt;0,ROUND(P80,2),0)</f>
        <v>13.35</v>
      </c>
      <c r="U747" s="274"/>
      <c r="V747" s="275"/>
      <c r="W747" s="274"/>
      <c r="X747" s="274"/>
      <c r="Y747" s="274">
        <f t="shared" si="21"/>
        <v>2363112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038*2017*7030*A</v>
      </c>
      <c r="B748" s="274">
        <f>ROUND(Q59,0)</f>
        <v>151766</v>
      </c>
      <c r="C748" s="276">
        <f>ROUND(Q60,2)</f>
        <v>4.5199999999999996</v>
      </c>
      <c r="D748" s="274">
        <f>ROUND(Q61,0)</f>
        <v>434817</v>
      </c>
      <c r="E748" s="274">
        <f>ROUND(Q62,0)</f>
        <v>128580</v>
      </c>
      <c r="F748" s="274">
        <f>ROUND(Q63,0)</f>
        <v>0</v>
      </c>
      <c r="G748" s="274">
        <f>ROUND(Q64,0)</f>
        <v>34373</v>
      </c>
      <c r="H748" s="274">
        <f>ROUND(Q65,0)</f>
        <v>0</v>
      </c>
      <c r="I748" s="274">
        <f>ROUND(Q66,0)</f>
        <v>101827</v>
      </c>
      <c r="J748" s="274">
        <f>ROUND(Q67,0)</f>
        <v>38763</v>
      </c>
      <c r="K748" s="274">
        <f>ROUND(Q68,0)</f>
        <v>0</v>
      </c>
      <c r="L748" s="274">
        <f>ROUND(Q69,0)</f>
        <v>1350</v>
      </c>
      <c r="M748" s="274">
        <f>ROUND(Q70,0)</f>
        <v>0</v>
      </c>
      <c r="N748" s="274">
        <f>ROUND(Q75,0)</f>
        <v>1746375</v>
      </c>
      <c r="O748" s="274">
        <f>ROUND(Q73,0)</f>
        <v>704417</v>
      </c>
      <c r="P748" s="274">
        <f>IF(Q76&gt;0,ROUND(Q76,0),0)</f>
        <v>1418</v>
      </c>
      <c r="Q748" s="274">
        <f>IF(Q77&gt;0,ROUND(Q77,0),0)</f>
        <v>0</v>
      </c>
      <c r="R748" s="274">
        <f>IF(Q78&gt;0,ROUND(Q78,0),0)</f>
        <v>299</v>
      </c>
      <c r="S748" s="274">
        <f>IF(Q79&gt;0,ROUND(Q79,0),0)</f>
        <v>18518</v>
      </c>
      <c r="T748" s="276">
        <f>IF(Q80&gt;0,ROUND(Q80,2),0)</f>
        <v>4.3600000000000003</v>
      </c>
      <c r="U748" s="274"/>
      <c r="V748" s="275"/>
      <c r="W748" s="274"/>
      <c r="X748" s="274"/>
      <c r="Y748" s="274">
        <f t="shared" si="21"/>
        <v>178643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038*2017*7040*A</v>
      </c>
      <c r="B749" s="274">
        <f>ROUND(R59,0)</f>
        <v>378159</v>
      </c>
      <c r="C749" s="276">
        <f>ROUND(R60,2)</f>
        <v>1.04</v>
      </c>
      <c r="D749" s="274">
        <f>ROUND(R61,0)</f>
        <v>41256</v>
      </c>
      <c r="E749" s="274">
        <f>ROUND(R62,0)</f>
        <v>12200</v>
      </c>
      <c r="F749" s="274">
        <f>ROUND(R63,0)</f>
        <v>537270</v>
      </c>
      <c r="G749" s="274">
        <f>ROUND(R64,0)</f>
        <v>199997</v>
      </c>
      <c r="H749" s="274">
        <f>ROUND(R65,0)</f>
        <v>0</v>
      </c>
      <c r="I749" s="274">
        <f>ROUND(R66,0)</f>
        <v>3475</v>
      </c>
      <c r="J749" s="274">
        <f>ROUND(R67,0)</f>
        <v>15636</v>
      </c>
      <c r="K749" s="274">
        <f>ROUND(R68,0)</f>
        <v>0</v>
      </c>
      <c r="L749" s="274">
        <f>ROUND(R69,0)</f>
        <v>2783</v>
      </c>
      <c r="M749" s="274">
        <f>ROUND(R70,0)</f>
        <v>0</v>
      </c>
      <c r="N749" s="274">
        <f>ROUND(R75,0)</f>
        <v>3738224</v>
      </c>
      <c r="O749" s="274">
        <f>ROUND(R73,0)</f>
        <v>1021839</v>
      </c>
      <c r="P749" s="274">
        <f>IF(R76&gt;0,ROUND(R76,0),0)</f>
        <v>572</v>
      </c>
      <c r="Q749" s="274">
        <f>IF(R77&gt;0,ROUND(R77,0),0)</f>
        <v>0</v>
      </c>
      <c r="R749" s="274">
        <f>IF(R78&gt;0,ROUND(R78,0),0)</f>
        <v>121</v>
      </c>
      <c r="S749" s="274">
        <f>IF(R79&gt;0,ROUND(R79,0),0)</f>
        <v>0</v>
      </c>
      <c r="T749" s="276">
        <f>IF(R80&gt;0,ROUND(R80,2),0)</f>
        <v>0.01</v>
      </c>
      <c r="U749" s="274"/>
      <c r="V749" s="275"/>
      <c r="W749" s="274"/>
      <c r="X749" s="274"/>
      <c r="Y749" s="274">
        <f t="shared" si="21"/>
        <v>214254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038*2017*7050*A</v>
      </c>
      <c r="B750" s="274"/>
      <c r="C750" s="276">
        <f>ROUND(S60,2)</f>
        <v>14.83</v>
      </c>
      <c r="D750" s="274">
        <f>ROUND(S61,0)</f>
        <v>647575</v>
      </c>
      <c r="E750" s="274">
        <f>ROUND(S62,0)</f>
        <v>191495</v>
      </c>
      <c r="F750" s="274">
        <f>ROUND(S63,0)</f>
        <v>0</v>
      </c>
      <c r="G750" s="274">
        <f>ROUND(S64,0)</f>
        <v>166301</v>
      </c>
      <c r="H750" s="274">
        <f>ROUND(S65,0)</f>
        <v>0</v>
      </c>
      <c r="I750" s="274">
        <f>ROUND(S66,0)</f>
        <v>90039</v>
      </c>
      <c r="J750" s="274">
        <f>ROUND(S67,0)</f>
        <v>84687</v>
      </c>
      <c r="K750" s="274">
        <f>ROUND(S68,0)</f>
        <v>140</v>
      </c>
      <c r="L750" s="274">
        <f>ROUND(S69,0)</f>
        <v>49858</v>
      </c>
      <c r="M750" s="274">
        <f>ROUND(S70,0)</f>
        <v>626</v>
      </c>
      <c r="N750" s="274">
        <f>ROUND(S75,0)</f>
        <v>0</v>
      </c>
      <c r="O750" s="274">
        <f>ROUND(S73,0)</f>
        <v>0</v>
      </c>
      <c r="P750" s="274">
        <f>IF(S76&gt;0,ROUND(S76,0),0)</f>
        <v>3098</v>
      </c>
      <c r="Q750" s="274">
        <f>IF(S77&gt;0,ROUND(S77,0),0)</f>
        <v>0</v>
      </c>
      <c r="R750" s="274">
        <f>IF(S78&gt;0,ROUND(S78,0),0)</f>
        <v>654</v>
      </c>
      <c r="S750" s="274">
        <f>IF(S79&gt;0,ROUND(S79,0),0)</f>
        <v>12849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118485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038*2017*7060*A</v>
      </c>
      <c r="B751" s="274"/>
      <c r="C751" s="276">
        <f>ROUND(T60,2)</f>
        <v>0.61</v>
      </c>
      <c r="D751" s="274">
        <f>ROUND(T61,0)</f>
        <v>71829</v>
      </c>
      <c r="E751" s="274">
        <f>ROUND(T62,0)</f>
        <v>21241</v>
      </c>
      <c r="F751" s="274">
        <f>ROUND(T63,0)</f>
        <v>0</v>
      </c>
      <c r="G751" s="274">
        <f>ROUND(T64,0)</f>
        <v>124443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235</v>
      </c>
      <c r="M751" s="274">
        <f>ROUND(T70,0)</f>
        <v>0</v>
      </c>
      <c r="N751" s="274">
        <f>ROUND(T75,0)</f>
        <v>720472</v>
      </c>
      <c r="O751" s="274">
        <f>ROUND(T73,0)</f>
        <v>609614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0.59</v>
      </c>
      <c r="U751" s="274"/>
      <c r="V751" s="275"/>
      <c r="W751" s="274"/>
      <c r="X751" s="274"/>
      <c r="Y751" s="274">
        <f t="shared" si="21"/>
        <v>48879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038*2017*7070*A</v>
      </c>
      <c r="B752" s="274">
        <f>ROUND(U59,0)</f>
        <v>554874</v>
      </c>
      <c r="C752" s="276">
        <f>ROUND(U60,2)</f>
        <v>68.14</v>
      </c>
      <c r="D752" s="274">
        <f>ROUND(U61,0)</f>
        <v>3865322</v>
      </c>
      <c r="E752" s="274">
        <f>ROUND(U62,0)</f>
        <v>1143018</v>
      </c>
      <c r="F752" s="274">
        <f>ROUND(U63,0)</f>
        <v>80000</v>
      </c>
      <c r="G752" s="274">
        <f>ROUND(U64,0)</f>
        <v>1634515</v>
      </c>
      <c r="H752" s="274">
        <f>ROUND(U65,0)</f>
        <v>564</v>
      </c>
      <c r="I752" s="274">
        <f>ROUND(U66,0)</f>
        <v>2169051</v>
      </c>
      <c r="J752" s="274">
        <f>ROUND(U67,0)</f>
        <v>278637</v>
      </c>
      <c r="K752" s="274">
        <f>ROUND(U68,0)</f>
        <v>64565</v>
      </c>
      <c r="L752" s="274">
        <f>ROUND(U69,0)</f>
        <v>203148</v>
      </c>
      <c r="M752" s="274">
        <f>ROUND(U70,0)</f>
        <v>0</v>
      </c>
      <c r="N752" s="274">
        <f>ROUND(U75,0)</f>
        <v>31097592</v>
      </c>
      <c r="O752" s="274">
        <f>ROUND(U73,0)</f>
        <v>6809079</v>
      </c>
      <c r="P752" s="274">
        <f>IF(U76&gt;0,ROUND(U76,0),0)</f>
        <v>10193</v>
      </c>
      <c r="Q752" s="274">
        <f>IF(U77&gt;0,ROUND(U77,0),0)</f>
        <v>0</v>
      </c>
      <c r="R752" s="274">
        <f>IF(U78&gt;0,ROUND(U78,0),0)</f>
        <v>2153</v>
      </c>
      <c r="S752" s="274">
        <f>IF(U79&gt;0,ROUND(U79,0),0)</f>
        <v>1595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2027106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038*2017*7110*A</v>
      </c>
      <c r="B753" s="274">
        <f>ROUND(V59,0)</f>
        <v>29629</v>
      </c>
      <c r="C753" s="276">
        <f>ROUND(V60,2)</f>
        <v>31.27</v>
      </c>
      <c r="D753" s="274">
        <f>ROUND(V61,0)</f>
        <v>1973451</v>
      </c>
      <c r="E753" s="274">
        <f>ROUND(V62,0)</f>
        <v>583571</v>
      </c>
      <c r="F753" s="274">
        <f>ROUND(V63,0)</f>
        <v>134400</v>
      </c>
      <c r="G753" s="274">
        <f>ROUND(V64,0)</f>
        <v>521813</v>
      </c>
      <c r="H753" s="274">
        <f>ROUND(V65,0)</f>
        <v>173</v>
      </c>
      <c r="I753" s="274">
        <f>ROUND(V66,0)</f>
        <v>120627</v>
      </c>
      <c r="J753" s="274">
        <f>ROUND(V67,0)</f>
        <v>297691</v>
      </c>
      <c r="K753" s="274">
        <f>ROUND(V68,0)</f>
        <v>111484</v>
      </c>
      <c r="L753" s="274">
        <f>ROUND(V69,0)</f>
        <v>188512</v>
      </c>
      <c r="M753" s="274">
        <f>ROUND(V70,0)</f>
        <v>0</v>
      </c>
      <c r="N753" s="274">
        <f>ROUND(V75,0)</f>
        <v>15663856</v>
      </c>
      <c r="O753" s="274">
        <f>ROUND(V73,0)</f>
        <v>1383307</v>
      </c>
      <c r="P753" s="274">
        <f>IF(V76&gt;0,ROUND(V76,0),0)</f>
        <v>10890</v>
      </c>
      <c r="Q753" s="274">
        <f>IF(V77&gt;0,ROUND(V77,0),0)</f>
        <v>0</v>
      </c>
      <c r="R753" s="274">
        <f>IF(V78&gt;0,ROUND(V78,0),0)</f>
        <v>2300</v>
      </c>
      <c r="S753" s="274">
        <f>IF(V79&gt;0,ROUND(V79,0),0)</f>
        <v>0</v>
      </c>
      <c r="T753" s="276">
        <f>IF(V80&gt;0,ROUND(V80,2),0)</f>
        <v>2.77</v>
      </c>
      <c r="U753" s="274"/>
      <c r="V753" s="275"/>
      <c r="W753" s="274"/>
      <c r="X753" s="274"/>
      <c r="Y753" s="274">
        <f t="shared" si="21"/>
        <v>1161642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038*2017*7120*A</v>
      </c>
      <c r="B754" s="274">
        <f>ROUND(W59,0)</f>
        <v>6159</v>
      </c>
      <c r="C754" s="276">
        <f>ROUND(W60,2)</f>
        <v>6.45</v>
      </c>
      <c r="D754" s="274">
        <f>ROUND(W61,0)</f>
        <v>497384</v>
      </c>
      <c r="E754" s="274">
        <f>ROUND(W62,0)</f>
        <v>147082</v>
      </c>
      <c r="F754" s="274">
        <f>ROUND(W63,0)</f>
        <v>0</v>
      </c>
      <c r="G754" s="274">
        <f>ROUND(W64,0)</f>
        <v>32121</v>
      </c>
      <c r="H754" s="274">
        <f>ROUND(W65,0)</f>
        <v>0</v>
      </c>
      <c r="I754" s="274">
        <f>ROUND(W66,0)</f>
        <v>3001</v>
      </c>
      <c r="J754" s="274">
        <f>ROUND(W67,0)</f>
        <v>0</v>
      </c>
      <c r="K754" s="274">
        <f>ROUND(W68,0)</f>
        <v>0</v>
      </c>
      <c r="L754" s="274">
        <f>ROUND(W69,0)</f>
        <v>273494</v>
      </c>
      <c r="M754" s="274">
        <f>ROUND(W70,0)</f>
        <v>0</v>
      </c>
      <c r="N754" s="274">
        <f>ROUND(W75,0)</f>
        <v>15161875</v>
      </c>
      <c r="O754" s="274">
        <f>ROUND(W73,0)</f>
        <v>1075686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781979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038*2017*7130*A</v>
      </c>
      <c r="B755" s="274">
        <f>ROUND(X59,0)</f>
        <v>15509</v>
      </c>
      <c r="C755" s="276">
        <f>ROUND(X60,2)</f>
        <v>9.1999999999999993</v>
      </c>
      <c r="D755" s="274">
        <f>ROUND(X61,0)</f>
        <v>600023</v>
      </c>
      <c r="E755" s="274">
        <f>ROUND(X62,0)</f>
        <v>177433</v>
      </c>
      <c r="F755" s="274">
        <f>ROUND(X63,0)</f>
        <v>0</v>
      </c>
      <c r="G755" s="274">
        <f>ROUND(X64,0)</f>
        <v>107750</v>
      </c>
      <c r="H755" s="274">
        <f>ROUND(X65,0)</f>
        <v>0</v>
      </c>
      <c r="I755" s="274">
        <f>ROUND(X66,0)</f>
        <v>5261</v>
      </c>
      <c r="J755" s="274">
        <f>ROUND(X67,0)</f>
        <v>26653</v>
      </c>
      <c r="K755" s="274">
        <f>ROUND(X68,0)</f>
        <v>0</v>
      </c>
      <c r="L755" s="274">
        <f>ROUND(X69,0)</f>
        <v>365464</v>
      </c>
      <c r="M755" s="274">
        <f>ROUND(X70,0)</f>
        <v>0</v>
      </c>
      <c r="N755" s="274">
        <f>ROUND(X75,0)</f>
        <v>27537515</v>
      </c>
      <c r="O755" s="274">
        <f>ROUND(X73,0)</f>
        <v>4971986</v>
      </c>
      <c r="P755" s="274">
        <f>IF(X76&gt;0,ROUND(X76,0),0)</f>
        <v>975</v>
      </c>
      <c r="Q755" s="274">
        <f>IF(X77&gt;0,ROUND(X77,0),0)</f>
        <v>0</v>
      </c>
      <c r="R755" s="274">
        <f>IF(X78&gt;0,ROUND(X78,0),0)</f>
        <v>206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1442831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038*2017*7140*A</v>
      </c>
      <c r="B756" s="274">
        <f>ROUND(Y59,0)</f>
        <v>68073</v>
      </c>
      <c r="C756" s="276">
        <f>ROUND(Y60,2)</f>
        <v>64.77</v>
      </c>
      <c r="D756" s="274">
        <f>ROUND(Y61,0)</f>
        <v>3969346</v>
      </c>
      <c r="E756" s="274">
        <f>ROUND(Y62,0)</f>
        <v>1173779</v>
      </c>
      <c r="F756" s="274">
        <f>ROUND(Y63,0)</f>
        <v>13500</v>
      </c>
      <c r="G756" s="274">
        <f>ROUND(Y64,0)</f>
        <v>275751</v>
      </c>
      <c r="H756" s="274">
        <f>ROUND(Y65,0)</f>
        <v>-4800</v>
      </c>
      <c r="I756" s="274">
        <f>ROUND(Y66,0)</f>
        <v>541974</v>
      </c>
      <c r="J756" s="274">
        <f>ROUND(Y67,0)</f>
        <v>783754</v>
      </c>
      <c r="K756" s="274">
        <f>ROUND(Y68,0)</f>
        <v>203643</v>
      </c>
      <c r="L756" s="274">
        <f>ROUND(Y69,0)</f>
        <v>744649</v>
      </c>
      <c r="M756" s="274">
        <f>ROUND(Y70,0)</f>
        <v>5648</v>
      </c>
      <c r="N756" s="274">
        <f>ROUND(Y75,0)</f>
        <v>26635786</v>
      </c>
      <c r="O756" s="274">
        <f>ROUND(Y73,0)</f>
        <v>2366628</v>
      </c>
      <c r="P756" s="274">
        <f>IF(Y76&gt;0,ROUND(Y76,0),0)</f>
        <v>28671</v>
      </c>
      <c r="Q756" s="274">
        <f>IF(Y77&gt;0,ROUND(Y77,0),0)</f>
        <v>0</v>
      </c>
      <c r="R756" s="274">
        <f>IF(Y78&gt;0,ROUND(Y78,0),0)</f>
        <v>6055</v>
      </c>
      <c r="S756" s="274">
        <f>IF(Y79&gt;0,ROUND(Y79,0),0)</f>
        <v>106142</v>
      </c>
      <c r="T756" s="276">
        <f>IF(Y80&gt;0,ROUND(Y80,2),0)</f>
        <v>2.75</v>
      </c>
      <c r="U756" s="274"/>
      <c r="V756" s="275"/>
      <c r="W756" s="274"/>
      <c r="X756" s="274"/>
      <c r="Y756" s="274">
        <f t="shared" si="21"/>
        <v>2254615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038*2017*7150*A</v>
      </c>
      <c r="B757" s="274">
        <f>ROUND(Z59,0)</f>
        <v>14143</v>
      </c>
      <c r="C757" s="276">
        <f>ROUND(Z60,2)</f>
        <v>16.12</v>
      </c>
      <c r="D757" s="274">
        <f>ROUND(Z61,0)</f>
        <v>1925340</v>
      </c>
      <c r="E757" s="274">
        <f>ROUND(Z62,0)</f>
        <v>569344</v>
      </c>
      <c r="F757" s="274">
        <f>ROUND(Z63,0)</f>
        <v>191632</v>
      </c>
      <c r="G757" s="274">
        <f>ROUND(Z64,0)</f>
        <v>74558</v>
      </c>
      <c r="H757" s="274">
        <f>ROUND(Z65,0)</f>
        <v>360</v>
      </c>
      <c r="I757" s="274">
        <f>ROUND(Z66,0)</f>
        <v>494078</v>
      </c>
      <c r="J757" s="274">
        <f>ROUND(Z67,0)</f>
        <v>284296</v>
      </c>
      <c r="K757" s="274">
        <f>ROUND(Z68,0)</f>
        <v>140</v>
      </c>
      <c r="L757" s="274">
        <f>ROUND(Z69,0)</f>
        <v>783169</v>
      </c>
      <c r="M757" s="274">
        <f>ROUND(Z70,0)</f>
        <v>0</v>
      </c>
      <c r="N757" s="274">
        <f>ROUND(Z75,0)</f>
        <v>13294944</v>
      </c>
      <c r="O757" s="274">
        <f>ROUND(Z73,0)</f>
        <v>109402</v>
      </c>
      <c r="P757" s="274">
        <f>IF(Z76&gt;0,ROUND(Z76,0),0)</f>
        <v>10400</v>
      </c>
      <c r="Q757" s="274">
        <f>IF(Z77&gt;0,ROUND(Z77,0),0)</f>
        <v>0</v>
      </c>
      <c r="R757" s="274">
        <f>IF(Z78&gt;0,ROUND(Z78,0),0)</f>
        <v>2196</v>
      </c>
      <c r="S757" s="274">
        <f>IF(Z79&gt;0,ROUND(Z79,0),0)</f>
        <v>18404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959774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038*2017*7160*A</v>
      </c>
      <c r="B758" s="274">
        <f>ROUND(AA59,0)</f>
        <v>691</v>
      </c>
      <c r="C758" s="276">
        <f>ROUND(AA60,2)</f>
        <v>1.17</v>
      </c>
      <c r="D758" s="274">
        <f>ROUND(AA61,0)</f>
        <v>94742</v>
      </c>
      <c r="E758" s="274">
        <f>ROUND(AA62,0)</f>
        <v>28016</v>
      </c>
      <c r="F758" s="274">
        <f>ROUND(AA63,0)</f>
        <v>0</v>
      </c>
      <c r="G758" s="274">
        <f>ROUND(AA64,0)</f>
        <v>381761</v>
      </c>
      <c r="H758" s="274">
        <f>ROUND(AA65,0)</f>
        <v>0</v>
      </c>
      <c r="I758" s="274">
        <f>ROUND(AA66,0)</f>
        <v>0</v>
      </c>
      <c r="J758" s="274">
        <f>ROUND(AA67,0)</f>
        <v>30124</v>
      </c>
      <c r="K758" s="274">
        <f>ROUND(AA68,0)</f>
        <v>0</v>
      </c>
      <c r="L758" s="274">
        <f>ROUND(AA69,0)</f>
        <v>58942</v>
      </c>
      <c r="M758" s="274">
        <f>ROUND(AA70,0)</f>
        <v>0</v>
      </c>
      <c r="N758" s="274">
        <f>ROUND(AA75,0)</f>
        <v>974618</v>
      </c>
      <c r="O758" s="274">
        <f>ROUND(AA73,0)</f>
        <v>150271</v>
      </c>
      <c r="P758" s="274">
        <f>IF(AA76&gt;0,ROUND(AA76,0),0)</f>
        <v>1102</v>
      </c>
      <c r="Q758" s="274">
        <f>IF(AA77&gt;0,ROUND(AA77,0),0)</f>
        <v>0</v>
      </c>
      <c r="R758" s="274">
        <f>IF(AA78&gt;0,ROUND(AA78,0),0)</f>
        <v>233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97791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038*2017*7170*A</v>
      </c>
      <c r="B759" s="274"/>
      <c r="C759" s="276">
        <f>ROUND(AB60,2)</f>
        <v>19.62</v>
      </c>
      <c r="D759" s="274">
        <f>ROUND(AB61,0)</f>
        <v>1762272</v>
      </c>
      <c r="E759" s="274">
        <f>ROUND(AB62,0)</f>
        <v>521123</v>
      </c>
      <c r="F759" s="274">
        <f>ROUND(AB63,0)</f>
        <v>12284</v>
      </c>
      <c r="G759" s="274">
        <f>ROUND(AB64,0)</f>
        <v>12233299</v>
      </c>
      <c r="H759" s="274">
        <f>ROUND(AB65,0)</f>
        <v>0</v>
      </c>
      <c r="I759" s="274">
        <f>ROUND(AB66,0)</f>
        <v>53047</v>
      </c>
      <c r="J759" s="274">
        <f>ROUND(AB67,0)</f>
        <v>63310</v>
      </c>
      <c r="K759" s="274">
        <f>ROUND(AB68,0)</f>
        <v>140</v>
      </c>
      <c r="L759" s="274">
        <f>ROUND(AB69,0)</f>
        <v>155904</v>
      </c>
      <c r="M759" s="274">
        <f>ROUND(AB70,0)</f>
        <v>147</v>
      </c>
      <c r="N759" s="274">
        <f>ROUND(AB75,0)</f>
        <v>46162674</v>
      </c>
      <c r="O759" s="274">
        <f>ROUND(AB73,0)</f>
        <v>10972777</v>
      </c>
      <c r="P759" s="274">
        <f>IF(AB76&gt;0,ROUND(AB76,0),0)</f>
        <v>2316</v>
      </c>
      <c r="Q759" s="274">
        <f>IF(AB77&gt;0,ROUND(AB77,0),0)</f>
        <v>0</v>
      </c>
      <c r="R759" s="274">
        <f>IF(AB78&gt;0,ROUND(AB78,0),0)</f>
        <v>489</v>
      </c>
      <c r="S759" s="274">
        <f>IF(AB79&gt;0,ROUND(AB79,0),0)</f>
        <v>755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3074571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038*2017*7180*A</v>
      </c>
      <c r="B760" s="274">
        <f>ROUND(AC59,0)</f>
        <v>28536</v>
      </c>
      <c r="C760" s="276">
        <f>ROUND(AC60,2)</f>
        <v>12.21</v>
      </c>
      <c r="D760" s="274">
        <f>ROUND(AC61,0)</f>
        <v>830953</v>
      </c>
      <c r="E760" s="274">
        <f>ROUND(AC62,0)</f>
        <v>245722</v>
      </c>
      <c r="F760" s="274">
        <f>ROUND(AC63,0)</f>
        <v>0</v>
      </c>
      <c r="G760" s="274">
        <f>ROUND(AC64,0)</f>
        <v>143264</v>
      </c>
      <c r="H760" s="274">
        <f>ROUND(AC65,0)</f>
        <v>0</v>
      </c>
      <c r="I760" s="274">
        <f>ROUND(AC66,0)</f>
        <v>9072</v>
      </c>
      <c r="J760" s="274">
        <f>ROUND(AC67,0)</f>
        <v>65525</v>
      </c>
      <c r="K760" s="274">
        <f>ROUND(AC68,0)</f>
        <v>18665</v>
      </c>
      <c r="L760" s="274">
        <f>ROUND(AC69,0)</f>
        <v>33738</v>
      </c>
      <c r="M760" s="274">
        <f>ROUND(AC70,0)</f>
        <v>0</v>
      </c>
      <c r="N760" s="274">
        <f>ROUND(AC75,0)</f>
        <v>3401421</v>
      </c>
      <c r="O760" s="274">
        <f>ROUND(AC73,0)</f>
        <v>2525869</v>
      </c>
      <c r="P760" s="274">
        <f>IF(AC76&gt;0,ROUND(AC76,0),0)</f>
        <v>2397</v>
      </c>
      <c r="Q760" s="274">
        <f>IF(AC77&gt;0,ROUND(AC77,0),0)</f>
        <v>0</v>
      </c>
      <c r="R760" s="274">
        <f>IF(AC78&gt;0,ROUND(AC78,0),0)</f>
        <v>506</v>
      </c>
      <c r="S760" s="274">
        <f>IF(AC79&gt;0,ROUND(AC79,0),0)</f>
        <v>6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259400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038*2017*7190*A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038*2017*7200*A</v>
      </c>
      <c r="B762" s="274">
        <f>ROUND(AE59,0)</f>
        <v>77539</v>
      </c>
      <c r="C762" s="276">
        <f>ROUND(AE60,2)</f>
        <v>37.65</v>
      </c>
      <c r="D762" s="274">
        <f>ROUND(AE61,0)</f>
        <v>2651886</v>
      </c>
      <c r="E762" s="274">
        <f>ROUND(AE62,0)</f>
        <v>784192</v>
      </c>
      <c r="F762" s="274">
        <f>ROUND(AE63,0)</f>
        <v>0</v>
      </c>
      <c r="G762" s="274">
        <f>ROUND(AE64,0)</f>
        <v>50788</v>
      </c>
      <c r="H762" s="274">
        <f>ROUND(AE65,0)</f>
        <v>0</v>
      </c>
      <c r="I762" s="274">
        <f>ROUND(AE66,0)</f>
        <v>138110</v>
      </c>
      <c r="J762" s="274">
        <f>ROUND(AE67,0)</f>
        <v>147096</v>
      </c>
      <c r="K762" s="274">
        <f>ROUND(AE68,0)</f>
        <v>10916</v>
      </c>
      <c r="L762" s="274">
        <f>ROUND(AE69,0)</f>
        <v>25264</v>
      </c>
      <c r="M762" s="274">
        <f>ROUND(AE70,0)</f>
        <v>3059</v>
      </c>
      <c r="N762" s="274">
        <f>ROUND(AE75,0)</f>
        <v>7031953</v>
      </c>
      <c r="O762" s="274">
        <f>ROUND(AE73,0)</f>
        <v>1123776</v>
      </c>
      <c r="P762" s="274">
        <f>IF(AE76&gt;0,ROUND(AE76,0),0)</f>
        <v>5381</v>
      </c>
      <c r="Q762" s="274">
        <f>IF(AE77&gt;0,ROUND(AE77,0),0)</f>
        <v>0</v>
      </c>
      <c r="R762" s="274">
        <f>IF(AE78&gt;0,ROUND(AE78,0),0)</f>
        <v>1136</v>
      </c>
      <c r="S762" s="274">
        <f>IF(AE79&gt;0,ROUND(AE79,0),0)</f>
        <v>22067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568515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038*2017*7220*A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038*2017*7230*A</v>
      </c>
      <c r="B764" s="274">
        <f>ROUND(AG59,0)</f>
        <v>29865</v>
      </c>
      <c r="C764" s="276">
        <f>ROUND(AG60,2)</f>
        <v>51.82</v>
      </c>
      <c r="D764" s="274">
        <f>ROUND(AG61,0)</f>
        <v>4048371</v>
      </c>
      <c r="E764" s="274">
        <f>ROUND(AG62,0)</f>
        <v>1197147</v>
      </c>
      <c r="F764" s="274">
        <f>ROUND(AG63,0)</f>
        <v>4711076</v>
      </c>
      <c r="G764" s="274">
        <f>ROUND(AG64,0)</f>
        <v>519973</v>
      </c>
      <c r="H764" s="274">
        <f>ROUND(AG65,0)</f>
        <v>1528</v>
      </c>
      <c r="I764" s="274">
        <f>ROUND(AG66,0)</f>
        <v>373056</v>
      </c>
      <c r="J764" s="274">
        <f>ROUND(AG67,0)</f>
        <v>189576</v>
      </c>
      <c r="K764" s="274">
        <f>ROUND(AG68,0)</f>
        <v>140</v>
      </c>
      <c r="L764" s="274">
        <f>ROUND(AG69,0)</f>
        <v>31231</v>
      </c>
      <c r="M764" s="274">
        <f>ROUND(AG70,0)</f>
        <v>11507</v>
      </c>
      <c r="N764" s="274">
        <f>ROUND(AG75,0)</f>
        <v>28122689</v>
      </c>
      <c r="O764" s="274">
        <f>ROUND(AG73,0)</f>
        <v>4574420</v>
      </c>
      <c r="P764" s="274">
        <f>IF(AG76&gt;0,ROUND(AG76,0),0)</f>
        <v>6935</v>
      </c>
      <c r="Q764" s="274">
        <f>IF(AG77&gt;0,ROUND(AG77,0),0)</f>
        <v>0</v>
      </c>
      <c r="R764" s="274">
        <f>IF(AG78&gt;0,ROUND(AG78,0),0)</f>
        <v>1465</v>
      </c>
      <c r="S764" s="274">
        <f>IF(AG79&gt;0,ROUND(AG79,0),0)</f>
        <v>262202</v>
      </c>
      <c r="T764" s="276">
        <f>IF(AG80&gt;0,ROUND(AG80,2),0)</f>
        <v>35.85</v>
      </c>
      <c r="U764" s="274"/>
      <c r="V764" s="275"/>
      <c r="W764" s="274"/>
      <c r="X764" s="274"/>
      <c r="Y764" s="274">
        <f t="shared" si="21"/>
        <v>2147145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038*2017*7240*A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3</v>
      </c>
      <c r="H765" s="274">
        <f>ROUND(AH65,0)</f>
        <v>0</v>
      </c>
      <c r="I765" s="274">
        <f>ROUND(AH66,0)</f>
        <v>-1542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6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038*2017*7250*A</v>
      </c>
      <c r="B766" s="274">
        <f>ROUND(AI59,0)</f>
        <v>15895</v>
      </c>
      <c r="C766" s="276">
        <f>ROUND(AI60,2)</f>
        <v>21.06</v>
      </c>
      <c r="D766" s="274">
        <f>ROUND(AI61,0)</f>
        <v>1745304</v>
      </c>
      <c r="E766" s="274">
        <f>ROUND(AI62,0)</f>
        <v>516105</v>
      </c>
      <c r="F766" s="274">
        <f>ROUND(AI63,0)</f>
        <v>52883</v>
      </c>
      <c r="G766" s="274">
        <f>ROUND(AI64,0)</f>
        <v>272434</v>
      </c>
      <c r="H766" s="274">
        <f>ROUND(AI65,0)</f>
        <v>0</v>
      </c>
      <c r="I766" s="274">
        <f>ROUND(AI66,0)</f>
        <v>19351</v>
      </c>
      <c r="J766" s="274">
        <f>ROUND(AI67,0)</f>
        <v>346403</v>
      </c>
      <c r="K766" s="274">
        <f>ROUND(AI68,0)</f>
        <v>0</v>
      </c>
      <c r="L766" s="274">
        <f>ROUND(AI69,0)</f>
        <v>12590</v>
      </c>
      <c r="M766" s="274">
        <f>ROUND(AI70,0)</f>
        <v>0</v>
      </c>
      <c r="N766" s="274">
        <f>ROUND(AI75,0)</f>
        <v>3720198</v>
      </c>
      <c r="O766" s="274">
        <f>ROUND(AI73,0)</f>
        <v>31448</v>
      </c>
      <c r="P766" s="274">
        <f>IF(AI76&gt;0,ROUND(AI76,0),0)</f>
        <v>12672</v>
      </c>
      <c r="Q766" s="274">
        <f>IF(AI77&gt;0,ROUND(AI77,0),0)</f>
        <v>0</v>
      </c>
      <c r="R766" s="274">
        <f>IF(AI78&gt;0,ROUND(AI78,0),0)</f>
        <v>2676</v>
      </c>
      <c r="S766" s="274">
        <f>IF(AI79&gt;0,ROUND(AI79,0),0)</f>
        <v>83681</v>
      </c>
      <c r="T766" s="276">
        <f>IF(AI80&gt;0,ROUND(AI80,2),0)</f>
        <v>15.59</v>
      </c>
      <c r="U766" s="274"/>
      <c r="V766" s="275"/>
      <c r="W766" s="274"/>
      <c r="X766" s="274"/>
      <c r="Y766" s="274">
        <f t="shared" si="21"/>
        <v>721956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038*2017*7260*A</v>
      </c>
      <c r="B767" s="274">
        <f>ROUND(AJ59,0)</f>
        <v>143066</v>
      </c>
      <c r="C767" s="276">
        <f>ROUND(AJ60,2)</f>
        <v>237.2</v>
      </c>
      <c r="D767" s="274">
        <f>ROUND(AJ61,0)</f>
        <v>23570137</v>
      </c>
      <c r="E767" s="274">
        <f>ROUND(AJ62,0)</f>
        <v>6969947</v>
      </c>
      <c r="F767" s="274">
        <f>ROUND(AJ63,0)</f>
        <v>2128634</v>
      </c>
      <c r="G767" s="274">
        <f>ROUND(AJ64,0)</f>
        <v>1685559</v>
      </c>
      <c r="H767" s="274">
        <f>ROUND(AJ65,0)</f>
        <v>335</v>
      </c>
      <c r="I767" s="274">
        <f>ROUND(AJ66,0)</f>
        <v>150708</v>
      </c>
      <c r="J767" s="274">
        <f>ROUND(AJ67,0)</f>
        <v>1649490</v>
      </c>
      <c r="K767" s="274">
        <f>ROUND(AJ68,0)</f>
        <v>1151059</v>
      </c>
      <c r="L767" s="274">
        <f>ROUND(AJ69,0)</f>
        <v>1822810</v>
      </c>
      <c r="M767" s="274">
        <f>ROUND(AJ70,0)</f>
        <v>29732</v>
      </c>
      <c r="N767" s="274">
        <f>ROUND(AJ75,0)</f>
        <v>55537722</v>
      </c>
      <c r="O767" s="274">
        <f>ROUND(AJ73,0)</f>
        <v>76185</v>
      </c>
      <c r="P767" s="274">
        <f>IF(AJ76&gt;0,ROUND(AJ76,0),0)</f>
        <v>60341</v>
      </c>
      <c r="Q767" s="274">
        <f>IF(AJ77&gt;0,ROUND(AJ77,0),0)</f>
        <v>0</v>
      </c>
      <c r="R767" s="274">
        <f>IF(AJ78&gt;0,ROUND(AJ78,0),0)</f>
        <v>11326</v>
      </c>
      <c r="S767" s="274">
        <f>IF(AJ79&gt;0,ROUND(AJ79,0),0)</f>
        <v>50633</v>
      </c>
      <c r="T767" s="276">
        <f>IF(AJ80&gt;0,ROUND(AJ80,2),0)</f>
        <v>5.27</v>
      </c>
      <c r="U767" s="274"/>
      <c r="V767" s="275"/>
      <c r="W767" s="274"/>
      <c r="X767" s="274"/>
      <c r="Y767" s="274">
        <f t="shared" si="21"/>
        <v>4765658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038*2017*7310*A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038*2017*7320*A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038*2017*7330*A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038*2017*7340*A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038*2017*7350*A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038*2017*7380*A</v>
      </c>
      <c r="B773" s="274">
        <f>ROUND(AP59,0)</f>
        <v>6402</v>
      </c>
      <c r="C773" s="276">
        <f>ROUND(AP60,2)</f>
        <v>8.4700000000000006</v>
      </c>
      <c r="D773" s="274">
        <f>ROUND(AP61,0)</f>
        <v>883627</v>
      </c>
      <c r="E773" s="274">
        <f>ROUND(AP62,0)</f>
        <v>261298</v>
      </c>
      <c r="F773" s="274">
        <f>ROUND(AP63,0)</f>
        <v>0</v>
      </c>
      <c r="G773" s="274">
        <f>ROUND(AP64,0)</f>
        <v>139383</v>
      </c>
      <c r="H773" s="274">
        <f>ROUND(AP65,0)</f>
        <v>0</v>
      </c>
      <c r="I773" s="274">
        <f>ROUND(AP66,0)</f>
        <v>35365</v>
      </c>
      <c r="J773" s="274">
        <f>ROUND(AP67,0)</f>
        <v>227191</v>
      </c>
      <c r="K773" s="274">
        <f>ROUND(AP68,0)</f>
        <v>99413</v>
      </c>
      <c r="L773" s="274">
        <f>ROUND(AP69,0)</f>
        <v>51312</v>
      </c>
      <c r="M773" s="274">
        <f>ROUND(AP70,0)</f>
        <v>4252</v>
      </c>
      <c r="N773" s="274">
        <f>ROUND(AP75,0)</f>
        <v>2851842</v>
      </c>
      <c r="O773" s="274">
        <f>ROUND(AP73,0)</f>
        <v>0</v>
      </c>
      <c r="P773" s="274">
        <f>IF(AP76&gt;0,ROUND(AP76,0),0)</f>
        <v>8311</v>
      </c>
      <c r="Q773" s="274">
        <f>IF(AP77&gt;0,ROUND(AP77,0),0)</f>
        <v>0</v>
      </c>
      <c r="R773" s="274">
        <f>IF(AP78&gt;0,ROUND(AP78,0),0)</f>
        <v>507</v>
      </c>
      <c r="S773" s="274">
        <f>IF(AP79&gt;0,ROUND(AP79,0),0)</f>
        <v>4680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334669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038*2017*7390*A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038*2017*7400*A</v>
      </c>
      <c r="B775" s="274">
        <f>ROUND(AR59,0)</f>
        <v>47938</v>
      </c>
      <c r="C775" s="276">
        <f>ROUND(AR60,2)</f>
        <v>64.959999999999994</v>
      </c>
      <c r="D775" s="274">
        <f>ROUND(AR61,0)</f>
        <v>4673750</v>
      </c>
      <c r="E775" s="274">
        <f>ROUND(AR62,0)</f>
        <v>1382079</v>
      </c>
      <c r="F775" s="274">
        <f>ROUND(AR63,0)</f>
        <v>0</v>
      </c>
      <c r="G775" s="274">
        <f>ROUND(AR64,0)</f>
        <v>198617</v>
      </c>
      <c r="H775" s="274">
        <f>ROUND(AR65,0)</f>
        <v>20700</v>
      </c>
      <c r="I775" s="274">
        <f>ROUND(AR66,0)</f>
        <v>286352</v>
      </c>
      <c r="J775" s="274">
        <f>ROUND(AR67,0)</f>
        <v>159233</v>
      </c>
      <c r="K775" s="274">
        <f>ROUND(AR68,0)</f>
        <v>90119</v>
      </c>
      <c r="L775" s="274">
        <f>ROUND(AR69,0)</f>
        <v>242285</v>
      </c>
      <c r="M775" s="274">
        <f>ROUND(AR70,0)</f>
        <v>209013</v>
      </c>
      <c r="N775" s="274">
        <f>ROUND(AR75,0)</f>
        <v>7881560</v>
      </c>
      <c r="O775" s="274">
        <f>ROUND(AR73,0)</f>
        <v>0</v>
      </c>
      <c r="P775" s="274">
        <f>IF(AR76&gt;0,ROUND(AR76,0),0)</f>
        <v>5825</v>
      </c>
      <c r="Q775" s="274">
        <f>IF(AR77&gt;0,ROUND(AR77,0),0)</f>
        <v>0</v>
      </c>
      <c r="R775" s="274">
        <f>IF(AR78&gt;0,ROUND(AR78,0),0)</f>
        <v>1230</v>
      </c>
      <c r="S775" s="274">
        <f>IF(AR79&gt;0,ROUND(AR79,0),0)</f>
        <v>0</v>
      </c>
      <c r="T775" s="276">
        <f>IF(AR80&gt;0,ROUND(AR80,2),0)</f>
        <v>23.24</v>
      </c>
      <c r="U775" s="274"/>
      <c r="V775" s="275"/>
      <c r="W775" s="274"/>
      <c r="X775" s="274"/>
      <c r="Y775" s="274">
        <f t="shared" si="21"/>
        <v>854763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038*2017*7410*A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038*2017*7420*A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038*2017*7430*A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038*2017*7490*A</v>
      </c>
      <c r="B779" s="274"/>
      <c r="C779" s="276">
        <f>ROUND(AV60,2)</f>
        <v>16.03</v>
      </c>
      <c r="D779" s="274">
        <f>ROUND(AV61,0)</f>
        <v>2964143</v>
      </c>
      <c r="E779" s="274">
        <f>ROUND(AV62,0)</f>
        <v>876529</v>
      </c>
      <c r="F779" s="274">
        <f>ROUND(AV63,0)</f>
        <v>227042</v>
      </c>
      <c r="G779" s="274">
        <f>ROUND(AV64,0)</f>
        <v>34959</v>
      </c>
      <c r="H779" s="274">
        <f>ROUND(AV65,0)</f>
        <v>1080</v>
      </c>
      <c r="I779" s="274">
        <f>ROUND(AV66,0)</f>
        <v>69</v>
      </c>
      <c r="J779" s="274">
        <f>ROUND(AV67,0)</f>
        <v>0</v>
      </c>
      <c r="K779" s="274">
        <f>ROUND(AV68,0)</f>
        <v>40183</v>
      </c>
      <c r="L779" s="274">
        <f>ROUND(AV69,0)</f>
        <v>87704</v>
      </c>
      <c r="M779" s="274">
        <f>ROUND(AV70,0)</f>
        <v>1401</v>
      </c>
      <c r="N779" s="274">
        <f>ROUND(AV75,0)</f>
        <v>3875525</v>
      </c>
      <c r="O779" s="274">
        <f>ROUND(AV73,0)</f>
        <v>3480886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4470</v>
      </c>
      <c r="T779" s="276">
        <f>IF(AV80&gt;0,ROUND(AV80,2),0)</f>
        <v>2.1</v>
      </c>
      <c r="U779" s="274"/>
      <c r="V779" s="275"/>
      <c r="W779" s="274"/>
      <c r="X779" s="274"/>
      <c r="Y779" s="274">
        <f t="shared" si="21"/>
        <v>237468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038*2017*8200*A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038*2017*8310*A</v>
      </c>
      <c r="B781" s="274"/>
      <c r="C781" s="276">
        <f>ROUND(AX60,2)</f>
        <v>1.03</v>
      </c>
      <c r="D781" s="274">
        <f>ROUND(AX61,0)</f>
        <v>47115</v>
      </c>
      <c r="E781" s="274">
        <f>ROUND(AX62,0)</f>
        <v>13932</v>
      </c>
      <c r="F781" s="274">
        <f>ROUND(AX63,0)</f>
        <v>0</v>
      </c>
      <c r="G781" s="274">
        <f>ROUND(AX64,0)</f>
        <v>39010</v>
      </c>
      <c r="H781" s="274">
        <f>ROUND(AX65,0)</f>
        <v>0</v>
      </c>
      <c r="I781" s="274">
        <f>ROUND(AX66,0)</f>
        <v>0</v>
      </c>
      <c r="J781" s="274">
        <f>ROUND(AX67,0)</f>
        <v>4374</v>
      </c>
      <c r="K781" s="274">
        <f>ROUND(AX68,0)</f>
        <v>140</v>
      </c>
      <c r="L781" s="274">
        <f>ROUND(AX69,0)</f>
        <v>97</v>
      </c>
      <c r="M781" s="274">
        <f>ROUND(AX70,0)</f>
        <v>0</v>
      </c>
      <c r="N781" s="274"/>
      <c r="O781" s="274"/>
      <c r="P781" s="274">
        <f>IF(AX76&gt;0,ROUND(AX76,0),0)</f>
        <v>160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038*2017*8320*A</v>
      </c>
      <c r="B782" s="274">
        <f>ROUND(AY59,0)</f>
        <v>45180</v>
      </c>
      <c r="C782" s="276">
        <f>ROUND(AY60,2)</f>
        <v>36.409999999999997</v>
      </c>
      <c r="D782" s="274">
        <f>ROUND(AY61,0)</f>
        <v>1222696</v>
      </c>
      <c r="E782" s="274">
        <f>ROUND(AY62,0)</f>
        <v>361564</v>
      </c>
      <c r="F782" s="274">
        <f>ROUND(AY63,0)</f>
        <v>0</v>
      </c>
      <c r="G782" s="274">
        <f>ROUND(AY64,0)</f>
        <v>837112</v>
      </c>
      <c r="H782" s="274">
        <f>ROUND(AY65,0)</f>
        <v>0</v>
      </c>
      <c r="I782" s="274">
        <f>ROUND(AY66,0)</f>
        <v>1853</v>
      </c>
      <c r="J782" s="274">
        <f>ROUND(AY67,0)</f>
        <v>76623</v>
      </c>
      <c r="K782" s="274">
        <f>ROUND(AY68,0)</f>
        <v>0</v>
      </c>
      <c r="L782" s="274">
        <f>ROUND(AY69,0)</f>
        <v>42111</v>
      </c>
      <c r="M782" s="274">
        <f>ROUND(AY70,0)</f>
        <v>0</v>
      </c>
      <c r="N782" s="274"/>
      <c r="O782" s="274"/>
      <c r="P782" s="274">
        <f>IF(AY76&gt;0,ROUND(AY76,0),0)</f>
        <v>2803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038*2017*8330*A</v>
      </c>
      <c r="B783" s="274">
        <f>ROUND(AZ59,0)</f>
        <v>0</v>
      </c>
      <c r="C783" s="276">
        <f>ROUND(AZ60,2)</f>
        <v>3.96</v>
      </c>
      <c r="D783" s="274">
        <f>ROUND(AZ61,0)</f>
        <v>215430</v>
      </c>
      <c r="E783" s="274">
        <f>ROUND(AZ62,0)</f>
        <v>63705</v>
      </c>
      <c r="F783" s="274">
        <f>ROUND(AZ63,0)</f>
        <v>0</v>
      </c>
      <c r="G783" s="274">
        <f>ROUND(AZ64,0)</f>
        <v>2370</v>
      </c>
      <c r="H783" s="274">
        <f>ROUND(AZ65,0)</f>
        <v>0</v>
      </c>
      <c r="I783" s="274">
        <f>ROUND(AZ66,0)</f>
        <v>-2442</v>
      </c>
      <c r="J783" s="274">
        <f>ROUND(AZ67,0)</f>
        <v>117108</v>
      </c>
      <c r="K783" s="274">
        <f>ROUND(AZ68,0)</f>
        <v>6734</v>
      </c>
      <c r="L783" s="274">
        <f>ROUND(AZ69,0)</f>
        <v>1910</v>
      </c>
      <c r="M783" s="274">
        <f>ROUND(AZ70,0)</f>
        <v>1038833</v>
      </c>
      <c r="N783" s="274"/>
      <c r="O783" s="274"/>
      <c r="P783" s="274">
        <f>IF(AZ76&gt;0,ROUND(AZ76,0),0)</f>
        <v>4284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038*2017*8350*A</v>
      </c>
      <c r="B784" s="274">
        <f>ROUND(BA59,0)</f>
        <v>0</v>
      </c>
      <c r="C784" s="276">
        <f>ROUND(BA60,2)</f>
        <v>8.39</v>
      </c>
      <c r="D784" s="274">
        <f>ROUND(BA61,0)</f>
        <v>265918</v>
      </c>
      <c r="E784" s="274">
        <f>ROUND(BA62,0)</f>
        <v>78635</v>
      </c>
      <c r="F784" s="274">
        <f>ROUND(BA63,0)</f>
        <v>0</v>
      </c>
      <c r="G784" s="274">
        <f>ROUND(BA64,0)</f>
        <v>159920</v>
      </c>
      <c r="H784" s="274">
        <f>ROUND(BA65,0)</f>
        <v>0</v>
      </c>
      <c r="I784" s="274">
        <f>ROUND(BA66,0)</f>
        <v>0</v>
      </c>
      <c r="J784" s="274">
        <f>ROUND(BA67,0)</f>
        <v>111149</v>
      </c>
      <c r="K784" s="274">
        <f>ROUND(BA68,0)</f>
        <v>0</v>
      </c>
      <c r="L784" s="274">
        <f>ROUND(BA69,0)</f>
        <v>647</v>
      </c>
      <c r="M784" s="274">
        <f>ROUND(BA70,0)</f>
        <v>0</v>
      </c>
      <c r="N784" s="274"/>
      <c r="O784" s="274"/>
      <c r="P784" s="274">
        <f>IF(BA76&gt;0,ROUND(BA76,0),0)</f>
        <v>4066</v>
      </c>
      <c r="Q784" s="274">
        <f>IF(BA77&gt;0,ROUND(BA77,0),0)</f>
        <v>0</v>
      </c>
      <c r="R784" s="274">
        <f>IF(BA78&gt;0,ROUND(BA78,0),0)</f>
        <v>859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038*2017*8360*A</v>
      </c>
      <c r="B785" s="274"/>
      <c r="C785" s="276">
        <f>ROUND(BB60,2)</f>
        <v>15.93</v>
      </c>
      <c r="D785" s="274">
        <f>ROUND(BB61,0)</f>
        <v>1124825</v>
      </c>
      <c r="E785" s="274">
        <f>ROUND(BB62,0)</f>
        <v>332623</v>
      </c>
      <c r="F785" s="274">
        <f>ROUND(BB63,0)</f>
        <v>2388</v>
      </c>
      <c r="G785" s="274">
        <f>ROUND(BB64,0)</f>
        <v>6654</v>
      </c>
      <c r="H785" s="274">
        <f>ROUND(BB65,0)</f>
        <v>0</v>
      </c>
      <c r="I785" s="274">
        <f>ROUND(BB66,0)</f>
        <v>196709</v>
      </c>
      <c r="J785" s="274">
        <f>ROUND(BB67,0)</f>
        <v>9732</v>
      </c>
      <c r="K785" s="274">
        <f>ROUND(BB68,0)</f>
        <v>0</v>
      </c>
      <c r="L785" s="274">
        <f>ROUND(BB69,0)</f>
        <v>9969</v>
      </c>
      <c r="M785" s="274">
        <f>ROUND(BB70,0)</f>
        <v>-15850</v>
      </c>
      <c r="N785" s="274"/>
      <c r="O785" s="274"/>
      <c r="P785" s="274">
        <f>IF(BB76&gt;0,ROUND(BB76,0),0)</f>
        <v>356</v>
      </c>
      <c r="Q785" s="274">
        <f>IF(BB77&gt;0,ROUND(BB77,0),0)</f>
        <v>0</v>
      </c>
      <c r="R785" s="274">
        <f>IF(BB78&gt;0,ROUND(BB78,0),0)</f>
        <v>75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038*2017*8370*A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038*2017*8420*A</v>
      </c>
      <c r="B787" s="274"/>
      <c r="C787" s="276">
        <f>ROUND(BD60,2)</f>
        <v>10.82</v>
      </c>
      <c r="D787" s="274">
        <f>ROUND(BD61,0)</f>
        <v>549855</v>
      </c>
      <c r="E787" s="274">
        <f>ROUND(BD62,0)</f>
        <v>162598</v>
      </c>
      <c r="F787" s="274">
        <f>ROUND(BD63,0)</f>
        <v>20212</v>
      </c>
      <c r="G787" s="274">
        <f>ROUND(BD64,0)</f>
        <v>119843</v>
      </c>
      <c r="H787" s="274">
        <f>ROUND(BD65,0)</f>
        <v>0</v>
      </c>
      <c r="I787" s="274">
        <f>ROUND(BD66,0)</f>
        <v>30464</v>
      </c>
      <c r="J787" s="274">
        <f>ROUND(BD67,0)</f>
        <v>157429</v>
      </c>
      <c r="K787" s="274">
        <f>ROUND(BD68,0)</f>
        <v>2016</v>
      </c>
      <c r="L787" s="274">
        <f>ROUND(BD69,0)</f>
        <v>348313</v>
      </c>
      <c r="M787" s="274">
        <f>ROUND(BD70,0)</f>
        <v>0</v>
      </c>
      <c r="N787" s="274"/>
      <c r="O787" s="274"/>
      <c r="P787" s="274">
        <f>IF(BD76&gt;0,ROUND(BD76,0),0)</f>
        <v>5759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038*2017*8430*A</v>
      </c>
      <c r="B788" s="274">
        <f>ROUND(BE59,0)</f>
        <v>389799</v>
      </c>
      <c r="C788" s="276">
        <f>ROUND(BE60,2)</f>
        <v>18.260000000000002</v>
      </c>
      <c r="D788" s="274">
        <f>ROUND(BE61,0)</f>
        <v>961636</v>
      </c>
      <c r="E788" s="274">
        <f>ROUND(BE62,0)</f>
        <v>284366</v>
      </c>
      <c r="F788" s="274">
        <f>ROUND(BE63,0)</f>
        <v>20915</v>
      </c>
      <c r="G788" s="274">
        <f>ROUND(BE64,0)</f>
        <v>193143</v>
      </c>
      <c r="H788" s="274">
        <f>ROUND(BE65,0)</f>
        <v>1693539</v>
      </c>
      <c r="I788" s="274">
        <f>ROUND(BE66,0)</f>
        <v>310793</v>
      </c>
      <c r="J788" s="274">
        <f>ROUND(BE67,0)</f>
        <v>2090640</v>
      </c>
      <c r="K788" s="274">
        <f>ROUND(BE68,0)</f>
        <v>142</v>
      </c>
      <c r="L788" s="274">
        <f>ROUND(BE69,0)</f>
        <v>271998</v>
      </c>
      <c r="M788" s="274">
        <f>ROUND(BE70,0)</f>
        <v>30</v>
      </c>
      <c r="N788" s="274"/>
      <c r="O788" s="274"/>
      <c r="P788" s="274">
        <f>IF(BE76&gt;0,ROUND(BE76,0),0)</f>
        <v>76479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038*2017*8460*A</v>
      </c>
      <c r="B789" s="274"/>
      <c r="C789" s="276">
        <f>ROUND(BF60,2)</f>
        <v>36.18</v>
      </c>
      <c r="D789" s="274">
        <f>ROUND(BF61,0)</f>
        <v>1270223</v>
      </c>
      <c r="E789" s="274">
        <f>ROUND(BF62,0)</f>
        <v>375619</v>
      </c>
      <c r="F789" s="274">
        <f>ROUND(BF63,0)</f>
        <v>0</v>
      </c>
      <c r="G789" s="274">
        <f>ROUND(BF64,0)</f>
        <v>232595</v>
      </c>
      <c r="H789" s="274">
        <f>ROUND(BF65,0)</f>
        <v>0</v>
      </c>
      <c r="I789" s="274">
        <f>ROUND(BF66,0)</f>
        <v>4766</v>
      </c>
      <c r="J789" s="274">
        <f>ROUND(BF67,0)</f>
        <v>9704</v>
      </c>
      <c r="K789" s="274">
        <f>ROUND(BF68,0)</f>
        <v>140</v>
      </c>
      <c r="L789" s="274">
        <f>ROUND(BF69,0)</f>
        <v>2731</v>
      </c>
      <c r="M789" s="274">
        <f>ROUND(BF70,0)</f>
        <v>0</v>
      </c>
      <c r="N789" s="274"/>
      <c r="O789" s="274"/>
      <c r="P789" s="274">
        <f>IF(BF76&gt;0,ROUND(BF76,0),0)</f>
        <v>355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038*2017*8470*A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038*2017*8480*A</v>
      </c>
      <c r="B791" s="274"/>
      <c r="C791" s="276">
        <f>ROUND(BH60,2)</f>
        <v>29.08</v>
      </c>
      <c r="D791" s="274">
        <f>ROUND(BH61,0)</f>
        <v>2083643</v>
      </c>
      <c r="E791" s="274">
        <f>ROUND(BH62,0)</f>
        <v>616156</v>
      </c>
      <c r="F791" s="274">
        <f>ROUND(BH63,0)</f>
        <v>24905</v>
      </c>
      <c r="G791" s="274">
        <f>ROUND(BH64,0)</f>
        <v>424436</v>
      </c>
      <c r="H791" s="274">
        <f>ROUND(BH65,0)</f>
        <v>578165</v>
      </c>
      <c r="I791" s="274">
        <f>ROUND(BH66,0)</f>
        <v>13746</v>
      </c>
      <c r="J791" s="274">
        <f>ROUND(BH67,0)</f>
        <v>56449</v>
      </c>
      <c r="K791" s="274">
        <f>ROUND(BH68,0)</f>
        <v>421</v>
      </c>
      <c r="L791" s="274">
        <f>ROUND(BH69,0)</f>
        <v>2564259</v>
      </c>
      <c r="M791" s="274">
        <f>ROUND(BH70,0)</f>
        <v>0</v>
      </c>
      <c r="N791" s="274"/>
      <c r="O791" s="274"/>
      <c r="P791" s="274">
        <f>IF(BH76&gt;0,ROUND(BH76,0),0)</f>
        <v>2065</v>
      </c>
      <c r="Q791" s="274">
        <f>IF(BH77&gt;0,ROUND(BH77,0),0)</f>
        <v>0</v>
      </c>
      <c r="R791" s="274">
        <f>IF(BH78&gt;0,ROUND(BH78,0),0)</f>
        <v>436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038*2017*8490*A</v>
      </c>
      <c r="B792" s="274"/>
      <c r="C792" s="276">
        <f>ROUND(BI60,2)</f>
        <v>17.61</v>
      </c>
      <c r="D792" s="274">
        <f>ROUND(BI61,0)</f>
        <v>701695</v>
      </c>
      <c r="E792" s="274">
        <f>ROUND(BI62,0)</f>
        <v>207499</v>
      </c>
      <c r="F792" s="274">
        <f>ROUND(BI63,0)</f>
        <v>0</v>
      </c>
      <c r="G792" s="274">
        <f>ROUND(BI64,0)</f>
        <v>19933</v>
      </c>
      <c r="H792" s="274">
        <f>ROUND(BI65,0)</f>
        <v>0</v>
      </c>
      <c r="I792" s="274">
        <f>ROUND(BI66,0)</f>
        <v>118000</v>
      </c>
      <c r="J792" s="274">
        <f>ROUND(BI67,0)</f>
        <v>7654</v>
      </c>
      <c r="K792" s="274">
        <f>ROUND(BI68,0)</f>
        <v>0</v>
      </c>
      <c r="L792" s="274">
        <f>ROUND(BI69,0)</f>
        <v>7204</v>
      </c>
      <c r="M792" s="274">
        <f>ROUND(BI70,0)</f>
        <v>0</v>
      </c>
      <c r="N792" s="274"/>
      <c r="O792" s="274"/>
      <c r="P792" s="274">
        <f>IF(BI76&gt;0,ROUND(BI76,0),0)</f>
        <v>280</v>
      </c>
      <c r="Q792" s="274">
        <f>IF(BI77&gt;0,ROUND(BI77,0),0)</f>
        <v>0</v>
      </c>
      <c r="R792" s="274">
        <f>IF(BI78&gt;0,ROUND(BI78,0),0)</f>
        <v>24633</v>
      </c>
      <c r="S792" s="274">
        <f>IF(BI79&gt;0,ROUND(BI79,0),0)</f>
        <v>58207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038*2017*8510*A</v>
      </c>
      <c r="B793" s="274"/>
      <c r="C793" s="276">
        <f>ROUND(BJ60,2)</f>
        <v>14.99</v>
      </c>
      <c r="D793" s="274">
        <f>ROUND(BJ61,0)</f>
        <v>913359</v>
      </c>
      <c r="E793" s="274">
        <f>ROUND(BJ62,0)</f>
        <v>270090</v>
      </c>
      <c r="F793" s="274">
        <f>ROUND(BJ63,0)</f>
        <v>160819</v>
      </c>
      <c r="G793" s="274">
        <f>ROUND(BJ64,0)</f>
        <v>15046</v>
      </c>
      <c r="H793" s="274">
        <f>ROUND(BJ65,0)</f>
        <v>0</v>
      </c>
      <c r="I793" s="274">
        <f>ROUND(BJ66,0)</f>
        <v>4750</v>
      </c>
      <c r="J793" s="274">
        <f>ROUND(BJ67,0)</f>
        <v>31081</v>
      </c>
      <c r="K793" s="274">
        <f>ROUND(BJ68,0)</f>
        <v>0</v>
      </c>
      <c r="L793" s="274">
        <f>ROUND(BJ69,0)</f>
        <v>122366</v>
      </c>
      <c r="M793" s="274">
        <f>ROUND(BJ70,0)</f>
        <v>6985</v>
      </c>
      <c r="N793" s="274"/>
      <c r="O793" s="274"/>
      <c r="P793" s="274">
        <f>IF(BJ76&gt;0,ROUND(BJ76,0),0)</f>
        <v>1137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038*2017*8530*A</v>
      </c>
      <c r="B794" s="274"/>
      <c r="C794" s="276">
        <f>ROUND(BK60,2)</f>
        <v>32.69</v>
      </c>
      <c r="D794" s="274">
        <f>ROUND(BK61,0)</f>
        <v>1388947</v>
      </c>
      <c r="E794" s="274">
        <f>ROUND(BK62,0)</f>
        <v>410727</v>
      </c>
      <c r="F794" s="274">
        <f>ROUND(BK63,0)</f>
        <v>0</v>
      </c>
      <c r="G794" s="274">
        <f>ROUND(BK64,0)</f>
        <v>42501</v>
      </c>
      <c r="H794" s="274">
        <f>ROUND(BK65,0)</f>
        <v>0</v>
      </c>
      <c r="I794" s="274">
        <f>ROUND(BK66,0)</f>
        <v>343103</v>
      </c>
      <c r="J794" s="274">
        <f>ROUND(BK67,0)</f>
        <v>136681</v>
      </c>
      <c r="K794" s="274">
        <f>ROUND(BK68,0)</f>
        <v>60533</v>
      </c>
      <c r="L794" s="274">
        <f>ROUND(BK69,0)</f>
        <v>254838</v>
      </c>
      <c r="M794" s="274">
        <f>ROUND(BK70,0)</f>
        <v>0</v>
      </c>
      <c r="N794" s="274"/>
      <c r="O794" s="274"/>
      <c r="P794" s="274">
        <f>IF(BK76&gt;0,ROUND(BK76,0),0)</f>
        <v>5000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038*2017*8560*A</v>
      </c>
      <c r="B795" s="274"/>
      <c r="C795" s="276">
        <f>ROUND(BL60,2)</f>
        <v>66.88</v>
      </c>
      <c r="D795" s="274">
        <f>ROUND(BL61,0)</f>
        <v>2397835</v>
      </c>
      <c r="E795" s="274">
        <f>ROUND(BL62,0)</f>
        <v>709066</v>
      </c>
      <c r="F795" s="274">
        <f>ROUND(BL63,0)</f>
        <v>0</v>
      </c>
      <c r="G795" s="274">
        <f>ROUND(BL64,0)</f>
        <v>51992</v>
      </c>
      <c r="H795" s="274">
        <f>ROUND(BL65,0)</f>
        <v>0</v>
      </c>
      <c r="I795" s="274">
        <f>ROUND(BL66,0)</f>
        <v>35886</v>
      </c>
      <c r="J795" s="274">
        <f>ROUND(BL67,0)</f>
        <v>342194</v>
      </c>
      <c r="K795" s="274">
        <f>ROUND(BL68,0)</f>
        <v>98540</v>
      </c>
      <c r="L795" s="274">
        <f>ROUND(BL69,0)</f>
        <v>39884</v>
      </c>
      <c r="M795" s="274">
        <f>ROUND(BL70,0)</f>
        <v>0</v>
      </c>
      <c r="N795" s="274"/>
      <c r="O795" s="274"/>
      <c r="P795" s="274">
        <f>IF(BL76&gt;0,ROUND(BL76,0),0)</f>
        <v>12518</v>
      </c>
      <c r="Q795" s="274">
        <f>IF(BL77&gt;0,ROUND(BL77,0),0)</f>
        <v>0</v>
      </c>
      <c r="R795" s="274">
        <f>IF(BL78&gt;0,ROUND(BL78,0),0)</f>
        <v>2643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038*2017*8590*A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038*2017*8610*A</v>
      </c>
      <c r="B797" s="274"/>
      <c r="C797" s="276">
        <f>ROUND(BN60,2)</f>
        <v>4.2699999999999996</v>
      </c>
      <c r="D797" s="274">
        <f>ROUND(BN61,0)</f>
        <v>617821</v>
      </c>
      <c r="E797" s="274">
        <f>ROUND(BN62,0)</f>
        <v>182696</v>
      </c>
      <c r="F797" s="274">
        <f>ROUND(BN63,0)</f>
        <v>177936</v>
      </c>
      <c r="G797" s="274">
        <f>ROUND(BN64,0)</f>
        <v>36456</v>
      </c>
      <c r="H797" s="274">
        <f>ROUND(BN65,0)</f>
        <v>960</v>
      </c>
      <c r="I797" s="274">
        <f>ROUND(BN66,0)</f>
        <v>127436</v>
      </c>
      <c r="J797" s="274">
        <f>ROUND(BN67,0)</f>
        <v>830472</v>
      </c>
      <c r="K797" s="274">
        <f>ROUND(BN68,0)</f>
        <v>157679</v>
      </c>
      <c r="L797" s="274">
        <f>ROUND(BN69,0)</f>
        <v>305962</v>
      </c>
      <c r="M797" s="274">
        <f>ROUND(BN70,0)</f>
        <v>155621</v>
      </c>
      <c r="N797" s="274"/>
      <c r="O797" s="274"/>
      <c r="P797" s="274">
        <f>IF(BN76&gt;0,ROUND(BN76,0),0)</f>
        <v>30380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038*2017*8620*A</v>
      </c>
      <c r="B798" s="274"/>
      <c r="C798" s="276">
        <f>ROUND(BO60,2)</f>
        <v>1.0900000000000001</v>
      </c>
      <c r="D798" s="274">
        <f>ROUND(BO61,0)</f>
        <v>91555</v>
      </c>
      <c r="E798" s="274">
        <f>ROUND(BO62,0)</f>
        <v>27074</v>
      </c>
      <c r="F798" s="274">
        <f>ROUND(BO63,0)</f>
        <v>0</v>
      </c>
      <c r="G798" s="274">
        <f>ROUND(BO64,0)</f>
        <v>30121</v>
      </c>
      <c r="H798" s="274">
        <f>ROUND(BO65,0)</f>
        <v>0</v>
      </c>
      <c r="I798" s="274">
        <f>ROUND(BO66,0)</f>
        <v>0</v>
      </c>
      <c r="J798" s="274">
        <f>ROUND(BO67,0)</f>
        <v>136216</v>
      </c>
      <c r="K798" s="274">
        <f>ROUND(BO68,0)</f>
        <v>0</v>
      </c>
      <c r="L798" s="274">
        <f>ROUND(BO69,0)</f>
        <v>125780</v>
      </c>
      <c r="M798" s="274">
        <f>ROUND(BO70,0)</f>
        <v>0</v>
      </c>
      <c r="N798" s="274"/>
      <c r="O798" s="274"/>
      <c r="P798" s="274">
        <f>IF(BO76&gt;0,ROUND(BO76,0),0)</f>
        <v>4983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038*2017*8630*A</v>
      </c>
      <c r="B799" s="274"/>
      <c r="C799" s="276">
        <f>ROUND(BP60,2)</f>
        <v>3</v>
      </c>
      <c r="D799" s="274">
        <f>ROUND(BP61,0)</f>
        <v>208768</v>
      </c>
      <c r="E799" s="274">
        <f>ROUND(BP62,0)</f>
        <v>61735</v>
      </c>
      <c r="F799" s="274">
        <f>ROUND(BP63,0)</f>
        <v>0</v>
      </c>
      <c r="G799" s="274">
        <f>ROUND(BP64,0)</f>
        <v>48981</v>
      </c>
      <c r="H799" s="274">
        <f>ROUND(BP65,0)</f>
        <v>0</v>
      </c>
      <c r="I799" s="274">
        <f>ROUND(BP66,0)</f>
        <v>4689</v>
      </c>
      <c r="J799" s="274">
        <f>ROUND(BP67,0)</f>
        <v>0</v>
      </c>
      <c r="K799" s="274">
        <f>ROUND(BP68,0)</f>
        <v>0</v>
      </c>
      <c r="L799" s="274">
        <f>ROUND(BP69,0)</f>
        <v>313965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038*2017*8640*A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038*2017*8650*A</v>
      </c>
      <c r="B801" s="274"/>
      <c r="C801" s="276">
        <f>ROUND(BR60,2)</f>
        <v>12.27</v>
      </c>
      <c r="D801" s="274">
        <f>ROUND(BR61,0)</f>
        <v>920279</v>
      </c>
      <c r="E801" s="274">
        <f>ROUND(BR62,0)</f>
        <v>272137</v>
      </c>
      <c r="F801" s="274">
        <f>ROUND(BR63,0)</f>
        <v>2267</v>
      </c>
      <c r="G801" s="274">
        <f>ROUND(BR64,0)</f>
        <v>26986</v>
      </c>
      <c r="H801" s="274">
        <f>ROUND(BR65,0)</f>
        <v>0</v>
      </c>
      <c r="I801" s="274">
        <f>ROUND(BR66,0)</f>
        <v>121741</v>
      </c>
      <c r="J801" s="274">
        <f>ROUND(BR67,0)</f>
        <v>33350</v>
      </c>
      <c r="K801" s="274">
        <f>ROUND(BR68,0)</f>
        <v>0</v>
      </c>
      <c r="L801" s="274">
        <f>ROUND(BR69,0)</f>
        <v>955941</v>
      </c>
      <c r="M801" s="274">
        <f>ROUND(BR70,0)</f>
        <v>0</v>
      </c>
      <c r="N801" s="274"/>
      <c r="O801" s="274"/>
      <c r="P801" s="274">
        <f>IF(BR76&gt;0,ROUND(BR76,0),0)</f>
        <v>1220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038*2017*8660*A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038*2017*8670*A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038*2017*8680*A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038*2017*8690*A</v>
      </c>
      <c r="B805" s="274"/>
      <c r="C805" s="276">
        <f>ROUND(BV60,2)</f>
        <v>16.350000000000001</v>
      </c>
      <c r="D805" s="274">
        <f>ROUND(BV61,0)</f>
        <v>771311</v>
      </c>
      <c r="E805" s="274">
        <f>ROUND(BV62,0)</f>
        <v>228085</v>
      </c>
      <c r="F805" s="274">
        <f>ROUND(BV63,0)</f>
        <v>18526</v>
      </c>
      <c r="G805" s="274">
        <f>ROUND(BV64,0)</f>
        <v>11335</v>
      </c>
      <c r="H805" s="274">
        <f>ROUND(BV65,0)</f>
        <v>800</v>
      </c>
      <c r="I805" s="274">
        <f>ROUND(BV66,0)</f>
        <v>38131</v>
      </c>
      <c r="J805" s="274">
        <f>ROUND(BV67,0)</f>
        <v>0</v>
      </c>
      <c r="K805" s="274">
        <f>ROUND(BV68,0)</f>
        <v>140</v>
      </c>
      <c r="L805" s="274">
        <f>ROUND(BV69,0)</f>
        <v>96832</v>
      </c>
      <c r="M805" s="274">
        <f>ROUND(BV70,0)</f>
        <v>11475</v>
      </c>
      <c r="N805" s="274"/>
      <c r="O805" s="274"/>
      <c r="P805" s="274">
        <f>IF(BV76&gt;0,ROUND(BV76,0),0)</f>
        <v>0</v>
      </c>
      <c r="Q805" s="274">
        <f>IF(BV77&gt;0,ROUND(BV77,0),0)</f>
        <v>0</v>
      </c>
      <c r="R805" s="274">
        <f>IF(BV78&gt;0,ROUND(BV78,0),0)</f>
        <v>1051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038*2017*8700*A</v>
      </c>
      <c r="B806" s="274"/>
      <c r="C806" s="276">
        <f>ROUND(BW60,2)</f>
        <v>3.03</v>
      </c>
      <c r="D806" s="274">
        <f>ROUND(BW61,0)</f>
        <v>231161</v>
      </c>
      <c r="E806" s="274">
        <f>ROUND(BW62,0)</f>
        <v>68357</v>
      </c>
      <c r="F806" s="274">
        <f>ROUND(BW63,0)</f>
        <v>21500</v>
      </c>
      <c r="G806" s="274">
        <f>ROUND(BW64,0)</f>
        <v>33131</v>
      </c>
      <c r="H806" s="274">
        <f>ROUND(BW65,0)</f>
        <v>0</v>
      </c>
      <c r="I806" s="274">
        <f>ROUND(BW66,0)</f>
        <v>0</v>
      </c>
      <c r="J806" s="274">
        <f>ROUND(BW67,0)</f>
        <v>3882</v>
      </c>
      <c r="K806" s="274">
        <f>ROUND(BW68,0)</f>
        <v>0</v>
      </c>
      <c r="L806" s="274">
        <f>ROUND(BW69,0)</f>
        <v>20235</v>
      </c>
      <c r="M806" s="274">
        <f>ROUND(BW70,0)</f>
        <v>0</v>
      </c>
      <c r="N806" s="274"/>
      <c r="O806" s="274"/>
      <c r="P806" s="274">
        <f>IF(BW76&gt;0,ROUND(BW76,0),0)</f>
        <v>142</v>
      </c>
      <c r="Q806" s="274">
        <f>IF(BW77&gt;0,ROUND(BW77,0),0)</f>
        <v>0</v>
      </c>
      <c r="R806" s="274">
        <f>IF(BW78&gt;0,ROUND(BW78,0),0)</f>
        <v>30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038*2017*8710*A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038*2017*8720*A</v>
      </c>
      <c r="B808" s="274"/>
      <c r="C808" s="276">
        <f>ROUND(BY60,2)</f>
        <v>7.31</v>
      </c>
      <c r="D808" s="274">
        <f>ROUND(BY61,0)</f>
        <v>772062</v>
      </c>
      <c r="E808" s="274">
        <f>ROUND(BY62,0)</f>
        <v>228307</v>
      </c>
      <c r="F808" s="274">
        <f>ROUND(BY63,0)</f>
        <v>4000</v>
      </c>
      <c r="G808" s="274">
        <f>ROUND(BY64,0)</f>
        <v>3638</v>
      </c>
      <c r="H808" s="274">
        <f>ROUND(BY65,0)</f>
        <v>0</v>
      </c>
      <c r="I808" s="274">
        <f>ROUND(BY66,0)</f>
        <v>48646</v>
      </c>
      <c r="J808" s="274">
        <f>ROUND(BY67,0)</f>
        <v>35182</v>
      </c>
      <c r="K808" s="274">
        <f>ROUND(BY68,0)</f>
        <v>0</v>
      </c>
      <c r="L808" s="274">
        <f>ROUND(BY69,0)</f>
        <v>11462</v>
      </c>
      <c r="M808" s="274">
        <f>ROUND(BY70,0)</f>
        <v>0</v>
      </c>
      <c r="N808" s="274"/>
      <c r="O808" s="274"/>
      <c r="P808" s="274">
        <f>IF(BY76&gt;0,ROUND(BY76,0),0)</f>
        <v>1287</v>
      </c>
      <c r="Q808" s="274">
        <f>IF(BY77&gt;0,ROUND(BY77,0),0)</f>
        <v>0</v>
      </c>
      <c r="R808" s="274">
        <f>IF(BY78&gt;0,ROUND(BY78,0),0)</f>
        <v>272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038*2017*8730*A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038*2017*8740*A</v>
      </c>
      <c r="B810" s="274"/>
      <c r="C810" s="276">
        <f>ROUND(CA60,2)</f>
        <v>4.0599999999999996</v>
      </c>
      <c r="D810" s="274">
        <f>ROUND(CA61,0)</f>
        <v>272566</v>
      </c>
      <c r="E810" s="274">
        <f>ROUND(CA62,0)</f>
        <v>80601</v>
      </c>
      <c r="F810" s="274">
        <f>ROUND(CA63,0)</f>
        <v>0</v>
      </c>
      <c r="G810" s="274">
        <f>ROUND(CA64,0)</f>
        <v>18645</v>
      </c>
      <c r="H810" s="274">
        <f>ROUND(CA65,0)</f>
        <v>0</v>
      </c>
      <c r="I810" s="274">
        <f>ROUND(CA66,0)</f>
        <v>39533</v>
      </c>
      <c r="J810" s="274">
        <f>ROUND(CA67,0)</f>
        <v>20010</v>
      </c>
      <c r="K810" s="274">
        <f>ROUND(CA68,0)</f>
        <v>140</v>
      </c>
      <c r="L810" s="274">
        <f>ROUND(CA69,0)</f>
        <v>19203</v>
      </c>
      <c r="M810" s="274">
        <f>ROUND(CA70,0)</f>
        <v>9455</v>
      </c>
      <c r="N810" s="274"/>
      <c r="O810" s="274"/>
      <c r="P810" s="274">
        <f>IF(CA76&gt;0,ROUND(CA76,0),0)</f>
        <v>732</v>
      </c>
      <c r="Q810" s="274">
        <f>IF(CA77&gt;0,ROUND(CA77,0),0)</f>
        <v>0</v>
      </c>
      <c r="R810" s="274">
        <f>IF(CA78&gt;0,ROUND(CA78,0),0)</f>
        <v>155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038*2017*8770*A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038*2017*8790*A</v>
      </c>
      <c r="B812" s="274"/>
      <c r="C812" s="276">
        <f>ROUND(CC60,2)</f>
        <v>18.62</v>
      </c>
      <c r="D812" s="274">
        <f>ROUND(CC61,0)</f>
        <v>1381583</v>
      </c>
      <c r="E812" s="274">
        <f>ROUND(CC62,0)</f>
        <v>408549</v>
      </c>
      <c r="F812" s="274">
        <f>ROUND(CC63,0)</f>
        <v>7569</v>
      </c>
      <c r="G812" s="274">
        <f>ROUND(CC64,0)</f>
        <v>36197</v>
      </c>
      <c r="H812" s="274">
        <f>ROUND(CC65,0)</f>
        <v>0</v>
      </c>
      <c r="I812" s="274">
        <f>ROUND(CC66,0)</f>
        <v>141200</v>
      </c>
      <c r="J812" s="274">
        <f>ROUND(CC67,0)</f>
        <v>262755</v>
      </c>
      <c r="K812" s="274">
        <f>ROUND(CC68,0)</f>
        <v>-1812679</v>
      </c>
      <c r="L812" s="274">
        <f>ROUND(CC69,0)</f>
        <v>-837376</v>
      </c>
      <c r="M812" s="274">
        <f>ROUND(CC70,0)</f>
        <v>5506501</v>
      </c>
      <c r="N812" s="274"/>
      <c r="O812" s="274"/>
      <c r="P812" s="274">
        <f>IF(CC76&gt;0,ROUND(CC76,0),0)</f>
        <v>9612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038*2017*9000*A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0</v>
      </c>
      <c r="V813" s="275">
        <f>ROUND(CD70,0)</f>
        <v>0</v>
      </c>
      <c r="W813" s="274">
        <f>ROUND(CE72,0)</f>
        <v>4570480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1222.9699999999993</v>
      </c>
      <c r="D815" s="275">
        <f t="shared" si="22"/>
        <v>89102751</v>
      </c>
      <c r="E815" s="275">
        <f t="shared" si="22"/>
        <v>26348655</v>
      </c>
      <c r="F815" s="275">
        <f t="shared" si="22"/>
        <v>8887739</v>
      </c>
      <c r="G815" s="275">
        <f t="shared" si="22"/>
        <v>27162200</v>
      </c>
      <c r="H815" s="275">
        <f t="shared" si="22"/>
        <v>2293404</v>
      </c>
      <c r="I815" s="275">
        <f t="shared" si="22"/>
        <v>7470086</v>
      </c>
      <c r="J815" s="275">
        <f t="shared" si="22"/>
        <v>10655599</v>
      </c>
      <c r="K815" s="275">
        <f t="shared" si="22"/>
        <v>330567</v>
      </c>
      <c r="L815" s="275">
        <f>SUM(L734:L813)+SUM(U734:U813)</f>
        <v>10165330</v>
      </c>
      <c r="M815" s="275">
        <f>SUM(M734:M813)+SUM(V734:V813)</f>
        <v>6978435</v>
      </c>
      <c r="N815" s="275">
        <f t="shared" ref="N815:Y815" si="23">SUM(N734:N813)</f>
        <v>364179825</v>
      </c>
      <c r="O815" s="275">
        <f t="shared" si="23"/>
        <v>89659697</v>
      </c>
      <c r="P815" s="275">
        <f t="shared" si="23"/>
        <v>389799</v>
      </c>
      <c r="Q815" s="275">
        <f t="shared" si="23"/>
        <v>45180</v>
      </c>
      <c r="R815" s="275">
        <f t="shared" si="23"/>
        <v>75254</v>
      </c>
      <c r="S815" s="275">
        <f t="shared" si="23"/>
        <v>1223116</v>
      </c>
      <c r="T815" s="279">
        <f t="shared" si="23"/>
        <v>196.37</v>
      </c>
      <c r="U815" s="275">
        <f t="shared" si="23"/>
        <v>0</v>
      </c>
      <c r="V815" s="275">
        <f t="shared" si="23"/>
        <v>0</v>
      </c>
      <c r="W815" s="275">
        <f t="shared" si="23"/>
        <v>4570480</v>
      </c>
      <c r="X815" s="275">
        <f t="shared" si="23"/>
        <v>0</v>
      </c>
      <c r="Y815" s="275">
        <f t="shared" si="23"/>
        <v>31509866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1222.971038346154</v>
      </c>
      <c r="D816" s="275">
        <f>CE61</f>
        <v>89102749.669499964</v>
      </c>
      <c r="E816" s="275">
        <f>CE62</f>
        <v>26348655</v>
      </c>
      <c r="F816" s="275">
        <f>CE63</f>
        <v>8887738.0399999972</v>
      </c>
      <c r="G816" s="275">
        <f>CE64</f>
        <v>27162202.16</v>
      </c>
      <c r="H816" s="278">
        <f>CE65</f>
        <v>2293403.85</v>
      </c>
      <c r="I816" s="278">
        <f>CE66</f>
        <v>7470085.9900000002</v>
      </c>
      <c r="J816" s="278">
        <f>CE67</f>
        <v>10655599</v>
      </c>
      <c r="K816" s="278">
        <f>CE68</f>
        <v>330570.63999999966</v>
      </c>
      <c r="L816" s="278">
        <f>CE69</f>
        <v>10165330.559999999</v>
      </c>
      <c r="M816" s="278">
        <f>CE70</f>
        <v>6978435.8900000006</v>
      </c>
      <c r="N816" s="275">
        <f>CE75</f>
        <v>364179825.17000002</v>
      </c>
      <c r="O816" s="275">
        <f>CE73</f>
        <v>89659696.710000008</v>
      </c>
      <c r="P816" s="275">
        <f>CE76</f>
        <v>389799</v>
      </c>
      <c r="Q816" s="275">
        <f>CE77</f>
        <v>45180</v>
      </c>
      <c r="R816" s="275">
        <f>CE78</f>
        <v>75254</v>
      </c>
      <c r="S816" s="275">
        <f>CE79</f>
        <v>1223116</v>
      </c>
      <c r="T816" s="279">
        <f>CE80</f>
        <v>196.35631000000001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31509864.669999998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89102750</v>
      </c>
      <c r="E817" s="180">
        <f>C379</f>
        <v>26348655</v>
      </c>
      <c r="F817" s="180">
        <f>C380</f>
        <v>8887738</v>
      </c>
      <c r="G817" s="239">
        <f>C381</f>
        <v>27162202</v>
      </c>
      <c r="H817" s="239">
        <f>C382</f>
        <v>2293404</v>
      </c>
      <c r="I817" s="239">
        <f>C383</f>
        <v>7470086</v>
      </c>
      <c r="J817" s="239">
        <f>C384</f>
        <v>10655598</v>
      </c>
      <c r="K817" s="239">
        <f>C385</f>
        <v>330571</v>
      </c>
      <c r="L817" s="239">
        <f>C386+C387+C388+C389</f>
        <v>10864279</v>
      </c>
      <c r="M817" s="239">
        <f>C370</f>
        <v>2407956</v>
      </c>
      <c r="N817" s="180">
        <f>D361</f>
        <v>364179825</v>
      </c>
      <c r="O817" s="180">
        <f>C359</f>
        <v>89659697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Olympic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 939 Caroline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 939 Caroline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Port Angeles, WA  98362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K18" sqref="K18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H-38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Olympic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Clallam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Eric Lewis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Darryl Wolfe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Beitzel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(360)417-7000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4217</v>
      </c>
      <c r="G23" s="21">
        <f>data!D111</f>
        <v>14536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481</v>
      </c>
      <c r="G26" s="13">
        <f>data!D114</f>
        <v>994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9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9</v>
      </c>
      <c r="E34" s="49" t="s">
        <v>291</v>
      </c>
      <c r="F34" s="24"/>
      <c r="G34" s="21">
        <f>data!E127</f>
        <v>67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K35" sqref="K35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Olympic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2529</v>
      </c>
      <c r="C7" s="48">
        <f>data!B139</f>
        <v>9427</v>
      </c>
      <c r="D7" s="48">
        <f>data!B140</f>
        <v>271184</v>
      </c>
      <c r="E7" s="48">
        <f>data!B141</f>
        <v>61352541</v>
      </c>
      <c r="F7" s="48">
        <f>data!B142</f>
        <v>175303817</v>
      </c>
      <c r="G7" s="48">
        <f>data!B141+data!B142</f>
        <v>236656358</v>
      </c>
    </row>
    <row r="8" spans="1:13" ht="20.100000000000001" customHeight="1" x14ac:dyDescent="0.25">
      <c r="A8" s="23" t="s">
        <v>297</v>
      </c>
      <c r="B8" s="48">
        <f>data!C138</f>
        <v>792</v>
      </c>
      <c r="C8" s="48">
        <f>data!C139</f>
        <v>2830</v>
      </c>
      <c r="D8" s="48">
        <f>data!C140</f>
        <v>76917</v>
      </c>
      <c r="E8" s="48">
        <f>data!C141</f>
        <v>16762425</v>
      </c>
      <c r="F8" s="48">
        <f>data!C142</f>
        <v>49721798</v>
      </c>
      <c r="G8" s="48">
        <f>data!C141+data!C142</f>
        <v>66484223</v>
      </c>
    </row>
    <row r="9" spans="1:13" ht="20.100000000000001" customHeight="1" x14ac:dyDescent="0.25">
      <c r="A9" s="23" t="s">
        <v>1058</v>
      </c>
      <c r="B9" s="48">
        <f>data!D138</f>
        <v>896</v>
      </c>
      <c r="C9" s="48">
        <f>data!D139</f>
        <v>2279</v>
      </c>
      <c r="D9" s="48">
        <f>data!D140</f>
        <v>130710</v>
      </c>
      <c r="E9" s="48">
        <f>data!D141</f>
        <v>16188100</v>
      </c>
      <c r="F9" s="48">
        <f>data!D142</f>
        <v>84495769</v>
      </c>
      <c r="G9" s="48">
        <f>data!D141+data!D142</f>
        <v>100683869</v>
      </c>
    </row>
    <row r="10" spans="1:13" ht="20.100000000000001" customHeight="1" x14ac:dyDescent="0.25">
      <c r="A10" s="111" t="s">
        <v>203</v>
      </c>
      <c r="B10" s="48">
        <f>data!E138</f>
        <v>4217</v>
      </c>
      <c r="C10" s="48">
        <f>data!E139</f>
        <v>14536</v>
      </c>
      <c r="D10" s="48">
        <f>data!E140</f>
        <v>478811</v>
      </c>
      <c r="E10" s="48">
        <f>data!E141</f>
        <v>94303066</v>
      </c>
      <c r="F10" s="48">
        <f>data!E142</f>
        <v>309521384</v>
      </c>
      <c r="G10" s="48">
        <f>data!E141+data!E142</f>
        <v>403824450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26" sqref="C26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Olympic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6636692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90989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946790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2892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7677363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295746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32141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327887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1031199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7605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1038804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61067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1322890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1383957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1643810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1643810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Olympic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9830130</v>
      </c>
      <c r="D7" s="21">
        <f>data!C195</f>
        <v>0</v>
      </c>
      <c r="E7" s="21">
        <f>data!D195</f>
        <v>0</v>
      </c>
      <c r="F7" s="21">
        <f>data!E195</f>
        <v>9830130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9084382</v>
      </c>
      <c r="D8" s="21">
        <f>data!C196</f>
        <v>132515</v>
      </c>
      <c r="E8" s="21">
        <f>data!D196</f>
        <v>0</v>
      </c>
      <c r="F8" s="21">
        <f>data!E196</f>
        <v>9216897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107152872</v>
      </c>
      <c r="D9" s="21">
        <f>data!C197</f>
        <v>765049</v>
      </c>
      <c r="E9" s="21">
        <f>data!D197</f>
        <v>0</v>
      </c>
      <c r="F9" s="21">
        <f>data!E197</f>
        <v>107917921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33356917</v>
      </c>
      <c r="D10" s="21">
        <f>data!C198</f>
        <v>395143</v>
      </c>
      <c r="E10" s="21">
        <f>data!D198</f>
        <v>0</v>
      </c>
      <c r="F10" s="21">
        <f>data!E198</f>
        <v>33752060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71069011</v>
      </c>
      <c r="D12" s="21">
        <f>data!C200</f>
        <v>4207542</v>
      </c>
      <c r="E12" s="21">
        <f>data!D200</f>
        <v>7484334</v>
      </c>
      <c r="F12" s="21">
        <f>data!E200</f>
        <v>67792219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2666711</v>
      </c>
      <c r="D13" s="21">
        <f>data!C201</f>
        <v>0</v>
      </c>
      <c r="E13" s="21">
        <f>data!D201</f>
        <v>129336</v>
      </c>
      <c r="F13" s="21">
        <f>data!E201</f>
        <v>2537375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362736</v>
      </c>
      <c r="D14" s="21">
        <f>data!C202</f>
        <v>0</v>
      </c>
      <c r="E14" s="21">
        <f>data!D202</f>
        <v>0</v>
      </c>
      <c r="F14" s="21">
        <f>data!E202</f>
        <v>362736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2373982</v>
      </c>
      <c r="D15" s="21">
        <f>data!C203</f>
        <v>1975867</v>
      </c>
      <c r="E15" s="21">
        <f>data!D203</f>
        <v>0</v>
      </c>
      <c r="F15" s="21">
        <f>data!E203</f>
        <v>4349849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235896741</v>
      </c>
      <c r="D16" s="21">
        <f>data!C204</f>
        <v>7476116</v>
      </c>
      <c r="E16" s="21">
        <f>data!D204</f>
        <v>7613670</v>
      </c>
      <c r="F16" s="21">
        <f>data!E204</f>
        <v>235759187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2815945</v>
      </c>
      <c r="D24" s="21">
        <f>data!C209</f>
        <v>504859</v>
      </c>
      <c r="E24" s="21">
        <f>data!D209</f>
        <v>0</v>
      </c>
      <c r="F24" s="21">
        <f>data!E209</f>
        <v>3320804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48361706</v>
      </c>
      <c r="D25" s="21">
        <f>data!C210</f>
        <v>3322447</v>
      </c>
      <c r="E25" s="21">
        <f>data!D210</f>
        <v>0</v>
      </c>
      <c r="F25" s="21">
        <f>data!E210</f>
        <v>51684153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18072394</v>
      </c>
      <c r="D26" s="21">
        <f>data!C211</f>
        <v>1267702</v>
      </c>
      <c r="E26" s="21">
        <f>data!D211</f>
        <v>0</v>
      </c>
      <c r="F26" s="21">
        <f>data!E211</f>
        <v>19340096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46766463</v>
      </c>
      <c r="D28" s="21">
        <f>data!C213</f>
        <v>5067831</v>
      </c>
      <c r="E28" s="21">
        <f>data!D213</f>
        <v>7336632</v>
      </c>
      <c r="F28" s="21">
        <f>data!E213</f>
        <v>44497662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2193473</v>
      </c>
      <c r="D29" s="21">
        <f>data!C214</f>
        <v>182095</v>
      </c>
      <c r="E29" s="21">
        <f>data!D214</f>
        <v>112906</v>
      </c>
      <c r="F29" s="21">
        <f>data!E214</f>
        <v>2262662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118209981</v>
      </c>
      <c r="D32" s="21">
        <f>data!C217</f>
        <v>10344934</v>
      </c>
      <c r="E32" s="21">
        <f>data!D217</f>
        <v>7449538</v>
      </c>
      <c r="F32" s="21">
        <f>data!E217</f>
        <v>121105377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Olympic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2968728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139160083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42233092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1861042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12729364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10856556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15000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206855137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596604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2052574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2649178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535200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213008243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Olympic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7058182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360064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36755884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20029279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962890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2280390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2191209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29579340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25523599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30481870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56005469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9830130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9216897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108280657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33752060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70329594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4349849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235759187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121105376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114653811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2235448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170818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2406266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202644886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Olympic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5869920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10074553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2327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1126901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489610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2295815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19859126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57495956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1064513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58560469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2295815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56264654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126521106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126521106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202644886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Olympic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94303066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309521384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403824450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2968728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207390338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2649178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213008244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190816206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5508075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4437120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9945195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200761401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96536705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28425545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9664260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31498191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2409909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7549397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10477115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327887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1038804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1383958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10490365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199802136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959265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-278376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680889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680889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4" zoomScale="65" workbookViewId="0">
      <selection activeCell="R30" sqref="R30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Olympic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4191</v>
      </c>
      <c r="D9" s="14">
        <f>data!D59</f>
        <v>0</v>
      </c>
      <c r="E9" s="14">
        <f>data!E59</f>
        <v>10345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52.114644230000003</v>
      </c>
      <c r="D10" s="26">
        <f>data!D60</f>
        <v>0</v>
      </c>
      <c r="E10" s="26">
        <f>data!E60</f>
        <v>92.633949999999999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4316698.97</v>
      </c>
      <c r="D11" s="14">
        <f>data!D61</f>
        <v>0</v>
      </c>
      <c r="E11" s="14">
        <f>data!E61</f>
        <v>6844841.6200000001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1271066</v>
      </c>
      <c r="D12" s="14">
        <f>data!D62</f>
        <v>0</v>
      </c>
      <c r="E12" s="14">
        <f>data!E62</f>
        <v>2015486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21069.72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276899.33</v>
      </c>
      <c r="D14" s="14">
        <f>data!D64</f>
        <v>0</v>
      </c>
      <c r="E14" s="14">
        <f>data!E64</f>
        <v>402658.75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152087.84</v>
      </c>
      <c r="D16" s="14">
        <f>data!D66</f>
        <v>0</v>
      </c>
      <c r="E16" s="14">
        <f>data!E66</f>
        <v>327425.68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193729</v>
      </c>
      <c r="D17" s="14">
        <f>data!D67</f>
        <v>0</v>
      </c>
      <c r="E17" s="14">
        <f>data!E67</f>
        <v>856929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466.5</v>
      </c>
      <c r="D18" s="14">
        <f>data!D68</f>
        <v>0</v>
      </c>
      <c r="E18" s="14">
        <f>data!E68</f>
        <v>11565.39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19475.43</v>
      </c>
      <c r="D19" s="14">
        <f>data!D69</f>
        <v>0</v>
      </c>
      <c r="E19" s="14">
        <f>data!E69</f>
        <v>44862.3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6230423.0699999994</v>
      </c>
      <c r="D21" s="14">
        <f>data!D71</f>
        <v>0</v>
      </c>
      <c r="E21" s="14">
        <f>data!E71</f>
        <v>10524838.460000003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2241774</v>
      </c>
      <c r="D23" s="48">
        <f>+data!M669</f>
        <v>0</v>
      </c>
      <c r="E23" s="48">
        <f>+data!M670</f>
        <v>5442551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13381751.9</v>
      </c>
      <c r="D24" s="14">
        <f>data!D73</f>
        <v>0</v>
      </c>
      <c r="E24" s="14">
        <f>data!E73</f>
        <v>21256770.16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260086.95</v>
      </c>
      <c r="D25" s="14">
        <f>data!D74</f>
        <v>0</v>
      </c>
      <c r="E25" s="14">
        <f>data!E74</f>
        <v>2487314.84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13641838.85</v>
      </c>
      <c r="D26" s="14">
        <f>data!D75</f>
        <v>0</v>
      </c>
      <c r="E26" s="14">
        <f>data!E75</f>
        <v>23744085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7285</v>
      </c>
      <c r="D28" s="14">
        <f>data!D76</f>
        <v>0</v>
      </c>
      <c r="E28" s="14">
        <f>data!E76</f>
        <v>32224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10458</v>
      </c>
      <c r="D29" s="14">
        <f>data!D77</f>
        <v>0</v>
      </c>
      <c r="E29" s="14">
        <f>data!E77</f>
        <v>35916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1606.6</v>
      </c>
      <c r="D30" s="14">
        <f>data!D78</f>
        <v>0</v>
      </c>
      <c r="E30" s="14">
        <f>data!E78</f>
        <v>7106.52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141784</v>
      </c>
      <c r="D31" s="14">
        <f>data!D79</f>
        <v>0</v>
      </c>
      <c r="E31" s="14">
        <f>data!E79</f>
        <v>250089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36.798999999999999</v>
      </c>
      <c r="D32" s="84">
        <f>data!D80</f>
        <v>0</v>
      </c>
      <c r="E32" s="84">
        <f>data!E80</f>
        <v>55.57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Olympic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994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337</v>
      </c>
      <c r="I41" s="14">
        <f>data!P59</f>
        <v>313427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5.7513209999999999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3.4918740000000001</v>
      </c>
      <c r="I42" s="26">
        <f>data!P60</f>
        <v>34.791317309999997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572609.6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347655.8</v>
      </c>
      <c r="I43" s="14">
        <f>data!P61</f>
        <v>2672705.0299999998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168607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102368</v>
      </c>
      <c r="I44" s="14">
        <f>data!P62</f>
        <v>786987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152352.07999999999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44855.46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27233.67</v>
      </c>
      <c r="I46" s="14">
        <f>data!P64</f>
        <v>5949145.3600000003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48111.89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29210.79</v>
      </c>
      <c r="I48" s="14">
        <f>data!P66</f>
        <v>758161.03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25423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66854</v>
      </c>
      <c r="I49" s="14">
        <f>data!P67</f>
        <v>415201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1486.24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19394.89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11775.47</v>
      </c>
      <c r="I51" s="14">
        <f>data!P69</f>
        <v>283680.65999999997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-6000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879001.84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585097.73</v>
      </c>
      <c r="I53" s="14">
        <f>data!P71</f>
        <v>11013718.4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209332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211931</v>
      </c>
      <c r="I55" s="48">
        <f>+data!M681</f>
        <v>3222088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1703599.91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1034328.52</v>
      </c>
      <c r="I56" s="14">
        <f>data!P73</f>
        <v>13623726.619999999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220806.14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134060.87</v>
      </c>
      <c r="I57" s="14">
        <f>data!P74</f>
        <v>23362084.66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1924406.0499999998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1168389.3900000001</v>
      </c>
      <c r="I58" s="14">
        <f>data!P75</f>
        <v>36985811.280000001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956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2514</v>
      </c>
      <c r="I60" s="14">
        <f>data!P76</f>
        <v>15613.25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210.83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554.42999999999995</v>
      </c>
      <c r="I62" s="14">
        <f>data!P78</f>
        <v>2581.36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10676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54269</v>
      </c>
      <c r="I63" s="14">
        <f>data!P79</f>
        <v>108597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4.8600000000000003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2.95</v>
      </c>
      <c r="I64" s="26">
        <f>data!P80</f>
        <v>14.98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Olympic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162108</v>
      </c>
      <c r="D73" s="48">
        <f>data!R59</f>
        <v>413100</v>
      </c>
      <c r="E73" s="212"/>
      <c r="F73" s="212"/>
      <c r="G73" s="14">
        <f>data!U59</f>
        <v>572041</v>
      </c>
      <c r="H73" s="14">
        <f>data!V59</f>
        <v>31588</v>
      </c>
      <c r="I73" s="14">
        <f>data!W59</f>
        <v>6491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5.7859855700000002</v>
      </c>
      <c r="D74" s="26">
        <f>data!R60</f>
        <v>1.1154807689999999</v>
      </c>
      <c r="E74" s="26">
        <f>data!S60</f>
        <v>19.248576920000001</v>
      </c>
      <c r="F74" s="26">
        <f>data!T60</f>
        <v>0.645403846</v>
      </c>
      <c r="G74" s="26">
        <f>data!U60</f>
        <v>68.978687500000007</v>
      </c>
      <c r="H74" s="26">
        <f>data!V60</f>
        <v>31.747937499999999</v>
      </c>
      <c r="I74" s="26">
        <f>data!W60</f>
        <v>7.6462019229999996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629488.09</v>
      </c>
      <c r="D75" s="14">
        <f>data!R61</f>
        <v>39625.39</v>
      </c>
      <c r="E75" s="14">
        <f>data!S61</f>
        <v>831851.01</v>
      </c>
      <c r="F75" s="14">
        <f>data!T61</f>
        <v>70868.710000000006</v>
      </c>
      <c r="G75" s="14">
        <f>data!U61</f>
        <v>4052772.4</v>
      </c>
      <c r="H75" s="14">
        <f>data!V61</f>
        <v>2200814.63</v>
      </c>
      <c r="I75" s="14">
        <f>data!W61</f>
        <v>567837.68999999994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185355</v>
      </c>
      <c r="D76" s="14">
        <f>data!R62</f>
        <v>11668</v>
      </c>
      <c r="E76" s="14">
        <f>data!S62</f>
        <v>244941</v>
      </c>
      <c r="F76" s="14">
        <f>data!T62</f>
        <v>20868</v>
      </c>
      <c r="G76" s="14">
        <f>data!U62</f>
        <v>1193352</v>
      </c>
      <c r="H76" s="14">
        <f>data!V62</f>
        <v>648037</v>
      </c>
      <c r="I76" s="14">
        <f>data!W62</f>
        <v>167202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817920.44</v>
      </c>
      <c r="E77" s="14">
        <f>data!S63</f>
        <v>0</v>
      </c>
      <c r="F77" s="14">
        <f>data!T63</f>
        <v>0</v>
      </c>
      <c r="G77" s="14">
        <f>data!U63</f>
        <v>44999.96</v>
      </c>
      <c r="H77" s="14">
        <f>data!V63</f>
        <v>162400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27834.26</v>
      </c>
      <c r="D78" s="14">
        <f>data!R64</f>
        <v>200309.74</v>
      </c>
      <c r="E78" s="14">
        <f>data!S64</f>
        <v>159919.57</v>
      </c>
      <c r="F78" s="14">
        <f>data!T64</f>
        <v>125262.1</v>
      </c>
      <c r="G78" s="14">
        <f>data!U64</f>
        <v>1666316</v>
      </c>
      <c r="H78" s="14">
        <f>data!V64</f>
        <v>484279.27</v>
      </c>
      <c r="I78" s="14">
        <f>data!W64</f>
        <v>36265.660000000003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536.9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79834.73</v>
      </c>
      <c r="D80" s="14">
        <f>data!R66</f>
        <v>0</v>
      </c>
      <c r="E80" s="14">
        <f>data!S66</f>
        <v>2076.16</v>
      </c>
      <c r="F80" s="14">
        <f>data!T66</f>
        <v>0</v>
      </c>
      <c r="G80" s="14">
        <f>data!U66</f>
        <v>2336618.42</v>
      </c>
      <c r="H80" s="14">
        <f>data!V66</f>
        <v>110797.25</v>
      </c>
      <c r="I80" s="14">
        <f>data!W66</f>
        <v>1821.81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37709</v>
      </c>
      <c r="D81" s="14">
        <f>data!R67</f>
        <v>15211</v>
      </c>
      <c r="E81" s="14">
        <f>data!S67</f>
        <v>82385</v>
      </c>
      <c r="F81" s="14">
        <f>data!T67</f>
        <v>0</v>
      </c>
      <c r="G81" s="14">
        <f>data!U67</f>
        <v>271061</v>
      </c>
      <c r="H81" s="14">
        <f>data!V67</f>
        <v>289596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129.78</v>
      </c>
      <c r="F82" s="14">
        <f>data!T68</f>
        <v>0</v>
      </c>
      <c r="G82" s="14">
        <f>data!U68</f>
        <v>67013.759999999995</v>
      </c>
      <c r="H82" s="14">
        <f>data!V68</f>
        <v>111457.04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976.84</v>
      </c>
      <c r="D83" s="14">
        <f>data!R69</f>
        <v>850.24</v>
      </c>
      <c r="E83" s="14">
        <f>data!S69</f>
        <v>61678.080000000002</v>
      </c>
      <c r="F83" s="14">
        <f>data!T69</f>
        <v>50</v>
      </c>
      <c r="G83" s="14">
        <f>data!U69</f>
        <v>303504.96000000002</v>
      </c>
      <c r="H83" s="14">
        <f>data!V69</f>
        <v>121938.71</v>
      </c>
      <c r="I83" s="14">
        <f>data!W69</f>
        <v>307184.06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-179</v>
      </c>
      <c r="F84" s="14">
        <f>-data!T70</f>
        <v>0</v>
      </c>
      <c r="G84" s="14">
        <f>-data!U70</f>
        <v>0</v>
      </c>
      <c r="H84" s="14">
        <f>-data!V70</f>
        <v>125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961197.91999999993</v>
      </c>
      <c r="D85" s="14">
        <f>data!R71</f>
        <v>1085584.8099999998</v>
      </c>
      <c r="E85" s="14">
        <f>data!S71</f>
        <v>1382801.6</v>
      </c>
      <c r="F85" s="14">
        <f>data!T71</f>
        <v>217048.81</v>
      </c>
      <c r="G85" s="14">
        <f>data!U71</f>
        <v>9936175.4000000004</v>
      </c>
      <c r="H85" s="14">
        <f>data!V71</f>
        <v>4129444.9</v>
      </c>
      <c r="I85" s="14">
        <f>data!W71</f>
        <v>1080311.22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242586</v>
      </c>
      <c r="D87" s="48">
        <f>+data!M683</f>
        <v>276616</v>
      </c>
      <c r="E87" s="48">
        <f>+data!M684</f>
        <v>193073</v>
      </c>
      <c r="F87" s="48">
        <f>+data!M685</f>
        <v>57023</v>
      </c>
      <c r="G87" s="48">
        <f>+data!M686</f>
        <v>2528166</v>
      </c>
      <c r="H87" s="48">
        <f>+data!M687</f>
        <v>1395451</v>
      </c>
      <c r="I87" s="48">
        <f>+data!M688</f>
        <v>852911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826081.3</v>
      </c>
      <c r="D88" s="14">
        <f>data!R73</f>
        <v>1073935.3</v>
      </c>
      <c r="E88" s="14">
        <f>data!S73</f>
        <v>0</v>
      </c>
      <c r="F88" s="14">
        <f>data!T73</f>
        <v>589916.75</v>
      </c>
      <c r="G88" s="14">
        <f>data!U73</f>
        <v>7236949.3600000003</v>
      </c>
      <c r="H88" s="14">
        <f>data!V73</f>
        <v>1540181.3</v>
      </c>
      <c r="I88" s="14">
        <f>data!W73</f>
        <v>1138315.8500000001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1195112.1000000001</v>
      </c>
      <c r="D89" s="14">
        <f>data!R74</f>
        <v>3069391.25</v>
      </c>
      <c r="E89" s="14">
        <f>data!S74</f>
        <v>0</v>
      </c>
      <c r="F89" s="14">
        <f>data!T74</f>
        <v>129605.25</v>
      </c>
      <c r="G89" s="14">
        <f>data!U74</f>
        <v>25857215.760000002</v>
      </c>
      <c r="H89" s="14">
        <f>data!V74</f>
        <v>15465182.5</v>
      </c>
      <c r="I89" s="14">
        <f>data!W74</f>
        <v>14924488.99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2021193.4000000001</v>
      </c>
      <c r="D90" s="14">
        <f>data!R75</f>
        <v>4143326.55</v>
      </c>
      <c r="E90" s="14">
        <f>data!S75</f>
        <v>0</v>
      </c>
      <c r="F90" s="14">
        <f>data!T75</f>
        <v>719522</v>
      </c>
      <c r="G90" s="14">
        <f>data!U75</f>
        <v>33094165.120000001</v>
      </c>
      <c r="H90" s="14">
        <f>data!V75</f>
        <v>17005363.800000001</v>
      </c>
      <c r="I90" s="14">
        <f>data!W75</f>
        <v>16062804.84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1418</v>
      </c>
      <c r="D92" s="14">
        <f>data!R76</f>
        <v>572</v>
      </c>
      <c r="E92" s="14">
        <f>data!S76</f>
        <v>3098</v>
      </c>
      <c r="F92" s="14">
        <f>data!T76</f>
        <v>0</v>
      </c>
      <c r="G92" s="14">
        <f>data!U76</f>
        <v>10193</v>
      </c>
      <c r="H92" s="14">
        <f>data!V76</f>
        <v>10890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312.72000000000003</v>
      </c>
      <c r="D94" s="14">
        <f>data!R78</f>
        <v>126.15</v>
      </c>
      <c r="E94" s="14">
        <f>data!S78</f>
        <v>683.22</v>
      </c>
      <c r="F94" s="14">
        <f>data!T78</f>
        <v>0</v>
      </c>
      <c r="G94" s="14">
        <f>data!U78</f>
        <v>2247.91</v>
      </c>
      <c r="H94" s="14">
        <f>data!V78</f>
        <v>2401.63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22052</v>
      </c>
      <c r="D95" s="14">
        <f>data!R79</f>
        <v>0</v>
      </c>
      <c r="E95" s="14">
        <f>data!S79</f>
        <v>14965</v>
      </c>
      <c r="F95" s="14">
        <f>data!T79</f>
        <v>0</v>
      </c>
      <c r="G95" s="14">
        <f>data!U79</f>
        <v>1781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5.79</v>
      </c>
      <c r="D96" s="84">
        <f>data!R80</f>
        <v>0</v>
      </c>
      <c r="E96" s="84">
        <f>data!S80</f>
        <v>0</v>
      </c>
      <c r="F96" s="84">
        <f>data!T80</f>
        <v>0.65</v>
      </c>
      <c r="G96" s="84">
        <f>data!U80</f>
        <v>0</v>
      </c>
      <c r="H96" s="84">
        <f>data!V80</f>
        <v>3.62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Olympic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17396</v>
      </c>
      <c r="D105" s="14">
        <f>data!Y59</f>
        <v>69638</v>
      </c>
      <c r="E105" s="14">
        <f>data!Z59</f>
        <v>16535.349999999999</v>
      </c>
      <c r="F105" s="14">
        <f>data!AA59</f>
        <v>644</v>
      </c>
      <c r="G105" s="212"/>
      <c r="H105" s="14">
        <f>data!AC59</f>
        <v>26371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8.8247884620000008</v>
      </c>
      <c r="D106" s="26">
        <f>data!Y60</f>
        <v>64.988798079999995</v>
      </c>
      <c r="E106" s="26">
        <f>data!Z60</f>
        <v>18.768408650000001</v>
      </c>
      <c r="F106" s="26">
        <f>data!AA60</f>
        <v>0.97015384599999999</v>
      </c>
      <c r="G106" s="26">
        <f>data!AB60</f>
        <v>21.68628846</v>
      </c>
      <c r="H106" s="26">
        <f>data!AC60</f>
        <v>11.082317310000001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648603.37</v>
      </c>
      <c r="D107" s="14">
        <f>data!Y61</f>
        <v>4129855.81</v>
      </c>
      <c r="E107" s="14">
        <f>data!Z61</f>
        <v>2252975.2000000002</v>
      </c>
      <c r="F107" s="14">
        <f>data!AA61</f>
        <v>82591.7</v>
      </c>
      <c r="G107" s="14">
        <f>data!AB61</f>
        <v>2052903.8</v>
      </c>
      <c r="H107" s="14">
        <f>data!AC61</f>
        <v>755557.57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190983</v>
      </c>
      <c r="D108" s="14">
        <f>data!Y62</f>
        <v>1216049</v>
      </c>
      <c r="E108" s="14">
        <f>data!Z62</f>
        <v>663396</v>
      </c>
      <c r="F108" s="14">
        <f>data!AA62</f>
        <v>24319</v>
      </c>
      <c r="G108" s="14">
        <f>data!AB62</f>
        <v>604484</v>
      </c>
      <c r="H108" s="14">
        <f>data!AC62</f>
        <v>222476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25800</v>
      </c>
      <c r="E109" s="14">
        <f>data!Z63</f>
        <v>52438.74</v>
      </c>
      <c r="F109" s="14">
        <f>data!AA63</f>
        <v>0</v>
      </c>
      <c r="G109" s="14">
        <f>data!AB63</f>
        <v>8914.36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113924.03</v>
      </c>
      <c r="D110" s="14">
        <f>data!Y64</f>
        <v>287845.65000000002</v>
      </c>
      <c r="E110" s="14">
        <f>data!Z64</f>
        <v>76464.759999999995</v>
      </c>
      <c r="F110" s="14">
        <f>data!AA64</f>
        <v>483369.55</v>
      </c>
      <c r="G110" s="14">
        <f>data!AB64</f>
        <v>15446489.68</v>
      </c>
      <c r="H110" s="14">
        <f>data!AC64</f>
        <v>127466.6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-4800</v>
      </c>
      <c r="E111" s="14">
        <f>data!Z65</f>
        <v>360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670610.03</v>
      </c>
      <c r="E112" s="14">
        <f>data!Z66</f>
        <v>532026.64</v>
      </c>
      <c r="F112" s="14">
        <f>data!AA66</f>
        <v>5020.67</v>
      </c>
      <c r="G112" s="14">
        <f>data!AB66</f>
        <v>37993.699999999997</v>
      </c>
      <c r="H112" s="14">
        <f>data!AC66</f>
        <v>206508.66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25928</v>
      </c>
      <c r="D113" s="14">
        <f>data!Y67</f>
        <v>762444</v>
      </c>
      <c r="E113" s="14">
        <f>data!Z67</f>
        <v>276566</v>
      </c>
      <c r="F113" s="14">
        <f>data!AA67</f>
        <v>29305</v>
      </c>
      <c r="G113" s="14">
        <f>data!AB67</f>
        <v>61589</v>
      </c>
      <c r="H113" s="14">
        <f>data!AC67</f>
        <v>69335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204343.02</v>
      </c>
      <c r="E114" s="14">
        <f>data!Z68</f>
        <v>129.78</v>
      </c>
      <c r="F114" s="14">
        <f>data!AA68</f>
        <v>0</v>
      </c>
      <c r="G114" s="14">
        <f>data!AB68</f>
        <v>129.78</v>
      </c>
      <c r="H114" s="14">
        <f>data!AC68</f>
        <v>45948.49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366918.54</v>
      </c>
      <c r="D115" s="14">
        <f>data!Y69</f>
        <v>710825.83</v>
      </c>
      <c r="E115" s="14">
        <f>data!Z69</f>
        <v>550837.94999999995</v>
      </c>
      <c r="F115" s="14">
        <f>data!AA69</f>
        <v>59855.89</v>
      </c>
      <c r="G115" s="14">
        <f>data!AB69</f>
        <v>1196079.6399999999</v>
      </c>
      <c r="H115" s="14">
        <f>data!AC69</f>
        <v>17298.38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-7292.89</v>
      </c>
      <c r="E116" s="14">
        <f>-data!Z70</f>
        <v>0</v>
      </c>
      <c r="F116" s="14">
        <f>-data!AA70</f>
        <v>0</v>
      </c>
      <c r="G116" s="14">
        <f>-data!AB70</f>
        <v>-3171933.46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1346356.94</v>
      </c>
      <c r="D117" s="14">
        <f>data!Y71</f>
        <v>7995680.4500000011</v>
      </c>
      <c r="E117" s="14">
        <f>data!Z71</f>
        <v>4405195.07</v>
      </c>
      <c r="F117" s="14">
        <f>data!AA71</f>
        <v>684461.81</v>
      </c>
      <c r="G117" s="14">
        <f>data!AB71</f>
        <v>16236650.5</v>
      </c>
      <c r="H117" s="14">
        <f>data!AC71</f>
        <v>1444590.6999999997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1605027</v>
      </c>
      <c r="D119" s="48">
        <f>+data!M690</f>
        <v>2676390</v>
      </c>
      <c r="E119" s="48">
        <f>+data!M691</f>
        <v>1270193</v>
      </c>
      <c r="F119" s="48">
        <f>+data!M692</f>
        <v>168757</v>
      </c>
      <c r="G119" s="48">
        <f>+data!M693</f>
        <v>4297349</v>
      </c>
      <c r="H119" s="48">
        <f>+data!M694</f>
        <v>334323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5466066.1600000001</v>
      </c>
      <c r="D120" s="14">
        <f>data!Y73</f>
        <v>2401588.65</v>
      </c>
      <c r="E120" s="14">
        <f>data!Z73</f>
        <v>76767.95</v>
      </c>
      <c r="F120" s="14">
        <f>data!AA73</f>
        <v>115013.15</v>
      </c>
      <c r="G120" s="14">
        <f>data!AB73</f>
        <v>11083730.890000001</v>
      </c>
      <c r="H120" s="14">
        <f>data!AC73</f>
        <v>2293439.25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25019513.789999999</v>
      </c>
      <c r="D121" s="14">
        <f>data!Y74</f>
        <v>25741688.18</v>
      </c>
      <c r="E121" s="14">
        <f>data!Z74</f>
        <v>15278764.6</v>
      </c>
      <c r="F121" s="14">
        <f>data!AA74</f>
        <v>1592254.5</v>
      </c>
      <c r="G121" s="14">
        <f>data!AB74</f>
        <v>43048747.75</v>
      </c>
      <c r="H121" s="14">
        <f>data!AC74</f>
        <v>1361446.9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30485579.949999999</v>
      </c>
      <c r="D122" s="14">
        <f>data!Y75</f>
        <v>28143276.829999998</v>
      </c>
      <c r="E122" s="14">
        <f>data!Z75</f>
        <v>15355532.549999999</v>
      </c>
      <c r="F122" s="14">
        <f>data!AA75</f>
        <v>1707267.65</v>
      </c>
      <c r="G122" s="14">
        <f>data!AB75</f>
        <v>54132478.640000001</v>
      </c>
      <c r="H122" s="14">
        <f>data!AC75</f>
        <v>3654886.15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975</v>
      </c>
      <c r="D124" s="14">
        <f>data!Y76</f>
        <v>28671</v>
      </c>
      <c r="E124" s="14">
        <f>data!Z76</f>
        <v>10400</v>
      </c>
      <c r="F124" s="14">
        <f>data!AA76</f>
        <v>1102</v>
      </c>
      <c r="G124" s="14">
        <f>data!AB76</f>
        <v>2316</v>
      </c>
      <c r="H124" s="14">
        <f>data!AC76</f>
        <v>2607.2800000000002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215.02</v>
      </c>
      <c r="D126" s="14">
        <f>data!Y78</f>
        <v>6322.96</v>
      </c>
      <c r="E126" s="14">
        <f>data!Z78</f>
        <v>2293.5700000000002</v>
      </c>
      <c r="F126" s="14">
        <f>data!AA78</f>
        <v>243.03</v>
      </c>
      <c r="G126" s="14">
        <f>data!AB78</f>
        <v>510.76</v>
      </c>
      <c r="H126" s="14">
        <f>data!AC78</f>
        <v>575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106760</v>
      </c>
      <c r="E127" s="14">
        <f>data!Z79</f>
        <v>22694</v>
      </c>
      <c r="F127" s="14">
        <f>data!AA79</f>
        <v>0</v>
      </c>
      <c r="G127" s="14">
        <f>data!AB79</f>
        <v>208</v>
      </c>
      <c r="H127" s="14">
        <f>data!AC79</f>
        <v>15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2.91</v>
      </c>
      <c r="E128" s="26">
        <f>data!Z80</f>
        <v>2.0099999999999998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Olympic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79100</v>
      </c>
      <c r="D137" s="14">
        <f>data!AF59</f>
        <v>0</v>
      </c>
      <c r="E137" s="14">
        <f>data!AG59</f>
        <v>29463</v>
      </c>
      <c r="F137" s="14">
        <f>data!AH59</f>
        <v>0</v>
      </c>
      <c r="G137" s="14">
        <f>data!AI59</f>
        <v>13134</v>
      </c>
      <c r="H137" s="14">
        <f>data!AJ59</f>
        <v>157644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36.345947119999998</v>
      </c>
      <c r="D138" s="26">
        <f>data!AF60</f>
        <v>0</v>
      </c>
      <c r="E138" s="26">
        <f>data!AG60</f>
        <v>54.796990379999997</v>
      </c>
      <c r="F138" s="26">
        <f>data!AH60</f>
        <v>0</v>
      </c>
      <c r="G138" s="26">
        <f>data!AI60</f>
        <v>22.31161058</v>
      </c>
      <c r="H138" s="26">
        <f>data!AJ60</f>
        <v>260.65209620000002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2727689.29</v>
      </c>
      <c r="D139" s="14">
        <f>data!AF61</f>
        <v>0</v>
      </c>
      <c r="E139" s="14">
        <f>data!AG61</f>
        <v>4476832.07</v>
      </c>
      <c r="F139" s="14">
        <f>data!AH61</f>
        <v>0</v>
      </c>
      <c r="G139" s="14">
        <f>data!AI61</f>
        <v>1852748.41</v>
      </c>
      <c r="H139" s="14">
        <f>data!AJ61</f>
        <v>25671491.960000001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803177</v>
      </c>
      <c r="D140" s="14">
        <f>data!AF62</f>
        <v>0</v>
      </c>
      <c r="E140" s="14">
        <f>data!AG62</f>
        <v>1318218</v>
      </c>
      <c r="F140" s="14">
        <f>data!AH62</f>
        <v>0</v>
      </c>
      <c r="G140" s="14">
        <f>data!AI62</f>
        <v>545548</v>
      </c>
      <c r="H140" s="14">
        <f>data!AJ62</f>
        <v>7559054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4698175.96</v>
      </c>
      <c r="F141" s="14">
        <f>data!AH63</f>
        <v>0</v>
      </c>
      <c r="G141" s="14">
        <f>data!AI63</f>
        <v>125564.33</v>
      </c>
      <c r="H141" s="14">
        <f>data!AJ63</f>
        <v>2719122.4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41162.019999999997</v>
      </c>
      <c r="D142" s="14">
        <f>data!AF64</f>
        <v>0</v>
      </c>
      <c r="E142" s="14">
        <f>data!AG64</f>
        <v>525827.47</v>
      </c>
      <c r="F142" s="14">
        <f>data!AH64</f>
        <v>0</v>
      </c>
      <c r="G142" s="14">
        <f>data!AI64</f>
        <v>273412.59000000003</v>
      </c>
      <c r="H142" s="14">
        <f>data!AJ64</f>
        <v>1907485.65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92172.26</v>
      </c>
      <c r="D144" s="14">
        <f>data!AF66</f>
        <v>0</v>
      </c>
      <c r="E144" s="14">
        <f>data!AG66</f>
        <v>280056.09999999998</v>
      </c>
      <c r="F144" s="14">
        <f>data!AH66</f>
        <v>3923.54</v>
      </c>
      <c r="G144" s="14">
        <f>data!AI66</f>
        <v>0</v>
      </c>
      <c r="H144" s="14">
        <f>data!AJ66</f>
        <v>211520.69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143096</v>
      </c>
      <c r="D145" s="14">
        <f>data!AF67</f>
        <v>0</v>
      </c>
      <c r="E145" s="14">
        <f>data!AG67</f>
        <v>184422</v>
      </c>
      <c r="F145" s="14">
        <f>data!AH67</f>
        <v>0</v>
      </c>
      <c r="G145" s="14">
        <f>data!AI67</f>
        <v>336985</v>
      </c>
      <c r="H145" s="14">
        <f>data!AJ67</f>
        <v>1604641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3251.29</v>
      </c>
      <c r="D146" s="14">
        <f>data!AF68</f>
        <v>0</v>
      </c>
      <c r="E146" s="14">
        <f>data!AG68</f>
        <v>129.78</v>
      </c>
      <c r="F146" s="14">
        <f>data!AH68</f>
        <v>0</v>
      </c>
      <c r="G146" s="14">
        <f>data!AI68</f>
        <v>442.76</v>
      </c>
      <c r="H146" s="14">
        <f>data!AJ68</f>
        <v>1185550.3700000001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22008.19</v>
      </c>
      <c r="D147" s="14">
        <f>data!AF69</f>
        <v>0</v>
      </c>
      <c r="E147" s="14">
        <f>data!AG69</f>
        <v>38768.9</v>
      </c>
      <c r="F147" s="14">
        <f>data!AH69</f>
        <v>0</v>
      </c>
      <c r="G147" s="14">
        <f>data!AI69</f>
        <v>8044.41</v>
      </c>
      <c r="H147" s="14">
        <f>data!AJ69</f>
        <v>305276.77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-695</v>
      </c>
      <c r="D148" s="14">
        <f>-data!AF70</f>
        <v>0</v>
      </c>
      <c r="E148" s="14">
        <f>-data!AG70</f>
        <v>-7666.65</v>
      </c>
      <c r="F148" s="14">
        <f>-data!AH70</f>
        <v>0</v>
      </c>
      <c r="G148" s="14">
        <f>-data!AI70</f>
        <v>0</v>
      </c>
      <c r="H148" s="14">
        <f>-data!AJ70</f>
        <v>-177097.95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3831861.05</v>
      </c>
      <c r="D149" s="14">
        <f>data!AF71</f>
        <v>0</v>
      </c>
      <c r="E149" s="14">
        <f>data!AG71</f>
        <v>11514763.630000001</v>
      </c>
      <c r="F149" s="14">
        <f>data!AH71</f>
        <v>3923.54</v>
      </c>
      <c r="G149" s="14">
        <f>data!AI71</f>
        <v>3142745.5</v>
      </c>
      <c r="H149" s="14">
        <f>data!AJ71</f>
        <v>40987044.889999993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737591</v>
      </c>
      <c r="D151" s="48">
        <f>+data!M697</f>
        <v>0</v>
      </c>
      <c r="E151" s="48">
        <f>+data!M698</f>
        <v>2718031</v>
      </c>
      <c r="F151" s="48">
        <f>+data!M699</f>
        <v>163</v>
      </c>
      <c r="G151" s="48">
        <f>+data!M700</f>
        <v>842185</v>
      </c>
      <c r="H151" s="48">
        <f>+data!M701</f>
        <v>7261371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1117259.77</v>
      </c>
      <c r="D152" s="14">
        <f>data!AF73</f>
        <v>0</v>
      </c>
      <c r="E152" s="14">
        <f>data!AG73</f>
        <v>4766205.05</v>
      </c>
      <c r="F152" s="14">
        <f>data!AH73</f>
        <v>0</v>
      </c>
      <c r="G152" s="14">
        <f>data!AI73</f>
        <v>29143.200000000001</v>
      </c>
      <c r="H152" s="14">
        <f>data!AJ73</f>
        <v>69348.34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6078828.71</v>
      </c>
      <c r="D153" s="14">
        <f>data!AF74</f>
        <v>0</v>
      </c>
      <c r="E153" s="14">
        <f>data!AG74</f>
        <v>25549376.75</v>
      </c>
      <c r="F153" s="14">
        <f>data!AH74</f>
        <v>0</v>
      </c>
      <c r="G153" s="14">
        <f>data!AI74</f>
        <v>3271741.78</v>
      </c>
      <c r="H153" s="14">
        <f>data!AJ74</f>
        <v>63487856.609999999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7196088.4800000004</v>
      </c>
      <c r="D154" s="14">
        <f>data!AF75</f>
        <v>0</v>
      </c>
      <c r="E154" s="14">
        <f>data!AG75</f>
        <v>30315581.800000001</v>
      </c>
      <c r="F154" s="14">
        <f>data!AH75</f>
        <v>0</v>
      </c>
      <c r="G154" s="14">
        <f>data!AI75</f>
        <v>3300884.98</v>
      </c>
      <c r="H154" s="14">
        <f>data!AJ75</f>
        <v>63557204.950000003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5381</v>
      </c>
      <c r="D156" s="14">
        <f>data!AF76</f>
        <v>0</v>
      </c>
      <c r="E156" s="14">
        <f>data!AG76</f>
        <v>6935</v>
      </c>
      <c r="F156" s="14">
        <f>data!AH76</f>
        <v>0</v>
      </c>
      <c r="G156" s="14">
        <f>data!AI76</f>
        <v>12672</v>
      </c>
      <c r="H156" s="14">
        <f>data!AJ76</f>
        <v>60341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1186.7</v>
      </c>
      <c r="D158" s="14">
        <f>data!AF78</f>
        <v>0</v>
      </c>
      <c r="E158" s="14">
        <f>data!AG78</f>
        <v>1529.41</v>
      </c>
      <c r="F158" s="14">
        <f>data!AH78</f>
        <v>0</v>
      </c>
      <c r="G158" s="14">
        <f>data!AI78</f>
        <v>2794.62</v>
      </c>
      <c r="H158" s="14">
        <f>data!AJ78</f>
        <v>12969.01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20469</v>
      </c>
      <c r="D159" s="14">
        <f>data!AF79</f>
        <v>0</v>
      </c>
      <c r="E159" s="14">
        <f>data!AG79</f>
        <v>242186</v>
      </c>
      <c r="F159" s="14">
        <f>data!AH79</f>
        <v>0</v>
      </c>
      <c r="G159" s="14">
        <f>data!AI79</f>
        <v>80265</v>
      </c>
      <c r="H159" s="14">
        <f>data!AJ79</f>
        <v>47843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39.07</v>
      </c>
      <c r="F160" s="26">
        <f>data!AH80</f>
        <v>0</v>
      </c>
      <c r="G160" s="26">
        <f>data!AI80</f>
        <v>17.16</v>
      </c>
      <c r="H160" s="26">
        <f>data!AJ80</f>
        <v>40.5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Olympic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7123</v>
      </c>
      <c r="H169" s="14">
        <f>data!AQ59</f>
        <v>0</v>
      </c>
      <c r="I169" s="14">
        <f>data!AR59</f>
        <v>51477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9.7875528850000002</v>
      </c>
      <c r="H170" s="26">
        <f>data!AQ60</f>
        <v>0</v>
      </c>
      <c r="I170" s="26">
        <f>data!AR60</f>
        <v>73.273052879999995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848362.91</v>
      </c>
      <c r="H171" s="14">
        <f>data!AQ61</f>
        <v>0</v>
      </c>
      <c r="I171" s="14">
        <f>data!AR61</f>
        <v>5392269.2199999997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249803</v>
      </c>
      <c r="H172" s="14">
        <f>data!AQ62</f>
        <v>0</v>
      </c>
      <c r="I172" s="14">
        <f>data!AR62</f>
        <v>1587771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194620.67</v>
      </c>
      <c r="H174" s="14">
        <f>data!AQ64</f>
        <v>0</v>
      </c>
      <c r="I174" s="14">
        <f>data!AR64</f>
        <v>237160.46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23280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41613.019999999997</v>
      </c>
      <c r="H176" s="14">
        <f>data!AQ66</f>
        <v>0</v>
      </c>
      <c r="I176" s="14">
        <f>data!AR66</f>
        <v>170585.86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221013</v>
      </c>
      <c r="H177" s="14">
        <f>data!AQ67</f>
        <v>0</v>
      </c>
      <c r="I177" s="14">
        <f>data!AR67</f>
        <v>154904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99434.58</v>
      </c>
      <c r="H178" s="14">
        <f>data!AQ68</f>
        <v>0</v>
      </c>
      <c r="I178" s="14">
        <f>data!AR68</f>
        <v>90129.78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1503.99</v>
      </c>
      <c r="H179" s="14">
        <f>data!AQ69</f>
        <v>0</v>
      </c>
      <c r="I179" s="14">
        <f>data!AR69</f>
        <v>238673.31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-4075.75</v>
      </c>
      <c r="H180" s="14">
        <f>-data!AQ70</f>
        <v>0</v>
      </c>
      <c r="I180" s="14">
        <f>-data!AR70</f>
        <v>-187528.84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1652275.4200000002</v>
      </c>
      <c r="H181" s="14">
        <f>data!AQ71</f>
        <v>0</v>
      </c>
      <c r="I181" s="14">
        <f>data!AR71</f>
        <v>7707244.79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429997</v>
      </c>
      <c r="H183" s="48">
        <f>+data!M708</f>
        <v>0</v>
      </c>
      <c r="I183" s="48">
        <f>+data!M709</f>
        <v>1223236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3174601.61</v>
      </c>
      <c r="H185" s="14">
        <f>data!AQ74</f>
        <v>0</v>
      </c>
      <c r="I185" s="14">
        <f>data!AR74</f>
        <v>8497298.9900000002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3174601.61</v>
      </c>
      <c r="H186" s="14">
        <f>data!AQ75</f>
        <v>0</v>
      </c>
      <c r="I186" s="14">
        <f>data!AR75</f>
        <v>8497298.9900000002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8311</v>
      </c>
      <c r="H188" s="14">
        <f>data!AQ76</f>
        <v>0</v>
      </c>
      <c r="I188" s="14">
        <f>data!AR76</f>
        <v>5825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529.28</v>
      </c>
      <c r="H190" s="14">
        <f>data!AQ78</f>
        <v>0</v>
      </c>
      <c r="I190" s="14">
        <f>data!AR78</f>
        <v>1284.6199999999999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4982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26.81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Olympic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46374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17.777995189999999</v>
      </c>
      <c r="G202" s="26">
        <f>data!AW60</f>
        <v>0</v>
      </c>
      <c r="H202" s="26">
        <f>data!AX60</f>
        <v>1.000600962</v>
      </c>
      <c r="I202" s="26">
        <f>data!AY60</f>
        <v>37.865600960000002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3153870</v>
      </c>
      <c r="G203" s="14">
        <f>data!AW61</f>
        <v>0</v>
      </c>
      <c r="H203" s="14">
        <f>data!AX61</f>
        <v>48316.62</v>
      </c>
      <c r="I203" s="14">
        <f>data!AY61</f>
        <v>1354652.22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928667</v>
      </c>
      <c r="G204" s="14">
        <f>data!AW62</f>
        <v>0</v>
      </c>
      <c r="H204" s="14">
        <f>data!AX62</f>
        <v>14227</v>
      </c>
      <c r="I204" s="14">
        <f>data!AY62</f>
        <v>398882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288141.81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14294.91</v>
      </c>
      <c r="G206" s="14">
        <f>data!AW64</f>
        <v>0</v>
      </c>
      <c r="H206" s="14">
        <f>data!AX64</f>
        <v>51349.72</v>
      </c>
      <c r="I206" s="14">
        <f>data!AY64</f>
        <v>870354.37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1080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310.92</v>
      </c>
      <c r="G208" s="14">
        <f>data!AW66</f>
        <v>0</v>
      </c>
      <c r="H208" s="14">
        <f>data!AX66</f>
        <v>0</v>
      </c>
      <c r="I208" s="14">
        <f>data!AY66</f>
        <v>9958.7099999999991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4255</v>
      </c>
      <c r="I209" s="14">
        <f>data!AY67</f>
        <v>74540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60259.56</v>
      </c>
      <c r="G210" s="14">
        <f>data!AW68</f>
        <v>0</v>
      </c>
      <c r="H210" s="14">
        <f>data!AX68</f>
        <v>129.78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15650.87</v>
      </c>
      <c r="G211" s="14">
        <f>data!AW69</f>
        <v>0</v>
      </c>
      <c r="H211" s="14">
        <f>data!AX69</f>
        <v>28.59</v>
      </c>
      <c r="I211" s="14">
        <f>data!AY69</f>
        <v>10698.58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-10262.280000000001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4452012.7899999991</v>
      </c>
      <c r="G213" s="14">
        <f>data!AW71</f>
        <v>0</v>
      </c>
      <c r="H213" s="14">
        <f>data!AX71</f>
        <v>118306.70999999999</v>
      </c>
      <c r="I213" s="14">
        <f>data!AY71</f>
        <v>2719085.88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425484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3478946.6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313914.34999999998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3792860.95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160</v>
      </c>
      <c r="I220" s="85">
        <f>data!AY76</f>
        <v>2803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4652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2.16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Olympic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393982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3.4385625000000002</v>
      </c>
      <c r="D234" s="26">
        <f>data!BA60</f>
        <v>9.3808894229999993</v>
      </c>
      <c r="E234" s="26">
        <f>data!BB60</f>
        <v>15.35597596</v>
      </c>
      <c r="F234" s="26">
        <f>data!BC60</f>
        <v>0</v>
      </c>
      <c r="G234" s="26">
        <f>data!BD60</f>
        <v>11.14317308</v>
      </c>
      <c r="H234" s="26">
        <f>data!BE60</f>
        <v>18.584596149999999</v>
      </c>
      <c r="I234" s="26">
        <f>data!BF60</f>
        <v>38.355403850000002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174993.07</v>
      </c>
      <c r="D235" s="14">
        <f>data!BA61</f>
        <v>309918.8</v>
      </c>
      <c r="E235" s="14">
        <f>data!BB61</f>
        <v>1173761.33</v>
      </c>
      <c r="F235" s="14">
        <f>data!BC61</f>
        <v>0</v>
      </c>
      <c r="G235" s="14">
        <f>data!BD61</f>
        <v>575709.26</v>
      </c>
      <c r="H235" s="14">
        <f>data!BE61</f>
        <v>960695.27</v>
      </c>
      <c r="I235" s="14">
        <f>data!BF61</f>
        <v>1381135.38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51527</v>
      </c>
      <c r="D236" s="14">
        <f>data!BA62</f>
        <v>91257</v>
      </c>
      <c r="E236" s="14">
        <f>data!BB62</f>
        <v>345618</v>
      </c>
      <c r="F236" s="14">
        <f>data!BC62</f>
        <v>0</v>
      </c>
      <c r="G236" s="14">
        <f>data!BD62</f>
        <v>169519</v>
      </c>
      <c r="H236" s="14">
        <f>data!BE62</f>
        <v>282880</v>
      </c>
      <c r="I236" s="14">
        <f>data!BF62</f>
        <v>406680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1136.79</v>
      </c>
      <c r="F237" s="14">
        <f>data!BC63</f>
        <v>0</v>
      </c>
      <c r="G237" s="14">
        <f>data!BD63</f>
        <v>26736</v>
      </c>
      <c r="H237" s="14">
        <f>data!BE63</f>
        <v>11436.33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3257.76</v>
      </c>
      <c r="D238" s="14">
        <f>data!BA64</f>
        <v>186052.78</v>
      </c>
      <c r="E238" s="14">
        <f>data!BB64</f>
        <v>2992.78</v>
      </c>
      <c r="F238" s="14">
        <f>data!BC64</f>
        <v>0</v>
      </c>
      <c r="G238" s="14">
        <f>data!BD64</f>
        <v>137508.82</v>
      </c>
      <c r="H238" s="14">
        <f>data!BE64</f>
        <v>222665.77</v>
      </c>
      <c r="I238" s="14">
        <f>data!BF64</f>
        <v>251263.32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1783712.89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185841.54</v>
      </c>
      <c r="F240" s="14">
        <f>data!BC66</f>
        <v>0</v>
      </c>
      <c r="G240" s="14">
        <f>data!BD66</f>
        <v>29683.71</v>
      </c>
      <c r="H240" s="14">
        <f>data!BE66</f>
        <v>203710.28</v>
      </c>
      <c r="I240" s="14">
        <f>data!BF66</f>
        <v>6383.11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113924</v>
      </c>
      <c r="D241" s="14">
        <f>data!BA67</f>
        <v>108127</v>
      </c>
      <c r="E241" s="14">
        <f>data!BB67</f>
        <v>9467</v>
      </c>
      <c r="F241" s="14">
        <f>data!BC67</f>
        <v>0</v>
      </c>
      <c r="G241" s="14">
        <f>data!BD67</f>
        <v>153148</v>
      </c>
      <c r="H241" s="14">
        <f>data!BE67</f>
        <v>2033797</v>
      </c>
      <c r="I241" s="14">
        <f>data!BF67</f>
        <v>9440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2122.4299999999998</v>
      </c>
      <c r="H242" s="14">
        <f>data!BE68</f>
        <v>356.08</v>
      </c>
      <c r="I242" s="14">
        <f>data!BF68</f>
        <v>129.79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949.73</v>
      </c>
      <c r="D243" s="14">
        <f>data!BA69</f>
        <v>3258.73</v>
      </c>
      <c r="E243" s="14">
        <f>data!BB69</f>
        <v>11044.26</v>
      </c>
      <c r="F243" s="14">
        <f>data!BC69</f>
        <v>0</v>
      </c>
      <c r="G243" s="14">
        <f>data!BD69</f>
        <v>452144.79</v>
      </c>
      <c r="H243" s="14">
        <f>data!BE69</f>
        <v>236326.04</v>
      </c>
      <c r="I243" s="14">
        <f>data!BF69</f>
        <v>788.2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-1125773.23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-323.69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-781121.66999999993</v>
      </c>
      <c r="D245" s="14">
        <f>data!BA71</f>
        <v>698614.30999999994</v>
      </c>
      <c r="E245" s="14">
        <f>data!BB71</f>
        <v>1729861.7000000002</v>
      </c>
      <c r="F245" s="14">
        <f>data!BC71</f>
        <v>0</v>
      </c>
      <c r="G245" s="14">
        <f>data!BD71</f>
        <v>1546572.01</v>
      </c>
      <c r="H245" s="14">
        <f>data!BE71</f>
        <v>5735255.9699999988</v>
      </c>
      <c r="I245" s="14">
        <f>data!BF71</f>
        <v>2055819.8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4284</v>
      </c>
      <c r="D252" s="85">
        <f>data!BA76</f>
        <v>4066</v>
      </c>
      <c r="E252" s="85">
        <f>data!BB76</f>
        <v>356</v>
      </c>
      <c r="F252" s="85">
        <f>data!BC76</f>
        <v>0</v>
      </c>
      <c r="G252" s="85">
        <f>data!BD76</f>
        <v>5759</v>
      </c>
      <c r="H252" s="85">
        <f>data!BE76</f>
        <v>76479</v>
      </c>
      <c r="I252" s="85">
        <f>data!BF76</f>
        <v>355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896.7</v>
      </c>
      <c r="E254" s="85">
        <f>data!BB78</f>
        <v>78.510000000000005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Olympic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28.300745190000001</v>
      </c>
      <c r="E266" s="26">
        <f>data!BI60</f>
        <v>18.49128365</v>
      </c>
      <c r="F266" s="26">
        <f>data!BJ60</f>
        <v>15.54142308</v>
      </c>
      <c r="G266" s="26">
        <f>data!BK60</f>
        <v>32.497778850000003</v>
      </c>
      <c r="H266" s="26">
        <f>data!BL60</f>
        <v>68.535730770000001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2101678.9900000002</v>
      </c>
      <c r="E267" s="14">
        <f>data!BI61</f>
        <v>738003.16</v>
      </c>
      <c r="F267" s="14">
        <f>data!BJ61</f>
        <v>935911.26</v>
      </c>
      <c r="G267" s="14">
        <f>data!BK61</f>
        <v>1444157.88</v>
      </c>
      <c r="H267" s="14">
        <f>data!BL61</f>
        <v>2467265.35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618846</v>
      </c>
      <c r="E268" s="14">
        <f>data!BI62</f>
        <v>217307</v>
      </c>
      <c r="F268" s="14">
        <f>data!BJ62</f>
        <v>275582</v>
      </c>
      <c r="G268" s="14">
        <f>data!BK62</f>
        <v>425237</v>
      </c>
      <c r="H268" s="14">
        <f>data!BL62</f>
        <v>726494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34550.910000000003</v>
      </c>
      <c r="E269" s="14">
        <f>data!BI63</f>
        <v>0</v>
      </c>
      <c r="F269" s="14">
        <f>data!BJ63</f>
        <v>202244.31</v>
      </c>
      <c r="G269" s="14">
        <f>data!BK63</f>
        <v>8500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257529.26</v>
      </c>
      <c r="E270" s="14">
        <f>data!BI64</f>
        <v>5266.77</v>
      </c>
      <c r="F270" s="14">
        <f>data!BJ64</f>
        <v>14201.05</v>
      </c>
      <c r="G270" s="14">
        <f>data!BK64</f>
        <v>18954.13</v>
      </c>
      <c r="H270" s="14">
        <f>data!BL64</f>
        <v>59433.599999999999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603754.68999999994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12434.35</v>
      </c>
      <c r="E272" s="14">
        <f>data!BI66</f>
        <v>144790.13</v>
      </c>
      <c r="F272" s="14">
        <f>data!BJ66</f>
        <v>2000</v>
      </c>
      <c r="G272" s="14">
        <f>data!BK66</f>
        <v>361421</v>
      </c>
      <c r="H272" s="14">
        <f>data!BL66</f>
        <v>30713.29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54914</v>
      </c>
      <c r="E273" s="14">
        <f>data!BI67</f>
        <v>7446</v>
      </c>
      <c r="F273" s="14">
        <f>data!BJ67</f>
        <v>30236</v>
      </c>
      <c r="G273" s="14">
        <f>data!BK67</f>
        <v>132964</v>
      </c>
      <c r="H273" s="14">
        <f>data!BL67</f>
        <v>332890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389.22</v>
      </c>
      <c r="E274" s="14">
        <f>data!BI68</f>
        <v>0</v>
      </c>
      <c r="F274" s="14">
        <f>data!BJ68</f>
        <v>0</v>
      </c>
      <c r="G274" s="14">
        <f>data!BK68</f>
        <v>60492.85</v>
      </c>
      <c r="H274" s="14">
        <f>data!BL68</f>
        <v>98529.78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2686583.49</v>
      </c>
      <c r="E275" s="14">
        <f>data!BI69</f>
        <v>10532.79</v>
      </c>
      <c r="F275" s="14">
        <f>data!BJ69</f>
        <v>84563.59</v>
      </c>
      <c r="G275" s="14">
        <f>data!BK69</f>
        <v>310138.96999999997</v>
      </c>
      <c r="H275" s="14">
        <f>data!BL69</f>
        <v>35480.629999999997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-4228.8</v>
      </c>
      <c r="E276" s="14">
        <f>-data!BI70</f>
        <v>0</v>
      </c>
      <c r="F276" s="14">
        <f>-data!BJ70</f>
        <v>-6654.8</v>
      </c>
      <c r="G276" s="14">
        <f>-data!BK70</f>
        <v>-2.75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6366452.1100000003</v>
      </c>
      <c r="E277" s="14">
        <f>data!BI71</f>
        <v>1123345.8500000001</v>
      </c>
      <c r="F277" s="14">
        <f>data!BJ71</f>
        <v>1538083.4100000001</v>
      </c>
      <c r="G277" s="14">
        <f>data!BK71</f>
        <v>2761863.08</v>
      </c>
      <c r="H277" s="14">
        <f>data!BL71</f>
        <v>3750806.65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2065</v>
      </c>
      <c r="E284" s="85">
        <f>data!BI76</f>
        <v>280</v>
      </c>
      <c r="F284" s="85">
        <f>data!BJ76</f>
        <v>1137</v>
      </c>
      <c r="G284" s="85">
        <f>data!BK76</f>
        <v>5000</v>
      </c>
      <c r="H284" s="85">
        <f>data!BL76</f>
        <v>12518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455.41</v>
      </c>
      <c r="E286" s="85">
        <f>data!BI78</f>
        <v>25736.67</v>
      </c>
      <c r="F286" s="213" t="str">
        <f>IF(data!BJ78&gt;0,data!BJ78,"")</f>
        <v>x</v>
      </c>
      <c r="G286" s="85">
        <f>data!BK78</f>
        <v>0</v>
      </c>
      <c r="H286" s="85">
        <f>data!BL78</f>
        <v>2760.66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59106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Olympic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4.453990385</v>
      </c>
      <c r="D298" s="26">
        <f>data!BO60</f>
        <v>1.374086538</v>
      </c>
      <c r="E298" s="26">
        <f>data!BP60</f>
        <v>3</v>
      </c>
      <c r="F298" s="26">
        <f>data!BQ60</f>
        <v>0</v>
      </c>
      <c r="G298" s="26">
        <f>data!BR60</f>
        <v>14.04272596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638379.99</v>
      </c>
      <c r="D299" s="14">
        <f>data!BO61</f>
        <v>90797.28</v>
      </c>
      <c r="E299" s="14">
        <f>data!BP61</f>
        <v>221565.19</v>
      </c>
      <c r="F299" s="14">
        <f>data!BQ61</f>
        <v>0</v>
      </c>
      <c r="G299" s="14">
        <f>data!BR61</f>
        <v>944321.74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187973</v>
      </c>
      <c r="D300" s="14">
        <f>data!BO62</f>
        <v>26736</v>
      </c>
      <c r="E300" s="14">
        <f>data!BP62</f>
        <v>65241</v>
      </c>
      <c r="F300" s="14">
        <f>data!BQ62</f>
        <v>0</v>
      </c>
      <c r="G300" s="14">
        <f>data!BR62</f>
        <v>278059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133844.38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68101.23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49541.08</v>
      </c>
      <c r="D302" s="14">
        <f>data!BO64</f>
        <v>55061.31</v>
      </c>
      <c r="E302" s="14">
        <f>data!BP64</f>
        <v>39638.69</v>
      </c>
      <c r="F302" s="14">
        <f>data!BQ64</f>
        <v>0</v>
      </c>
      <c r="G302" s="14">
        <f>data!BR64</f>
        <v>38944.86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960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72365.100000000006</v>
      </c>
      <c r="D304" s="14">
        <f>data!BO66</f>
        <v>250</v>
      </c>
      <c r="E304" s="14">
        <f>data!BP66</f>
        <v>4417.6899999999996</v>
      </c>
      <c r="F304" s="14">
        <f>data!BQ66</f>
        <v>0</v>
      </c>
      <c r="G304" s="14">
        <f>data!BR66</f>
        <v>79335.350000000006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807892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32443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129.78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327077.71000000002</v>
      </c>
      <c r="D307" s="14">
        <f>data!BO69</f>
        <v>127745.03</v>
      </c>
      <c r="E307" s="14">
        <f>data!BP69</f>
        <v>275581.90999999997</v>
      </c>
      <c r="F307" s="14">
        <f>data!BQ69</f>
        <v>0</v>
      </c>
      <c r="G307" s="14">
        <f>data!BR69</f>
        <v>1189449.6499999999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-9291.66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2208871.38</v>
      </c>
      <c r="D309" s="14">
        <f>data!BO71</f>
        <v>300589.62</v>
      </c>
      <c r="E309" s="14">
        <f>data!BP71</f>
        <v>606444.48</v>
      </c>
      <c r="F309" s="14">
        <f>data!BQ71</f>
        <v>0</v>
      </c>
      <c r="G309" s="14">
        <f>data!BR71</f>
        <v>2630654.83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30380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1220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Olympic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18.29866827</v>
      </c>
      <c r="E330" s="26">
        <f>data!BW60</f>
        <v>2.0518605769999998</v>
      </c>
      <c r="F330" s="26">
        <f>data!BX60</f>
        <v>0</v>
      </c>
      <c r="G330" s="26">
        <f>data!BY60</f>
        <v>7.3907211540000004</v>
      </c>
      <c r="H330" s="26">
        <f>data!BZ60</f>
        <v>0</v>
      </c>
      <c r="I330" s="26">
        <f>data!CA60</f>
        <v>4.1898557690000002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854441.58</v>
      </c>
      <c r="E331" s="86">
        <f>data!BW61</f>
        <v>157257.54999999999</v>
      </c>
      <c r="F331" s="86">
        <f>data!BX61</f>
        <v>0</v>
      </c>
      <c r="G331" s="86">
        <f>data!BY61</f>
        <v>816550.75</v>
      </c>
      <c r="H331" s="86">
        <f>data!BZ61</f>
        <v>0</v>
      </c>
      <c r="I331" s="86">
        <f>data!CA61</f>
        <v>284354.2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251593</v>
      </c>
      <c r="E332" s="86">
        <f>data!BW62</f>
        <v>46305</v>
      </c>
      <c r="F332" s="86">
        <f>data!BX62</f>
        <v>0</v>
      </c>
      <c r="G332" s="86">
        <f>data!BY62</f>
        <v>240436</v>
      </c>
      <c r="H332" s="86">
        <f>data!BZ62</f>
        <v>0</v>
      </c>
      <c r="I332" s="86">
        <f>data!CA62</f>
        <v>83729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36375</v>
      </c>
      <c r="E333" s="86">
        <f>data!BW63</f>
        <v>18999.96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15155.02</v>
      </c>
      <c r="E334" s="86">
        <f>data!BW64</f>
        <v>23703.66</v>
      </c>
      <c r="F334" s="86">
        <f>data!BX64</f>
        <v>0</v>
      </c>
      <c r="G334" s="86">
        <f>data!BY64</f>
        <v>3770.49</v>
      </c>
      <c r="H334" s="86">
        <f>data!BZ64</f>
        <v>0</v>
      </c>
      <c r="I334" s="86">
        <f>data!CA64</f>
        <v>17780.09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1025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26620.080000000002</v>
      </c>
      <c r="E336" s="86">
        <f>data!BW66</f>
        <v>0</v>
      </c>
      <c r="F336" s="86">
        <f>data!BX66</f>
        <v>0</v>
      </c>
      <c r="G336" s="86">
        <f>data!BY66</f>
        <v>12595.98</v>
      </c>
      <c r="H336" s="86">
        <f>data!BZ66</f>
        <v>0</v>
      </c>
      <c r="I336" s="86">
        <f>data!CA66</f>
        <v>38217.83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132512</v>
      </c>
      <c r="E337" s="86">
        <f>data!BW67</f>
        <v>3776</v>
      </c>
      <c r="F337" s="86">
        <f>data!BX67</f>
        <v>0</v>
      </c>
      <c r="G337" s="86">
        <f>data!BY67</f>
        <v>34225</v>
      </c>
      <c r="H337" s="86">
        <f>data!BZ67</f>
        <v>0</v>
      </c>
      <c r="I337" s="86">
        <f>data!CA67</f>
        <v>19466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129.78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21.62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93765.21</v>
      </c>
      <c r="E339" s="86">
        <f>data!BW69</f>
        <v>13910.87</v>
      </c>
      <c r="F339" s="86">
        <f>data!BX69</f>
        <v>0</v>
      </c>
      <c r="G339" s="86">
        <f>data!BY69</f>
        <v>14779.63</v>
      </c>
      <c r="H339" s="86">
        <f>data!BZ69</f>
        <v>0</v>
      </c>
      <c r="I339" s="86">
        <f>data!CA69</f>
        <v>12411.45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-4223.3500000000004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-5015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1407393.32</v>
      </c>
      <c r="E341" s="14">
        <f>data!BW71</f>
        <v>263953.03999999998</v>
      </c>
      <c r="F341" s="14">
        <f>data!BX71</f>
        <v>0</v>
      </c>
      <c r="G341" s="14">
        <f>data!BY71</f>
        <v>1122357.8499999999</v>
      </c>
      <c r="H341" s="14">
        <f>data!BZ71</f>
        <v>0</v>
      </c>
      <c r="I341" s="14">
        <f>data!CA71</f>
        <v>450965.19000000006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4983</v>
      </c>
      <c r="E348" s="85">
        <f>data!BW76</f>
        <v>142</v>
      </c>
      <c r="F348" s="85">
        <f>data!BX76</f>
        <v>0</v>
      </c>
      <c r="G348" s="85">
        <f>data!BY76</f>
        <v>1287</v>
      </c>
      <c r="H348" s="85">
        <f>data!BZ76</f>
        <v>0</v>
      </c>
      <c r="I348" s="85">
        <f>data!CA76</f>
        <v>732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1098.93</v>
      </c>
      <c r="E350" s="85">
        <f>data!BW78</f>
        <v>31.32</v>
      </c>
      <c r="F350" s="85">
        <f>data!BX78</f>
        <v>0</v>
      </c>
      <c r="G350" s="85">
        <f>data!BY78</f>
        <v>283.83</v>
      </c>
      <c r="H350" s="85">
        <f>data!BZ78</f>
        <v>0</v>
      </c>
      <c r="I350" s="85">
        <f>data!CA78</f>
        <v>161.43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Olympic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25.235985580000001</v>
      </c>
      <c r="E362" s="217"/>
      <c r="F362" s="211"/>
      <c r="G362" s="211"/>
      <c r="H362" s="211"/>
      <c r="I362" s="87">
        <f>data!CE60</f>
        <v>1303.7470392690002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1669318.24</v>
      </c>
      <c r="E363" s="218"/>
      <c r="F363" s="219"/>
      <c r="G363" s="219"/>
      <c r="H363" s="219"/>
      <c r="I363" s="86">
        <f>data!CE61</f>
        <v>96536705.359999955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491536</v>
      </c>
      <c r="E364" s="218"/>
      <c r="F364" s="219"/>
      <c r="G364" s="219"/>
      <c r="H364" s="219"/>
      <c r="I364" s="86">
        <f>data!CE62</f>
        <v>28425546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5435</v>
      </c>
      <c r="E365" s="218"/>
      <c r="F365" s="219"/>
      <c r="G365" s="219"/>
      <c r="H365" s="219"/>
      <c r="I365" s="86">
        <f>data!CE63</f>
        <v>9664259.7100000028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43262.63</v>
      </c>
      <c r="E366" s="218"/>
      <c r="F366" s="219"/>
      <c r="G366" s="219"/>
      <c r="H366" s="219"/>
      <c r="I366" s="86">
        <f>data!CE64</f>
        <v>31498191.170000002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2409909.4799999995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230171.07</v>
      </c>
      <c r="E368" s="218"/>
      <c r="F368" s="219"/>
      <c r="G368" s="219"/>
      <c r="H368" s="219"/>
      <c r="I368" s="86">
        <f>data!CE66</f>
        <v>7549396.9100000001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257313</v>
      </c>
      <c r="E369" s="218"/>
      <c r="F369" s="219"/>
      <c r="G369" s="219"/>
      <c r="H369" s="219"/>
      <c r="I369" s="86">
        <f>data!CE67</f>
        <v>10477101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-1716411.84</v>
      </c>
      <c r="E370" s="218"/>
      <c r="F370" s="219"/>
      <c r="G370" s="219"/>
      <c r="H370" s="219"/>
      <c r="I370" s="86">
        <f>data!CE68</f>
        <v>327887.17000000062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2308751.91</v>
      </c>
      <c r="E371" s="86">
        <f>data!CD69</f>
        <v>0</v>
      </c>
      <c r="F371" s="219"/>
      <c r="G371" s="219"/>
      <c r="H371" s="219"/>
      <c r="I371" s="86">
        <f>data!CE69</f>
        <v>12913126.070000004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-779954.58</v>
      </c>
      <c r="E372" s="229">
        <f>data!CD70</f>
        <v>0</v>
      </c>
      <c r="F372" s="220"/>
      <c r="G372" s="220"/>
      <c r="H372" s="220"/>
      <c r="I372" s="14">
        <f>-data!CE70</f>
        <v>-5508074.6799999997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2509421.4299999997</v>
      </c>
      <c r="E373" s="86">
        <f>data!CD71</f>
        <v>0</v>
      </c>
      <c r="F373" s="219"/>
      <c r="G373" s="219"/>
      <c r="H373" s="219"/>
      <c r="I373" s="14">
        <f>data!CE71</f>
        <v>194294048.18999991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-4437120.95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94303065.980000004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309521383.83000004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403824449.81000006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9676</v>
      </c>
      <c r="E380" s="214"/>
      <c r="F380" s="211"/>
      <c r="G380" s="211"/>
      <c r="H380" s="211"/>
      <c r="I380" s="14">
        <f>data!CE76</f>
        <v>393981.53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46374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79788.81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1193393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255.839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Olympic Medical Center Year End Report</dc:title>
  <dc:subject>2018 Olympic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2019-04-30T17:19:16Z</cp:lastPrinted>
  <dcterms:created xsi:type="dcterms:W3CDTF">1999-06-02T22:01:56Z</dcterms:created>
  <dcterms:modified xsi:type="dcterms:W3CDTF">2019-04-30T21:10:21Z</dcterms:modified>
</cp:coreProperties>
</file>